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5.xml" ContentType="application/vnd.openxmlformats-officedocument.spreadsheetml.comments+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omments6.xml" ContentType="application/vnd.openxmlformats-officedocument.spreadsheetml.comment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18034\Desktop\Duke\Spring 1 Term\Decision Analytics &amp; Modeling\Team Case Studies\Grupa Case\"/>
    </mc:Choice>
  </mc:AlternateContent>
  <xr:revisionPtr revIDLastSave="0" documentId="13_ncr:1_{1C6E544B-6397-4C7C-A48A-CC6F931009C8}" xr6:coauthVersionLast="46" xr6:coauthVersionMax="46" xr10:uidLastSave="{00000000-0000-0000-0000-000000000000}"/>
  <bookViews>
    <workbookView xWindow="38290" yWindow="-110" windowWidth="19420" windowHeight="11020" tabRatio="812" xr2:uid="{00000000-000D-0000-FFFF-FFFF00000000}"/>
  </bookViews>
  <sheets>
    <sheet name="Table of Contents" sheetId="28" r:id="rId1"/>
    <sheet name="Optimization Model" sheetId="1" r:id="rId2"/>
    <sheet name="Answer Report 1" sheetId="6" r:id="rId3"/>
    <sheet name="Sensitivity Report 1" sheetId="7" r:id="rId4"/>
    <sheet name="Limits Report 1" sheetId="8" r:id="rId5"/>
    <sheet name="Optimization Model (2)_STS" sheetId="13" state="veryHidden" r:id="rId6"/>
    <sheet name="Changing Diesel Prices_r!=1_STS" sheetId="11" state="veryHidden" r:id="rId7"/>
    <sheet name="Plant Capacity Changes" sheetId="29" r:id="rId8"/>
    <sheet name="STS_Londrina" sheetId="30" r:id="rId9"/>
    <sheet name="STS_Franca" sheetId="31" r:id="rId10"/>
    <sheet name="STS_Max_Sugar Londrina" sheetId="32" r:id="rId11"/>
    <sheet name="Add Dracena Supplier" sheetId="21" r:id="rId12"/>
    <sheet name="STS Dracena" sheetId="22" r:id="rId13"/>
    <sheet name="Optimization Model w no min" sheetId="23" r:id="rId14"/>
    <sheet name="Answer Report 2" sheetId="24" r:id="rId15"/>
    <sheet name="Sensitivity Report 2" sheetId="25" r:id="rId16"/>
    <sheet name="Limits Report 2" sheetId="26" r:id="rId17"/>
    <sheet name="Solution Sheet" sheetId="27" r:id="rId18"/>
    <sheet name="Changing Diesel Prices r=1" sheetId="12" r:id="rId19"/>
    <sheet name="STS r=1" sheetId="20" r:id="rId20"/>
    <sheet name="Changing Diesel Prices r!=1" sheetId="15" r:id="rId21"/>
    <sheet name="Changing Diesel Prices r!=1_STS" sheetId="16" state="veryHidden" r:id="rId22"/>
    <sheet name="STS r!=1" sheetId="18" r:id="rId23"/>
    <sheet name="Changing Diesel Prices r=1_STS" sheetId="19" state="veryHidden" r:id="rId24"/>
  </sheets>
  <externalReferences>
    <externalReference r:id="rId25"/>
    <externalReference r:id="rId26"/>
    <externalReference r:id="rId27"/>
  </externalReferences>
  <definedNames>
    <definedName name="ChartData" localSheetId="12">'STS Dracena'!$K$5:$K$405</definedName>
    <definedName name="ChartData" localSheetId="19">'STS r=1'!$K$5:$K$25</definedName>
    <definedName name="ChartData" localSheetId="9">STS_Franca!$AL$5:$AL$15</definedName>
    <definedName name="ChartData" localSheetId="8">STS_Londrina!$AL$5:$AL$15</definedName>
    <definedName name="ChartData" localSheetId="10">'STS_Max_Sugar Londrina'!$AL$5:$AL$45</definedName>
    <definedName name="ChartData1" localSheetId="22">'STS r!=1'!$N$5:$N$15</definedName>
    <definedName name="ChartData2" localSheetId="22">'STS r!=1'!$R$5:$R$25</definedName>
    <definedName name="D1F" localSheetId="11">'Add Dracena Supplier'!$I$19</definedName>
    <definedName name="D1F" localSheetId="20">'Changing Diesel Prices r!=1'!$I$18</definedName>
    <definedName name="D1F" localSheetId="18">'Changing Diesel Prices r=1'!$I$18</definedName>
    <definedName name="D1F" localSheetId="13">'Optimization Model w no min'!$I$18</definedName>
    <definedName name="D1F" localSheetId="7">'Plant Capacity Changes'!$I$17</definedName>
    <definedName name="D1F">'Optimization Model'!$I$18</definedName>
    <definedName name="D1L" localSheetId="11">'Add Dracena Supplier'!$H$19</definedName>
    <definedName name="D1L" localSheetId="20">'Changing Diesel Prices r!=1'!$H$18</definedName>
    <definedName name="D1L" localSheetId="18">'Changing Diesel Prices r=1'!$H$18</definedName>
    <definedName name="D1L" localSheetId="13">'Optimization Model w no min'!$H$18</definedName>
    <definedName name="D1L" localSheetId="7">'Plant Capacity Changes'!$H$17</definedName>
    <definedName name="D1L">'Optimization Model'!$H$18</definedName>
    <definedName name="D1max" localSheetId="11">'Add Dracena Supplier'!$C$46</definedName>
    <definedName name="D1max" localSheetId="20">'Changing Diesel Prices r!=1'!$C$46</definedName>
    <definedName name="D1max" localSheetId="18">'Changing Diesel Prices r=1'!$C$46</definedName>
    <definedName name="D1max" localSheetId="13">'Optimization Model w no min'!$C$46</definedName>
    <definedName name="D1max" localSheetId="7">'Plant Capacity Changes'!$C$46</definedName>
    <definedName name="D1max">'Optimization Model'!$C$46</definedName>
    <definedName name="D1min" localSheetId="11">'Add Dracena Supplier'!$B$46</definedName>
    <definedName name="D1min" localSheetId="20">'Changing Diesel Prices r!=1'!$B$46</definedName>
    <definedName name="D1min" localSheetId="18">'Changing Diesel Prices r=1'!$B$46</definedName>
    <definedName name="D1min" localSheetId="13">'Optimization Model w no min'!$B$46</definedName>
    <definedName name="D1min" localSheetId="7">'Plant Capacity Changes'!$B$46</definedName>
    <definedName name="D1min">'Optimization Model'!$B$46</definedName>
    <definedName name="D1total" localSheetId="11">'Add Dracena Supplier'!$J$19</definedName>
    <definedName name="D1total" localSheetId="20">'Changing Diesel Prices r!=1'!$J$18</definedName>
    <definedName name="D1total" localSheetId="18">'Changing Diesel Prices r=1'!$J$18</definedName>
    <definedName name="D1total" localSheetId="13">'Optimization Model w no min'!$J$18</definedName>
    <definedName name="D1total" localSheetId="7">'Plant Capacity Changes'!$J$17</definedName>
    <definedName name="D1total">'Optimization Model'!$J$18</definedName>
    <definedName name="D2F" localSheetId="11">'Add Dracena Supplier'!$I$20</definedName>
    <definedName name="D2F" localSheetId="20">'Changing Diesel Prices r!=1'!$I$19</definedName>
    <definedName name="D2F" localSheetId="18">'Changing Diesel Prices r=1'!$I$19</definedName>
    <definedName name="D2F" localSheetId="13">'Optimization Model w no min'!$I$19</definedName>
    <definedName name="D2F" localSheetId="7">'Plant Capacity Changes'!$I$18</definedName>
    <definedName name="D2F">'Optimization Model'!$I$19</definedName>
    <definedName name="D2L" localSheetId="11">'Add Dracena Supplier'!$H$20</definedName>
    <definedName name="D2L" localSheetId="20">'Changing Diesel Prices r!=1'!$H$19</definedName>
    <definedName name="D2L" localSheetId="18">'Changing Diesel Prices r=1'!$H$19</definedName>
    <definedName name="D2L" localSheetId="13">'Optimization Model w no min'!$H$19</definedName>
    <definedName name="D2L" localSheetId="7">'Plant Capacity Changes'!$H$18</definedName>
    <definedName name="D2L">'Optimization Model'!$H$19</definedName>
    <definedName name="D2max" localSheetId="11">'Add Dracena Supplier'!$C$47</definedName>
    <definedName name="D2max" localSheetId="20">'Changing Diesel Prices r!=1'!$C$47</definedName>
    <definedName name="D2max" localSheetId="18">'Changing Diesel Prices r=1'!$C$47</definedName>
    <definedName name="D2max" localSheetId="13">'Optimization Model w no min'!$C$47</definedName>
    <definedName name="D2max" localSheetId="7">'Plant Capacity Changes'!$C$47</definedName>
    <definedName name="D2max">'Optimization Model'!$C$47</definedName>
    <definedName name="D2min" localSheetId="11">'Add Dracena Supplier'!$B$47</definedName>
    <definedName name="D2min" localSheetId="20">'Changing Diesel Prices r!=1'!$B$47</definedName>
    <definedName name="D2min" localSheetId="18">'Changing Diesel Prices r=1'!$B$47</definedName>
    <definedName name="D2min" localSheetId="13">'Optimization Model w no min'!$B$47</definedName>
    <definedName name="D2min" localSheetId="7">'Plant Capacity Changes'!$B$47</definedName>
    <definedName name="D2min">'Optimization Model'!$B$47</definedName>
    <definedName name="D2total" localSheetId="11">'Add Dracena Supplier'!$J$20</definedName>
    <definedName name="D2total" localSheetId="20">'Changing Diesel Prices r!=1'!$J$19</definedName>
    <definedName name="D2total" localSheetId="18">'Changing Diesel Prices r=1'!$J$19</definedName>
    <definedName name="D2total" localSheetId="13">'Optimization Model w no min'!$J$19</definedName>
    <definedName name="D2total" localSheetId="7">'Plant Capacity Changes'!$J$18</definedName>
    <definedName name="D2total">'Optimization Model'!$J$19</definedName>
    <definedName name="D3F" localSheetId="11">'Add Dracena Supplier'!$I$21</definedName>
    <definedName name="D3F" localSheetId="20">'Changing Diesel Prices r!=1'!$I$20</definedName>
    <definedName name="D3F" localSheetId="18">'Changing Diesel Prices r=1'!$I$20</definedName>
    <definedName name="D3F" localSheetId="13">'Optimization Model w no min'!$I$20</definedName>
    <definedName name="D3F" localSheetId="7">'Plant Capacity Changes'!$I$19</definedName>
    <definedName name="D3F">'Optimization Model'!$I$20</definedName>
    <definedName name="D3L" localSheetId="11">'Add Dracena Supplier'!$H$21</definedName>
    <definedName name="D3L" localSheetId="20">'Changing Diesel Prices r!=1'!$H$20</definedName>
    <definedName name="D3L" localSheetId="18">'Changing Diesel Prices r=1'!$H$20</definedName>
    <definedName name="D3L" localSheetId="13">'Optimization Model w no min'!$H$20</definedName>
    <definedName name="D3L" localSheetId="7">'Plant Capacity Changes'!$H$19</definedName>
    <definedName name="D3L">'Optimization Model'!$H$20</definedName>
    <definedName name="D3max" localSheetId="11">'Add Dracena Supplier'!$C$48</definedName>
    <definedName name="D3max" localSheetId="20">'Changing Diesel Prices r!=1'!$C$48</definedName>
    <definedName name="D3max" localSheetId="18">'Changing Diesel Prices r=1'!$C$48</definedName>
    <definedName name="D3max" localSheetId="13">'Optimization Model w no min'!$C$48</definedName>
    <definedName name="D3max" localSheetId="7">'Plant Capacity Changes'!$C$48</definedName>
    <definedName name="D3max">'Optimization Model'!$C$48</definedName>
    <definedName name="D3min" localSheetId="11">'Add Dracena Supplier'!$B$48</definedName>
    <definedName name="D3min" localSheetId="20">'Changing Diesel Prices r!=1'!$B$48</definedName>
    <definedName name="D3min" localSheetId="18">'Changing Diesel Prices r=1'!$B$48</definedName>
    <definedName name="D3min" localSheetId="13">'Optimization Model w no min'!$B$48</definedName>
    <definedName name="D3min" localSheetId="7">'Plant Capacity Changes'!$B$48</definedName>
    <definedName name="D3min">'Optimization Model'!$B$48</definedName>
    <definedName name="D3total" localSheetId="11">'Add Dracena Supplier'!$J$21</definedName>
    <definedName name="D3total" localSheetId="20">'Changing Diesel Prices r!=1'!$J$20</definedName>
    <definedName name="D3total" localSheetId="18">'Changing Diesel Prices r=1'!$J$20</definedName>
    <definedName name="D3total" localSheetId="13">'Optimization Model w no min'!$J$20</definedName>
    <definedName name="D3total" localSheetId="7">'Plant Capacity Changes'!$J$19</definedName>
    <definedName name="D3total">'Optimization Model'!$J$20</definedName>
    <definedName name="D4F" localSheetId="11">'Add Dracena Supplier'!$I$22</definedName>
    <definedName name="D4F" localSheetId="20">'Changing Diesel Prices r!=1'!$I$21</definedName>
    <definedName name="D4F" localSheetId="18">'Changing Diesel Prices r=1'!$I$21</definedName>
    <definedName name="D4F" localSheetId="13">'Optimization Model w no min'!$I$21</definedName>
    <definedName name="D4F" localSheetId="7">'Plant Capacity Changes'!$I$20</definedName>
    <definedName name="D4F">'Optimization Model'!$I$21</definedName>
    <definedName name="D4L" localSheetId="11">'Add Dracena Supplier'!$H$22</definedName>
    <definedName name="D4L" localSheetId="20">'Changing Diesel Prices r!=1'!$H$21</definedName>
    <definedName name="D4L" localSheetId="18">'Changing Diesel Prices r=1'!$H$21</definedName>
    <definedName name="D4L" localSheetId="13">'Optimization Model w no min'!$H$21</definedName>
    <definedName name="D4L" localSheetId="7">'Plant Capacity Changes'!$H$20</definedName>
    <definedName name="D4L">'Optimization Model'!$H$21</definedName>
    <definedName name="D4max" localSheetId="11">'Add Dracena Supplier'!$C$49</definedName>
    <definedName name="D4max" localSheetId="20">'Changing Diesel Prices r!=1'!$C$49</definedName>
    <definedName name="D4max" localSheetId="18">'Changing Diesel Prices r=1'!$C$49</definedName>
    <definedName name="D4max" localSheetId="13">'Optimization Model w no min'!$C$49</definedName>
    <definedName name="D4max" localSheetId="7">'Plant Capacity Changes'!$C$49</definedName>
    <definedName name="D4max">'Optimization Model'!$C$49</definedName>
    <definedName name="D4min" localSheetId="11">'Add Dracena Supplier'!$B$49</definedName>
    <definedName name="D4min" localSheetId="20">'Changing Diesel Prices r!=1'!$B$49</definedName>
    <definedName name="D4min" localSheetId="18">'Changing Diesel Prices r=1'!$B$49</definedName>
    <definedName name="D4min" localSheetId="13">'Optimization Model w no min'!$B$49</definedName>
    <definedName name="D4min" localSheetId="7">'Plant Capacity Changes'!$B$49</definedName>
    <definedName name="D4min">'Optimization Model'!$B$49</definedName>
    <definedName name="D4total" localSheetId="11">'Add Dracena Supplier'!$J$22</definedName>
    <definedName name="D4total" localSheetId="20">'Changing Diesel Prices r!=1'!$J$21</definedName>
    <definedName name="D4total" localSheetId="18">'Changing Diesel Prices r=1'!$J$21</definedName>
    <definedName name="D4total" localSheetId="13">'Optimization Model w no min'!$J$21</definedName>
    <definedName name="D4total" localSheetId="7">'Plant Capacity Changes'!$J$20</definedName>
    <definedName name="D4total">'Optimization Model'!$J$21</definedName>
    <definedName name="D5F" localSheetId="11">'Add Dracena Supplier'!$I$23</definedName>
    <definedName name="D5F" localSheetId="20">'Changing Diesel Prices r!=1'!$I$22</definedName>
    <definedName name="D5F" localSheetId="18">'Changing Diesel Prices r=1'!$I$22</definedName>
    <definedName name="D5F" localSheetId="13">'Optimization Model w no min'!$I$22</definedName>
    <definedName name="D5F" localSheetId="7">'Plant Capacity Changes'!$I$21</definedName>
    <definedName name="D5F">'Optimization Model'!$I$22</definedName>
    <definedName name="D5L" localSheetId="11">'Add Dracena Supplier'!$H$23</definedName>
    <definedName name="D5L" localSheetId="20">'Changing Diesel Prices r!=1'!$H$22</definedName>
    <definedName name="D5L" localSheetId="18">'Changing Diesel Prices r=1'!$H$22</definedName>
    <definedName name="D5L" localSheetId="13">'Optimization Model w no min'!$H$22</definedName>
    <definedName name="D5L" localSheetId="7">'Plant Capacity Changes'!$H$21</definedName>
    <definedName name="D5L">'Optimization Model'!$H$22</definedName>
    <definedName name="D5max" localSheetId="11">'Add Dracena Supplier'!$C$50</definedName>
    <definedName name="D5max" localSheetId="20">'Changing Diesel Prices r!=1'!$C$50</definedName>
    <definedName name="D5max" localSheetId="18">'Changing Diesel Prices r=1'!$C$50</definedName>
    <definedName name="D5max" localSheetId="13">'Optimization Model w no min'!$C$50</definedName>
    <definedName name="D5max" localSheetId="7">'Plant Capacity Changes'!$C$50</definedName>
    <definedName name="D5max">'Optimization Model'!$C$50</definedName>
    <definedName name="D5min" localSheetId="11">'Add Dracena Supplier'!$B$50</definedName>
    <definedName name="D5min" localSheetId="20">'Changing Diesel Prices r!=1'!$B$50</definedName>
    <definedName name="D5min" localSheetId="18">'Changing Diesel Prices r=1'!$B$50</definedName>
    <definedName name="D5min" localSheetId="13">'Optimization Model w no min'!$B$50</definedName>
    <definedName name="D5min" localSheetId="7">'Plant Capacity Changes'!$B$50</definedName>
    <definedName name="D5min">'Optimization Model'!$B$50</definedName>
    <definedName name="D5total" localSheetId="11">'Add Dracena Supplier'!$J$23</definedName>
    <definedName name="D5total" localSheetId="20">'Changing Diesel Prices r!=1'!$J$22</definedName>
    <definedName name="D5total" localSheetId="18">'Changing Diesel Prices r=1'!$J$22</definedName>
    <definedName name="D5total" localSheetId="13">'Optimization Model w no min'!$J$22</definedName>
    <definedName name="D5total" localSheetId="7">'Plant Capacity Changes'!$J$21</definedName>
    <definedName name="D5total">'Optimization Model'!$J$22</definedName>
    <definedName name="D6F" localSheetId="11">'Add Dracena Supplier'!$I$24</definedName>
    <definedName name="D6F" localSheetId="20">'Changing Diesel Prices r!=1'!$I$23</definedName>
    <definedName name="D6F" localSheetId="18">'Changing Diesel Prices r=1'!$I$23</definedName>
    <definedName name="D6F" localSheetId="13">'Optimization Model w no min'!$I$23</definedName>
    <definedName name="D6F" localSheetId="7">'Plant Capacity Changes'!$I$22</definedName>
    <definedName name="D6F">'Optimization Model'!$I$23</definedName>
    <definedName name="D6L" localSheetId="11">'Add Dracena Supplier'!$H$24</definedName>
    <definedName name="D6L" localSheetId="20">'Changing Diesel Prices r!=1'!$H$23</definedName>
    <definedName name="D6L" localSheetId="18">'Changing Diesel Prices r=1'!$H$23</definedName>
    <definedName name="D6L" localSheetId="13">'Optimization Model w no min'!$H$23</definedName>
    <definedName name="D6L" localSheetId="7">'Plant Capacity Changes'!$H$22</definedName>
    <definedName name="D6L">'Optimization Model'!$H$23</definedName>
    <definedName name="D6max" localSheetId="11">'Add Dracena Supplier'!$C$51</definedName>
    <definedName name="D6max" localSheetId="20">'Changing Diesel Prices r!=1'!$C$51</definedName>
    <definedName name="D6max" localSheetId="18">'Changing Diesel Prices r=1'!$C$51</definedName>
    <definedName name="D6max" localSheetId="13">'Optimization Model w no min'!$C$51</definedName>
    <definedName name="D6max" localSheetId="7">'Plant Capacity Changes'!$C$51</definedName>
    <definedName name="D6max">'Optimization Model'!$C$51</definedName>
    <definedName name="D6min" localSheetId="11">'Add Dracena Supplier'!$B$51</definedName>
    <definedName name="D6min" localSheetId="20">'Changing Diesel Prices r!=1'!$B$51</definedName>
    <definedName name="D6min" localSheetId="18">'Changing Diesel Prices r=1'!$B$51</definedName>
    <definedName name="D6min" localSheetId="13">'Optimization Model w no min'!$B$51</definedName>
    <definedName name="D6min" localSheetId="7">'Plant Capacity Changes'!$B$51</definedName>
    <definedName name="D6min">'Optimization Model'!$B$51</definedName>
    <definedName name="D6total" localSheetId="11">'Add Dracena Supplier'!$J$24</definedName>
    <definedName name="D6total" localSheetId="20">'Changing Diesel Prices r!=1'!$J$23</definedName>
    <definedName name="D6total" localSheetId="18">'Changing Diesel Prices r=1'!$J$23</definedName>
    <definedName name="D6total" localSheetId="13">'Optimization Model w no min'!$J$23</definedName>
    <definedName name="D6total" localSheetId="7">'Plant Capacity Changes'!$J$22</definedName>
    <definedName name="D6total">'Optimization Model'!$J$23</definedName>
    <definedName name="D7F" localSheetId="11">'Add Dracena Supplier'!$I$25</definedName>
    <definedName name="D7F" localSheetId="20">'Changing Diesel Prices r!=1'!$I$24</definedName>
    <definedName name="D7F" localSheetId="18">'Changing Diesel Prices r=1'!$I$24</definedName>
    <definedName name="D7F" localSheetId="13">'Optimization Model w no min'!$I$24</definedName>
    <definedName name="D7F" localSheetId="7">'Plant Capacity Changes'!$I$23</definedName>
    <definedName name="D7F">'Optimization Model'!$I$24</definedName>
    <definedName name="D7L" localSheetId="11">'Add Dracena Supplier'!$H$25</definedName>
    <definedName name="D7L" localSheetId="20">'Changing Diesel Prices r!=1'!$H$24</definedName>
    <definedName name="D7L" localSheetId="18">'Changing Diesel Prices r=1'!$H$24</definedName>
    <definedName name="D7L" localSheetId="13">'Optimization Model w no min'!$H$24</definedName>
    <definedName name="D7L" localSheetId="7">'Plant Capacity Changes'!$H$23</definedName>
    <definedName name="D7L">'Optimization Model'!$H$24</definedName>
    <definedName name="D7max" localSheetId="11">'Add Dracena Supplier'!$C$52</definedName>
    <definedName name="D7max" localSheetId="20">'Changing Diesel Prices r!=1'!$C$52</definedName>
    <definedName name="D7max" localSheetId="18">'Changing Diesel Prices r=1'!$C$52</definedName>
    <definedName name="D7max" localSheetId="13">'Optimization Model w no min'!$C$52</definedName>
    <definedName name="D7max" localSheetId="7">'Plant Capacity Changes'!$C$52</definedName>
    <definedName name="D7max">'Optimization Model'!$C$52</definedName>
    <definedName name="D7min" localSheetId="11">'Add Dracena Supplier'!$B$52</definedName>
    <definedName name="D7min" localSheetId="20">'Changing Diesel Prices r!=1'!$B$52</definedName>
    <definedName name="D7min" localSheetId="18">'Changing Diesel Prices r=1'!$B$52</definedName>
    <definedName name="D7min" localSheetId="13">'Optimization Model w no min'!$B$52</definedName>
    <definedName name="D7min" localSheetId="7">'Plant Capacity Changes'!$B$52</definedName>
    <definedName name="D7min">'Optimization Model'!$B$52</definedName>
    <definedName name="D7total" localSheetId="11">'Add Dracena Supplier'!$J$25</definedName>
    <definedName name="D7total" localSheetId="20">'Changing Diesel Prices r!=1'!$J$24</definedName>
    <definedName name="D7total" localSheetId="18">'Changing Diesel Prices r=1'!$J$24</definedName>
    <definedName name="D7total" localSheetId="13">'Optimization Model w no min'!$J$24</definedName>
    <definedName name="D7total" localSheetId="7">'Plant Capacity Changes'!$J$23</definedName>
    <definedName name="D7total">'Optimization Model'!$J$24</definedName>
    <definedName name="D8F" localSheetId="11">'Add Dracena Supplier'!$I$26</definedName>
    <definedName name="D8F" localSheetId="20">'Changing Diesel Prices r!=1'!$I$25</definedName>
    <definedName name="D8F" localSheetId="18">'Changing Diesel Prices r=1'!$I$25</definedName>
    <definedName name="D8F" localSheetId="13">'Optimization Model w no min'!$I$25</definedName>
    <definedName name="D8F" localSheetId="7">'Plant Capacity Changes'!$I$24</definedName>
    <definedName name="D8F">'Optimization Model'!$I$25</definedName>
    <definedName name="D8L" localSheetId="11">'Add Dracena Supplier'!$H$26</definedName>
    <definedName name="D8L" localSheetId="20">'Changing Diesel Prices r!=1'!$H$25</definedName>
    <definedName name="D8L" localSheetId="18">'Changing Diesel Prices r=1'!$H$25</definedName>
    <definedName name="D8L" localSheetId="13">'Optimization Model w no min'!$H$25</definedName>
    <definedName name="D8L" localSheetId="7">'Plant Capacity Changes'!$H$24</definedName>
    <definedName name="D8L">'Optimization Model'!$H$25</definedName>
    <definedName name="D8max" localSheetId="11">'Add Dracena Supplier'!$C$53</definedName>
    <definedName name="D8max" localSheetId="20">'Changing Diesel Prices r!=1'!$C$53</definedName>
    <definedName name="D8max" localSheetId="18">'Changing Diesel Prices r=1'!$C$53</definedName>
    <definedName name="D8max" localSheetId="13">'Optimization Model w no min'!$C$53</definedName>
    <definedName name="D8max" localSheetId="7">'Plant Capacity Changes'!$C$53</definedName>
    <definedName name="D8max">'Optimization Model'!$C$53</definedName>
    <definedName name="D8min" localSheetId="11">'Add Dracena Supplier'!$B$53</definedName>
    <definedName name="D8min" localSheetId="20">'Changing Diesel Prices r!=1'!$B$53</definedName>
    <definedName name="D8min" localSheetId="18">'Changing Diesel Prices r=1'!$B$53</definedName>
    <definedName name="D8min" localSheetId="13">'Optimization Model w no min'!$B$53</definedName>
    <definedName name="D8min" localSheetId="7">'Plant Capacity Changes'!$B$53</definedName>
    <definedName name="D8min">'Optimization Model'!$B$53</definedName>
    <definedName name="D8total" localSheetId="11">'Add Dracena Supplier'!$J$26</definedName>
    <definedName name="D8total" localSheetId="20">'Changing Diesel Prices r!=1'!$J$25</definedName>
    <definedName name="D8total" localSheetId="18">'Changing Diesel Prices r=1'!$J$25</definedName>
    <definedName name="D8total" localSheetId="13">'Optimization Model w no min'!$J$25</definedName>
    <definedName name="D8total" localSheetId="7">'Plant Capacity Changes'!$J$24</definedName>
    <definedName name="D8total">'Optimization Model'!$J$25</definedName>
    <definedName name="D9F" localSheetId="11">'Add Dracena Supplier'!$I$27</definedName>
    <definedName name="D9F" localSheetId="20">'Changing Diesel Prices r!=1'!$I$26</definedName>
    <definedName name="D9F" localSheetId="18">'Changing Diesel Prices r=1'!$I$26</definedName>
    <definedName name="D9F" localSheetId="13">'Optimization Model w no min'!$I$26</definedName>
    <definedName name="D9F" localSheetId="7">'Plant Capacity Changes'!$I$25</definedName>
    <definedName name="D9F">'Optimization Model'!$I$26</definedName>
    <definedName name="D9L" localSheetId="11">'Add Dracena Supplier'!$H$27</definedName>
    <definedName name="D9L" localSheetId="20">'Changing Diesel Prices r!=1'!$H$26</definedName>
    <definedName name="D9L" localSheetId="18">'Changing Diesel Prices r=1'!$H$26</definedName>
    <definedName name="D9L" localSheetId="13">'Optimization Model w no min'!$H$26</definedName>
    <definedName name="D9L" localSheetId="7">'Plant Capacity Changes'!$H$25</definedName>
    <definedName name="D9L">'Optimization Model'!$H$26</definedName>
    <definedName name="D9max" localSheetId="11">'Add Dracena Supplier'!$C$54</definedName>
    <definedName name="D9max" localSheetId="20">'Changing Diesel Prices r!=1'!$C$54</definedName>
    <definedName name="D9max" localSheetId="18">'Changing Diesel Prices r=1'!$C$54</definedName>
    <definedName name="D9max" localSheetId="13">'Optimization Model w no min'!$C$54</definedName>
    <definedName name="D9max" localSheetId="7">'Plant Capacity Changes'!$C$54</definedName>
    <definedName name="D9max">'Optimization Model'!$C$54</definedName>
    <definedName name="D9min" localSheetId="11">'Add Dracena Supplier'!$B$54</definedName>
    <definedName name="D9min" localSheetId="20">'Changing Diesel Prices r!=1'!$B$54</definedName>
    <definedName name="D9min" localSheetId="18">'Changing Diesel Prices r=1'!$B$54</definedName>
    <definedName name="D9min" localSheetId="13">'Optimization Model w no min'!$B$54</definedName>
    <definedName name="D9min" localSheetId="7">'Plant Capacity Changes'!$B$54</definedName>
    <definedName name="D9min">'Optimization Model'!$B$54</definedName>
    <definedName name="D9total" localSheetId="11">'Add Dracena Supplier'!$J$27</definedName>
    <definedName name="D9total" localSheetId="20">'Changing Diesel Prices r!=1'!$J$26</definedName>
    <definedName name="D9total" localSheetId="18">'Changing Diesel Prices r=1'!$J$26</definedName>
    <definedName name="D9total" localSheetId="13">'Optimization Model w no min'!$J$26</definedName>
    <definedName name="D9total" localSheetId="7">'Plant Capacity Changes'!$J$25</definedName>
    <definedName name="D9total">'Optimization Model'!$J$26</definedName>
    <definedName name="Fbag" localSheetId="11">'Add Dracena Supplier'!$I$34</definedName>
    <definedName name="Fbag" localSheetId="20">'Changing Diesel Prices r!=1'!$I$34</definedName>
    <definedName name="Fbag" localSheetId="18">'Changing Diesel Prices r=1'!$I$34</definedName>
    <definedName name="Fbag" localSheetId="13">'Optimization Model w no min'!$I$34</definedName>
    <definedName name="Fbag" localSheetId="7">'Plant Capacity Changes'!$I$34</definedName>
    <definedName name="Fbag">'Optimization Model'!$I$34</definedName>
    <definedName name="Fmol" localSheetId="11">'Add Dracena Supplier'!$I$32</definedName>
    <definedName name="Fmol" localSheetId="14">'[2]Optimization Model'!$I$32</definedName>
    <definedName name="Fmol" localSheetId="20">'Changing Diesel Prices r!=1'!$I$32</definedName>
    <definedName name="Fmol" localSheetId="18">'Changing Diesel Prices r=1'!$I$32</definedName>
    <definedName name="Fmol" localSheetId="16">'[2]Optimization Model'!$I$32</definedName>
    <definedName name="Fmol" localSheetId="13">'Optimization Model w no min'!$I$32</definedName>
    <definedName name="Fmol" localSheetId="7">'Plant Capacity Changes'!$I$31</definedName>
    <definedName name="Fmol" localSheetId="15">'[2]Optimization Model'!$I$32</definedName>
    <definedName name="Fmol" localSheetId="17">'[2]Optimization Model'!$I$32</definedName>
    <definedName name="Fmol" localSheetId="12">'[1]Optimization Model'!$I$32</definedName>
    <definedName name="Fmol" localSheetId="9">'[3]Input Data'!$I$31</definedName>
    <definedName name="Fmol" localSheetId="8">'[3]Input Data'!$I$31</definedName>
    <definedName name="Fmol" localSheetId="10">'[3]Input Data'!$I$31</definedName>
    <definedName name="Fmol">'Optimization Model'!$I$32</definedName>
    <definedName name="Fmolmax" localSheetId="11">'Add Dracena Supplier'!$I$40</definedName>
    <definedName name="Fmolmax" localSheetId="14">'[2]Optimization Model'!$I$40</definedName>
    <definedName name="Fmolmax" localSheetId="20">'Changing Diesel Prices r!=1'!$I$40</definedName>
    <definedName name="Fmolmax" localSheetId="18">'Changing Diesel Prices r=1'!$I$40</definedName>
    <definedName name="Fmolmax" localSheetId="16">'[2]Optimization Model'!$I$40</definedName>
    <definedName name="Fmolmax" localSheetId="13">'Optimization Model w no min'!$I$40</definedName>
    <definedName name="Fmolmax" localSheetId="7">'Plant Capacity Changes'!$I$39</definedName>
    <definedName name="Fmolmax" localSheetId="15">'[2]Optimization Model'!$I$40</definedName>
    <definedName name="Fmolmax" localSheetId="17">'[2]Optimization Model'!$I$40</definedName>
    <definedName name="Fmolmax" localSheetId="12">'[1]Optimization Model'!$I$40</definedName>
    <definedName name="Fmolmax" localSheetId="9">'[3]Input Data'!$I$39</definedName>
    <definedName name="Fmolmax" localSheetId="8">'[3]Input Data'!$I$39</definedName>
    <definedName name="Fmolmax" localSheetId="10">'[3]Input Data'!$I$39</definedName>
    <definedName name="Fmolmax">'Optimization Model'!$I$40</definedName>
    <definedName name="Fmolmin" localSheetId="11">'Add Dracena Supplier'!$I$39</definedName>
    <definedName name="Fmolmin" localSheetId="14">'[2]Optimization Model'!$I$39</definedName>
    <definedName name="Fmolmin" localSheetId="20">'Changing Diesel Prices r!=1'!$I$39</definedName>
    <definedName name="Fmolmin" localSheetId="18">'Changing Diesel Prices r=1'!$I$39</definedName>
    <definedName name="Fmolmin" localSheetId="16">'[2]Optimization Model'!$I$39</definedName>
    <definedName name="Fmolmin" localSheetId="13">'Optimization Model w no min'!$I$39</definedName>
    <definedName name="Fmolmin" localSheetId="7">'Plant Capacity Changes'!$I$38</definedName>
    <definedName name="Fmolmin" localSheetId="15">'[2]Optimization Model'!$I$39</definedName>
    <definedName name="Fmolmin" localSheetId="17">'[2]Optimization Model'!$I$39</definedName>
    <definedName name="Fmolmin" localSheetId="12">'[1]Optimization Model'!$I$39</definedName>
    <definedName name="Fmolmin" localSheetId="9">'[3]Input Data'!$I$38</definedName>
    <definedName name="Fmolmin" localSheetId="8">'[3]Input Data'!$I$38</definedName>
    <definedName name="Fmolmin" localSheetId="10">'[3]Input Data'!$I$38</definedName>
    <definedName name="Fmolmin">'Optimization Model'!$I$39</definedName>
    <definedName name="Frefine" localSheetId="11">'Add Dracena Supplier'!#REF!</definedName>
    <definedName name="Frefine" localSheetId="14">'[2]Optimization Model'!#REF!</definedName>
    <definedName name="Frefine" localSheetId="20">'Changing Diesel Prices r!=1'!#REF!</definedName>
    <definedName name="Frefine" localSheetId="18">'Changing Diesel Prices r=1'!#REF!</definedName>
    <definedName name="Frefine" localSheetId="16">'[2]Optimization Model'!#REF!</definedName>
    <definedName name="Frefine" localSheetId="13">'Optimization Model w no min'!#REF!</definedName>
    <definedName name="Frefine" localSheetId="7">'Plant Capacity Changes'!$I$33</definedName>
    <definedName name="Frefine" localSheetId="15">'[2]Optimization Model'!#REF!</definedName>
    <definedName name="Frefine" localSheetId="17">'[2]Optimization Model'!#REF!</definedName>
    <definedName name="Frefine" localSheetId="12">'[1]Optimization Model'!#REF!</definedName>
    <definedName name="Frefine">'Optimization Model'!#REF!</definedName>
    <definedName name="Fsug" localSheetId="11">'Add Dracena Supplier'!$I$33</definedName>
    <definedName name="Fsug" localSheetId="20">'Changing Diesel Prices r!=1'!$I$33</definedName>
    <definedName name="Fsug" localSheetId="18">'Changing Diesel Prices r=1'!$I$33</definedName>
    <definedName name="Fsug" localSheetId="13">'Optimization Model w no min'!$I$33</definedName>
    <definedName name="Fsug" localSheetId="7">'Plant Capacity Changes'!$I$32</definedName>
    <definedName name="Fsug">'Optimization Model'!$I$33</definedName>
    <definedName name="Fsugmax" localSheetId="11">'Add Dracena Supplier'!$I$44</definedName>
    <definedName name="Fsugmax" localSheetId="14">'[2]Optimization Model'!$I$44</definedName>
    <definedName name="Fsugmax" localSheetId="20">'Changing Diesel Prices r!=1'!$I$44</definedName>
    <definedName name="Fsugmax" localSheetId="18">'Changing Diesel Prices r=1'!$I$44</definedName>
    <definedName name="Fsugmax" localSheetId="16">'[2]Optimization Model'!$I$44</definedName>
    <definedName name="Fsugmax" localSheetId="13">'Optimization Model w no min'!$I$44</definedName>
    <definedName name="Fsugmax" localSheetId="7">'Plant Capacity Changes'!$I$43</definedName>
    <definedName name="Fsugmax" localSheetId="15">'[2]Optimization Model'!$I$44</definedName>
    <definedName name="Fsugmax" localSheetId="17">'[2]Optimization Model'!$I$44</definedName>
    <definedName name="Fsugmax" localSheetId="12">'[1]Optimization Model'!$I$44</definedName>
    <definedName name="Fsugmax" localSheetId="9">'[3]Input Data'!$I$43</definedName>
    <definedName name="Fsugmax" localSheetId="8">'[3]Input Data'!$I$43</definedName>
    <definedName name="Fsugmax" localSheetId="10">'[3]Input Data'!$I$43</definedName>
    <definedName name="Fsugmax">'Optimization Model'!$I$44</definedName>
    <definedName name="Fsugmin" localSheetId="11">'Add Dracena Supplier'!$I$43</definedName>
    <definedName name="Fsugmin" localSheetId="14">'[2]Optimization Model'!$I$43</definedName>
    <definedName name="Fsugmin" localSheetId="20">'Changing Diesel Prices r!=1'!$I$43</definedName>
    <definedName name="Fsugmin" localSheetId="18">'Changing Diesel Prices r=1'!$I$43</definedName>
    <definedName name="Fsugmin" localSheetId="16">'[2]Optimization Model'!$I$43</definedName>
    <definedName name="Fsugmin" localSheetId="13">'Optimization Model w no min'!$I$43</definedName>
    <definedName name="Fsugmin" localSheetId="7">'Plant Capacity Changes'!$I$42</definedName>
    <definedName name="Fsugmin" localSheetId="15">'[2]Optimization Model'!$I$43</definedName>
    <definedName name="Fsugmin" localSheetId="17">'[2]Optimization Model'!$I$43</definedName>
    <definedName name="Fsugmin" localSheetId="12">'[1]Optimization Model'!$I$43</definedName>
    <definedName name="Fsugmin" localSheetId="9">'[3]Input Data'!$I$42</definedName>
    <definedName name="Fsugmin" localSheetId="8">'[3]Input Data'!$I$42</definedName>
    <definedName name="Fsugmin" localSheetId="10">'[3]Input Data'!$I$42</definedName>
    <definedName name="Fsugmin">'Optimization Model'!$I$43</definedName>
    <definedName name="Ftotal" localSheetId="11">'Add Dracena Supplier'!$I$28</definedName>
    <definedName name="Ftotal" localSheetId="20">'Changing Diesel Prices r!=1'!$I$27</definedName>
    <definedName name="Ftotal" localSheetId="18">'Changing Diesel Prices r=1'!$I$27</definedName>
    <definedName name="Ftotal" localSheetId="13">'Optimization Model w no min'!$I$27</definedName>
    <definedName name="Ftotal" localSheetId="7">'Plant Capacity Changes'!$I$26</definedName>
    <definedName name="Ftotal">'Optimization Model'!$I$27</definedName>
    <definedName name="InputValues" localSheetId="12">'STS Dracena'!$A$5:$A$405</definedName>
    <definedName name="InputValues" localSheetId="19">'STS r=1'!$A$5:$A$25</definedName>
    <definedName name="InputValues" localSheetId="9">STS_Franca!$A$5:$A$15</definedName>
    <definedName name="InputValues" localSheetId="8">STS_Londrina!$A$5:$A$15</definedName>
    <definedName name="InputValues" localSheetId="10">'STS_Max_Sugar Londrina'!$A$5:$A$45</definedName>
    <definedName name="InputValues1" localSheetId="22">'STS r!=1'!$A$5:$A$25</definedName>
    <definedName name="InputValues2" localSheetId="22">'STS r!=1'!$B$4:$L$4</definedName>
    <definedName name="Lbag" localSheetId="11">'Add Dracena Supplier'!$H$34</definedName>
    <definedName name="Lbag" localSheetId="20">'Changing Diesel Prices r!=1'!$H$34</definedName>
    <definedName name="Lbag" localSheetId="18">'Changing Diesel Prices r=1'!$H$34</definedName>
    <definedName name="Lbag" localSheetId="13">'Optimization Model w no min'!$H$34</definedName>
    <definedName name="Lbag" localSheetId="7">'Plant Capacity Changes'!$H$34</definedName>
    <definedName name="Lbag">'Optimization Model'!$H$34</definedName>
    <definedName name="Lmol" localSheetId="11">'Add Dracena Supplier'!$H$32</definedName>
    <definedName name="Lmol" localSheetId="14">'[2]Optimization Model'!$H$32</definedName>
    <definedName name="Lmol" localSheetId="20">'Changing Diesel Prices r!=1'!$H$32</definedName>
    <definedName name="Lmol" localSheetId="18">'Changing Diesel Prices r=1'!$H$32</definedName>
    <definedName name="Lmol" localSheetId="16">'[2]Optimization Model'!$H$32</definedName>
    <definedName name="Lmol" localSheetId="13">'Optimization Model w no min'!$H$32</definedName>
    <definedName name="Lmol" localSheetId="7">'Plant Capacity Changes'!$H$31</definedName>
    <definedName name="Lmol" localSheetId="15">'[2]Optimization Model'!$H$32</definedName>
    <definedName name="Lmol" localSheetId="17">'[2]Optimization Model'!$H$32</definedName>
    <definedName name="Lmol" localSheetId="12">'[1]Optimization Model'!$H$32</definedName>
    <definedName name="Lmol" localSheetId="9">'[3]Input Data'!$H$31</definedName>
    <definedName name="Lmol" localSheetId="8">'[3]Input Data'!$H$31</definedName>
    <definedName name="Lmol" localSheetId="10">'[3]Input Data'!$H$31</definedName>
    <definedName name="Lmol">'Optimization Model'!$H$32</definedName>
    <definedName name="Lmolmax" localSheetId="11">'Add Dracena Supplier'!$H$40</definedName>
    <definedName name="Lmolmax" localSheetId="14">'[2]Optimization Model'!$H$40</definedName>
    <definedName name="Lmolmax" localSheetId="20">'Changing Diesel Prices r!=1'!$H$40</definedName>
    <definedName name="Lmolmax" localSheetId="18">'Changing Diesel Prices r=1'!$H$40</definedName>
    <definedName name="Lmolmax" localSheetId="16">'[2]Optimization Model'!$H$40</definedName>
    <definedName name="Lmolmax" localSheetId="13">'Optimization Model w no min'!$H$40</definedName>
    <definedName name="Lmolmax" localSheetId="7">'Plant Capacity Changes'!$H$39</definedName>
    <definedName name="Lmolmax" localSheetId="15">'[2]Optimization Model'!$H$40</definedName>
    <definedName name="Lmolmax" localSheetId="17">'[2]Optimization Model'!$H$40</definedName>
    <definedName name="Lmolmax" localSheetId="12">'[1]Optimization Model'!$H$40</definedName>
    <definedName name="Lmolmax" localSheetId="9">'[3]Input Data'!$H$39</definedName>
    <definedName name="Lmolmax" localSheetId="8">'[3]Input Data'!$H$39</definedName>
    <definedName name="Lmolmax" localSheetId="10">'[3]Input Data'!$H$39</definedName>
    <definedName name="Lmolmax">'Optimization Model'!$H$40</definedName>
    <definedName name="Lmolmin" localSheetId="11">'Add Dracena Supplier'!$H$39</definedName>
    <definedName name="Lmolmin" localSheetId="14">'[2]Optimization Model'!$H$39</definedName>
    <definedName name="Lmolmin" localSheetId="20">'Changing Diesel Prices r!=1'!$H$39</definedName>
    <definedName name="Lmolmin" localSheetId="18">'Changing Diesel Prices r=1'!$H$39</definedName>
    <definedName name="Lmolmin" localSheetId="16">'[2]Optimization Model'!$H$39</definedName>
    <definedName name="Lmolmin" localSheetId="13">'Optimization Model w no min'!$H$39</definedName>
    <definedName name="Lmolmin" localSheetId="7">'Plant Capacity Changes'!$H$38</definedName>
    <definedName name="Lmolmin" localSheetId="15">'[2]Optimization Model'!$H$39</definedName>
    <definedName name="Lmolmin" localSheetId="17">'[2]Optimization Model'!$H$39</definedName>
    <definedName name="Lmolmin" localSheetId="12">'[1]Optimization Model'!$H$39</definedName>
    <definedName name="Lmolmin" localSheetId="9">'[3]Input Data'!$H$38</definedName>
    <definedName name="Lmolmin" localSheetId="8">'[3]Input Data'!$H$38</definedName>
    <definedName name="Lmolmin" localSheetId="10">'[3]Input Data'!$H$38</definedName>
    <definedName name="Lmolmin">'Optimization Model'!$H$39</definedName>
    <definedName name="Lrefine" localSheetId="11">'Add Dracena Supplier'!#REF!</definedName>
    <definedName name="Lrefine" localSheetId="14">'[2]Optimization Model'!#REF!</definedName>
    <definedName name="Lrefine" localSheetId="20">'Changing Diesel Prices r!=1'!#REF!</definedName>
    <definedName name="Lrefine" localSheetId="18">'Changing Diesel Prices r=1'!#REF!</definedName>
    <definedName name="Lrefine" localSheetId="16">'[2]Optimization Model'!#REF!</definedName>
    <definedName name="Lrefine" localSheetId="13">'Optimization Model w no min'!#REF!</definedName>
    <definedName name="Lrefine" localSheetId="7">'Plant Capacity Changes'!$H$33</definedName>
    <definedName name="Lrefine" localSheetId="15">'[2]Optimization Model'!#REF!</definedName>
    <definedName name="Lrefine" localSheetId="17">'[2]Optimization Model'!#REF!</definedName>
    <definedName name="Lrefine" localSheetId="12">'[1]Optimization Model'!#REF!</definedName>
    <definedName name="Lrefine">'Optimization Model'!#REF!</definedName>
    <definedName name="Lrefmax" localSheetId="11">'Add Dracena Supplier'!$H$40</definedName>
    <definedName name="Lrefmax" localSheetId="20">'Changing Diesel Prices r!=1'!$H$40</definedName>
    <definedName name="Lrefmax" localSheetId="18">'Changing Diesel Prices r=1'!$H$40</definedName>
    <definedName name="Lrefmax" localSheetId="13">'Optimization Model w no min'!$H$40</definedName>
    <definedName name="Lrefmax" localSheetId="7">'Plant Capacity Changes'!$H$39</definedName>
    <definedName name="Lrefmax">'Optimization Model'!$H$40</definedName>
    <definedName name="Lrefmin" localSheetId="11">'Add Dracena Supplier'!$H$39</definedName>
    <definedName name="Lrefmin" localSheetId="20">'Changing Diesel Prices r!=1'!$H$39</definedName>
    <definedName name="Lrefmin" localSheetId="18">'Changing Diesel Prices r=1'!$H$39</definedName>
    <definedName name="Lrefmin" localSheetId="13">'Optimization Model w no min'!$H$39</definedName>
    <definedName name="Lrefmin" localSheetId="7">'Plant Capacity Changes'!$H$38</definedName>
    <definedName name="Lrefmin">'Optimization Model'!$H$39</definedName>
    <definedName name="Lsug" localSheetId="11">'Add Dracena Supplier'!$H$33</definedName>
    <definedName name="Lsug" localSheetId="20">'Changing Diesel Prices r!=1'!$H$33</definedName>
    <definedName name="Lsug" localSheetId="18">'Changing Diesel Prices r=1'!$H$33</definedName>
    <definedName name="Lsug" localSheetId="13">'Optimization Model w no min'!$H$33</definedName>
    <definedName name="Lsug" localSheetId="7">'Plant Capacity Changes'!$H$32</definedName>
    <definedName name="Lsug">'Optimization Model'!$H$33</definedName>
    <definedName name="Lsugmax" localSheetId="11">'Add Dracena Supplier'!$H$44</definedName>
    <definedName name="Lsugmax" localSheetId="14">'[2]Optimization Model'!$H$44</definedName>
    <definedName name="Lsugmax" localSheetId="20">'Changing Diesel Prices r!=1'!$H$44</definedName>
    <definedName name="Lsugmax" localSheetId="18">'Changing Diesel Prices r=1'!$H$44</definedName>
    <definedName name="Lsugmax" localSheetId="16">'[2]Optimization Model'!$H$44</definedName>
    <definedName name="Lsugmax" localSheetId="13">'Optimization Model w no min'!$H$44</definedName>
    <definedName name="Lsugmax" localSheetId="7">'Plant Capacity Changes'!$H$43</definedName>
    <definedName name="Lsugmax" localSheetId="15">'[2]Optimization Model'!$H$44</definedName>
    <definedName name="Lsugmax" localSheetId="17">'[2]Optimization Model'!$H$44</definedName>
    <definedName name="Lsugmax" localSheetId="12">'[1]Optimization Model'!$H$44</definedName>
    <definedName name="Lsugmax" localSheetId="9">'[3]Input Data'!$H$43</definedName>
    <definedName name="Lsugmax" localSheetId="8">'[3]Input Data'!$H$43</definedName>
    <definedName name="Lsugmax" localSheetId="10">'[3]Input Data'!$H$43</definedName>
    <definedName name="Lsugmax">'Optimization Model'!$H$44</definedName>
    <definedName name="Lsugmin" localSheetId="11">'Add Dracena Supplier'!$H$43</definedName>
    <definedName name="Lsugmin" localSheetId="14">'[2]Optimization Model'!$H$43</definedName>
    <definedName name="Lsugmin" localSheetId="20">'Changing Diesel Prices r!=1'!$H$43</definedName>
    <definedName name="Lsugmin" localSheetId="18">'Changing Diesel Prices r=1'!$H$43</definedName>
    <definedName name="Lsugmin" localSheetId="16">'[2]Optimization Model'!$H$43</definedName>
    <definedName name="Lsugmin" localSheetId="13">'Optimization Model w no min'!$H$43</definedName>
    <definedName name="Lsugmin" localSheetId="7">'Plant Capacity Changes'!$H$42</definedName>
    <definedName name="Lsugmin" localSheetId="15">'[2]Optimization Model'!$H$43</definedName>
    <definedName name="Lsugmin" localSheetId="17">'[2]Optimization Model'!$H$43</definedName>
    <definedName name="Lsugmin" localSheetId="12">'[1]Optimization Model'!$H$43</definedName>
    <definedName name="Lsugmin" localSheetId="9">'[3]Input Data'!$H$42</definedName>
    <definedName name="Lsugmin" localSheetId="8">'[3]Input Data'!$H$42</definedName>
    <definedName name="Lsugmin" localSheetId="10">'[3]Input Data'!$H$42</definedName>
    <definedName name="Lsugmin">'Optimization Model'!$H$43</definedName>
    <definedName name="Ltotal" localSheetId="11">'Add Dracena Supplier'!$H$28</definedName>
    <definedName name="Ltotal" localSheetId="20">'Changing Diesel Prices r!=1'!$H$27</definedName>
    <definedName name="Ltotal" localSheetId="18">'Changing Diesel Prices r=1'!$H$27</definedName>
    <definedName name="Ltotal" localSheetId="13">'Optimization Model w no min'!$H$27</definedName>
    <definedName name="Ltotal" localSheetId="7">'Plant Capacity Changes'!$H$26</definedName>
    <definedName name="Ltotal">'Optimization Model'!$H$27</definedName>
    <definedName name="moltotal" localSheetId="11">'Add Dracena Supplier'!$J$28</definedName>
    <definedName name="moltotal" localSheetId="20">'Changing Diesel Prices r!=1'!$J$27</definedName>
    <definedName name="moltotal" localSheetId="18">'Changing Diesel Prices r=1'!$J$27</definedName>
    <definedName name="moltotal" localSheetId="13">'Optimization Model w no min'!$J$27</definedName>
    <definedName name="moltotal" localSheetId="7">'Plant Capacity Changes'!$J$26</definedName>
    <definedName name="moltotal">'Optimization Model'!$J$27</definedName>
    <definedName name="OutputAddresses" localSheetId="12">'STS Dracena'!$B$4</definedName>
    <definedName name="OutputAddresses" localSheetId="22">'STS r!=1'!$AZ$2</definedName>
    <definedName name="OutputAddresses" localSheetId="19">'STS r=1'!$B$4</definedName>
    <definedName name="OutputAddresses" localSheetId="9">STS_Franca!$B$4:$AJ$4</definedName>
    <definedName name="OutputAddresses" localSheetId="8">STS_Londrina!$B$4:$AJ$4</definedName>
    <definedName name="OutputAddresses" localSheetId="10">'STS_Max_Sugar Londrina'!$B$4:$AJ$4</definedName>
    <definedName name="OutputValues" localSheetId="12">'STS Dracena'!$B$5:$B$405</definedName>
    <definedName name="OutputValues" localSheetId="19">'STS r=1'!$B$5:$B$25</definedName>
    <definedName name="OutputValues" localSheetId="9">STS_Franca!$B$5:$AJ$15</definedName>
    <definedName name="OutputValues" localSheetId="8">STS_Londrina!$B$5:$AJ$15</definedName>
    <definedName name="OutputValues" localSheetId="10">'STS_Max_Sugar Londrina'!$B$5:$AJ$45</definedName>
    <definedName name="OutputValues_1" localSheetId="22">'STS r!=1'!$B$5:$L$25</definedName>
    <definedName name="Profit" localSheetId="11">'Add Dracena Supplier'!$H$53</definedName>
    <definedName name="Profit" localSheetId="14">'[2]Optimization Model'!$H$53</definedName>
    <definedName name="Profit" localSheetId="20">'Changing Diesel Prices r!=1'!$H$53</definedName>
    <definedName name="Profit" localSheetId="18">'Changing Diesel Prices r=1'!$H$53</definedName>
    <definedName name="Profit" localSheetId="16">'[2]Optimization Model'!$H$53</definedName>
    <definedName name="Profit" localSheetId="13">'Optimization Model w no min'!$H$53</definedName>
    <definedName name="Profit" localSheetId="7">'Plant Capacity Changes'!$H$52</definedName>
    <definedName name="Profit" localSheetId="15">'[2]Optimization Model'!$H$53</definedName>
    <definedName name="Profit" localSheetId="17">'[2]Optimization Model'!$H$53</definedName>
    <definedName name="Profit">'Optimization Model'!$H$53</definedName>
    <definedName name="S1F" localSheetId="11">'Add Dracena Supplier'!$I$8</definedName>
    <definedName name="S1F" localSheetId="20">'Changing Diesel Prices r!=1'!$I$8</definedName>
    <definedName name="S1F" localSheetId="18">'Changing Diesel Prices r=1'!$I$8</definedName>
    <definedName name="S1F" localSheetId="13">'Optimization Model w no min'!$I$8</definedName>
    <definedName name="S1F" localSheetId="7">'Plant Capacity Changes'!$I$8</definedName>
    <definedName name="S1F">'Optimization Model'!$I$8</definedName>
    <definedName name="S1L" localSheetId="11">'Add Dracena Supplier'!$H$8</definedName>
    <definedName name="S1L" localSheetId="20">'Changing Diesel Prices r!=1'!$H$8</definedName>
    <definedName name="S1L" localSheetId="18">'Changing Diesel Prices r=1'!$H$8</definedName>
    <definedName name="S1L" localSheetId="13">'Optimization Model w no min'!$H$8</definedName>
    <definedName name="S1L" localSheetId="7">'Plant Capacity Changes'!$H$8</definedName>
    <definedName name="S1L">'Optimization Model'!$H$8</definedName>
    <definedName name="S1max" localSheetId="11">'Add Dracena Supplier'!$B$8</definedName>
    <definedName name="S1max" localSheetId="20">'Changing Diesel Prices r!=1'!$B$8</definedName>
    <definedName name="S1max" localSheetId="18">'Changing Diesel Prices r=1'!$B$8</definedName>
    <definedName name="S1max" localSheetId="13">'Optimization Model w no min'!$B$8</definedName>
    <definedName name="S1max" localSheetId="7">'Plant Capacity Changes'!$B$8</definedName>
    <definedName name="S1max">'Optimization Model'!$B$8</definedName>
    <definedName name="S1total" localSheetId="11">'Add Dracena Supplier'!$J$8</definedName>
    <definedName name="S1total" localSheetId="20">'Changing Diesel Prices r!=1'!$J$8</definedName>
    <definedName name="S1total" localSheetId="18">'Changing Diesel Prices r=1'!$J$8</definedName>
    <definedName name="S1total" localSheetId="13">'Optimization Model w no min'!$J$8</definedName>
    <definedName name="S1total" localSheetId="7">'Plant Capacity Changes'!$J$8</definedName>
    <definedName name="S1total">'Optimization Model'!$J$8</definedName>
    <definedName name="S2F" localSheetId="11">'Add Dracena Supplier'!$I$9</definedName>
    <definedName name="S2F" localSheetId="20">'Changing Diesel Prices r!=1'!$I$9</definedName>
    <definedName name="S2F" localSheetId="18">'Changing Diesel Prices r=1'!$I$9</definedName>
    <definedName name="S2F" localSheetId="13">'Optimization Model w no min'!$I$9</definedName>
    <definedName name="S2F" localSheetId="7">'Plant Capacity Changes'!$I$9</definedName>
    <definedName name="S2F">'Optimization Model'!$I$9</definedName>
    <definedName name="S2L" localSheetId="11">'Add Dracena Supplier'!$H$9</definedName>
    <definedName name="S2L" localSheetId="20">'Changing Diesel Prices r!=1'!$H$9</definedName>
    <definedName name="S2L" localSheetId="18">'Changing Diesel Prices r=1'!$H$9</definedName>
    <definedName name="S2L" localSheetId="13">'Optimization Model w no min'!$H$9</definedName>
    <definedName name="S2L" localSheetId="7">'Plant Capacity Changes'!$H$9</definedName>
    <definedName name="S2L">'Optimization Model'!$H$9</definedName>
    <definedName name="S2max" localSheetId="11">'Add Dracena Supplier'!$B$9</definedName>
    <definedName name="S2max" localSheetId="20">'Changing Diesel Prices r!=1'!$B$9</definedName>
    <definedName name="S2max" localSheetId="18">'Changing Diesel Prices r=1'!$B$9</definedName>
    <definedName name="S2max" localSheetId="13">'Optimization Model w no min'!$B$9</definedName>
    <definedName name="S2max" localSheetId="7">'Plant Capacity Changes'!$B$9</definedName>
    <definedName name="S2max">'Optimization Model'!$B$9</definedName>
    <definedName name="S2total" localSheetId="11">'Add Dracena Supplier'!$J$9</definedName>
    <definedName name="S2total" localSheetId="20">'Changing Diesel Prices r!=1'!$J$9</definedName>
    <definedName name="S2total" localSheetId="18">'Changing Diesel Prices r=1'!$J$9</definedName>
    <definedName name="S2total" localSheetId="13">'Optimization Model w no min'!$J$9</definedName>
    <definedName name="S2total" localSheetId="7">'Plant Capacity Changes'!$J$9</definedName>
    <definedName name="S2total">'Optimization Model'!$J$9</definedName>
    <definedName name="S3F" localSheetId="11">'Add Dracena Supplier'!$I$10</definedName>
    <definedName name="S3F" localSheetId="20">'Changing Diesel Prices r!=1'!$I$10</definedName>
    <definedName name="S3F" localSheetId="18">'Changing Diesel Prices r=1'!$I$10</definedName>
    <definedName name="S3F" localSheetId="13">'Optimization Model w no min'!$I$10</definedName>
    <definedName name="S3F" localSheetId="7">'Plant Capacity Changes'!$I$10</definedName>
    <definedName name="S3F">'Optimization Model'!$I$10</definedName>
    <definedName name="S3L" localSheetId="11">'Add Dracena Supplier'!$H$10</definedName>
    <definedName name="S3L" localSheetId="20">'Changing Diesel Prices r!=1'!$H$10</definedName>
    <definedName name="S3L" localSheetId="18">'Changing Diesel Prices r=1'!$H$10</definedName>
    <definedName name="S3L" localSheetId="13">'Optimization Model w no min'!$H$10</definedName>
    <definedName name="S3L" localSheetId="7">'Plant Capacity Changes'!$H$10</definedName>
    <definedName name="S3L">'Optimization Model'!$H$10</definedName>
    <definedName name="S3max" localSheetId="11">'Add Dracena Supplier'!$B$10</definedName>
    <definedName name="S3max" localSheetId="20">'Changing Diesel Prices r!=1'!$B$10</definedName>
    <definedName name="S3max" localSheetId="18">'Changing Diesel Prices r=1'!$B$10</definedName>
    <definedName name="S3max" localSheetId="13">'Optimization Model w no min'!$B$10</definedName>
    <definedName name="S3max" localSheetId="7">'Plant Capacity Changes'!$B$10</definedName>
    <definedName name="S3max">'Optimization Model'!$B$10</definedName>
    <definedName name="S3total" localSheetId="11">'Add Dracena Supplier'!$J$10</definedName>
    <definedName name="S3total" localSheetId="20">'Changing Diesel Prices r!=1'!$J$10</definedName>
    <definedName name="S3total" localSheetId="18">'Changing Diesel Prices r=1'!$J$10</definedName>
    <definedName name="S3total" localSheetId="13">'Optimization Model w no min'!$J$10</definedName>
    <definedName name="S3total" localSheetId="7">'Plant Capacity Changes'!$J$10</definedName>
    <definedName name="S3total">'Optimization Model'!$J$10</definedName>
    <definedName name="S4F" localSheetId="11">'Add Dracena Supplier'!$I$11</definedName>
    <definedName name="S4F" localSheetId="20">'Changing Diesel Prices r!=1'!$I$11</definedName>
    <definedName name="S4F" localSheetId="18">'Changing Diesel Prices r=1'!$I$11</definedName>
    <definedName name="S4F" localSheetId="13">'Optimization Model w no min'!$I$11</definedName>
    <definedName name="S4F" localSheetId="7">'Plant Capacity Changes'!$I$11</definedName>
    <definedName name="S4F">'Optimization Model'!$I$11</definedName>
    <definedName name="S4L" localSheetId="11">'Add Dracena Supplier'!$H$11</definedName>
    <definedName name="S4L" localSheetId="20">'Changing Diesel Prices r!=1'!$H$11</definedName>
    <definedName name="S4L" localSheetId="18">'Changing Diesel Prices r=1'!$H$11</definedName>
    <definedName name="S4L" localSheetId="13">'Optimization Model w no min'!$H$11</definedName>
    <definedName name="S4L" localSheetId="7">'Plant Capacity Changes'!$H$11</definedName>
    <definedName name="S4L">'Optimization Model'!$H$11</definedName>
    <definedName name="S4max" localSheetId="11">'Add Dracena Supplier'!$B$11</definedName>
    <definedName name="S4max" localSheetId="20">'Changing Diesel Prices r!=1'!$B$11</definedName>
    <definedName name="S4max" localSheetId="18">'Changing Diesel Prices r=1'!$B$11</definedName>
    <definedName name="S4max" localSheetId="13">'Optimization Model w no min'!$B$11</definedName>
    <definedName name="S4max" localSheetId="7">'Plant Capacity Changes'!$B$11</definedName>
    <definedName name="S4max">'Optimization Model'!$B$11</definedName>
    <definedName name="S4total" localSheetId="11">'Add Dracena Supplier'!$J$11</definedName>
    <definedName name="S4total" localSheetId="20">'Changing Diesel Prices r!=1'!$J$11</definedName>
    <definedName name="S4total" localSheetId="18">'Changing Diesel Prices r=1'!$J$11</definedName>
    <definedName name="S4total" localSheetId="13">'Optimization Model w no min'!$J$11</definedName>
    <definedName name="S4total" localSheetId="7">'Plant Capacity Changes'!$J$11</definedName>
    <definedName name="S4total">'Optimization Model'!$J$11</definedName>
    <definedName name="S5F" localSheetId="11">'Add Dracena Supplier'!$I$12</definedName>
    <definedName name="S5F" localSheetId="20">'Changing Diesel Prices r!=1'!$I$12</definedName>
    <definedName name="S5F" localSheetId="18">'Changing Diesel Prices r=1'!$I$12</definedName>
    <definedName name="S5F" localSheetId="13">'Optimization Model w no min'!$I$12</definedName>
    <definedName name="S5F" localSheetId="7">'Plant Capacity Changes'!$I$12</definedName>
    <definedName name="S5F">'Optimization Model'!$I$12</definedName>
    <definedName name="S5L" localSheetId="11">'Add Dracena Supplier'!$H$12</definedName>
    <definedName name="S5L" localSheetId="20">'Changing Diesel Prices r!=1'!$H$12</definedName>
    <definedName name="S5L" localSheetId="18">'Changing Diesel Prices r=1'!$H$12</definedName>
    <definedName name="S5L" localSheetId="13">'Optimization Model w no min'!$H$12</definedName>
    <definedName name="S5L" localSheetId="7">'Plant Capacity Changes'!$H$12</definedName>
    <definedName name="S5L">'Optimization Model'!$H$12</definedName>
    <definedName name="S5max" localSheetId="11">'Add Dracena Supplier'!$B$12</definedName>
    <definedName name="S5max" localSheetId="20">'Changing Diesel Prices r!=1'!$B$12</definedName>
    <definedName name="S5max" localSheetId="18">'Changing Diesel Prices r=1'!$B$12</definedName>
    <definedName name="S5max" localSheetId="13">'Optimization Model w no min'!$B$12</definedName>
    <definedName name="S5max" localSheetId="7">'Plant Capacity Changes'!$B$12</definedName>
    <definedName name="S5max">'Optimization Model'!$B$12</definedName>
    <definedName name="S5total" localSheetId="11">'Add Dracena Supplier'!$J$12</definedName>
    <definedName name="S5total" localSheetId="20">'Changing Diesel Prices r!=1'!$J$12</definedName>
    <definedName name="S5total" localSheetId="18">'Changing Diesel Prices r=1'!$J$12</definedName>
    <definedName name="S5total" localSheetId="13">'Optimization Model w no min'!$J$12</definedName>
    <definedName name="S5total" localSheetId="7">'Plant Capacity Changes'!$J$12</definedName>
    <definedName name="S5total">'Optimization Model'!$J$12</definedName>
    <definedName name="S6F" localSheetId="11">'Add Dracena Supplier'!$I$13</definedName>
    <definedName name="S6F" localSheetId="20">'Changing Diesel Prices r!=1'!$I$13</definedName>
    <definedName name="S6F" localSheetId="18">'Changing Diesel Prices r=1'!$I$13</definedName>
    <definedName name="S6F" localSheetId="13">'Optimization Model w no min'!$I$13</definedName>
    <definedName name="S6F" localSheetId="7">'Plant Capacity Changes'!$I$13</definedName>
    <definedName name="S6F">'Optimization Model'!$I$13</definedName>
    <definedName name="S6L" localSheetId="11">'Add Dracena Supplier'!$H$13</definedName>
    <definedName name="S6L" localSheetId="20">'Changing Diesel Prices r!=1'!$H$13</definedName>
    <definedName name="S6L" localSheetId="18">'Changing Diesel Prices r=1'!$H$13</definedName>
    <definedName name="S6L" localSheetId="13">'Optimization Model w no min'!$H$13</definedName>
    <definedName name="S6L" localSheetId="7">'Plant Capacity Changes'!$H$13</definedName>
    <definedName name="S6L">'Optimization Model'!$H$13</definedName>
    <definedName name="S6max" localSheetId="11">'Add Dracena Supplier'!$B$13</definedName>
    <definedName name="S6max" localSheetId="20">'Changing Diesel Prices r!=1'!$B$13</definedName>
    <definedName name="S6max" localSheetId="18">'Changing Diesel Prices r=1'!$B$13</definedName>
    <definedName name="S6max" localSheetId="13">'Optimization Model w no min'!$B$13</definedName>
    <definedName name="S6max" localSheetId="7">'Plant Capacity Changes'!$B$13</definedName>
    <definedName name="S6max">'Optimization Model'!$B$13</definedName>
    <definedName name="S6total" localSheetId="11">'Add Dracena Supplier'!$J$13</definedName>
    <definedName name="S6total" localSheetId="20">'Changing Diesel Prices r!=1'!$J$13</definedName>
    <definedName name="S6total" localSheetId="18">'Changing Diesel Prices r=1'!$J$13</definedName>
    <definedName name="S6total" localSheetId="13">'Optimization Model w no min'!$J$13</definedName>
    <definedName name="S6total" localSheetId="7">'Plant Capacity Changes'!$J$13</definedName>
    <definedName name="S6total">'Optimization Model'!$J$13</definedName>
    <definedName name="S7F" localSheetId="11">'Add Dracena Supplier'!$I$14</definedName>
    <definedName name="S7F" localSheetId="20">'Changing Diesel Prices r!=1'!$I$14</definedName>
    <definedName name="S7F" localSheetId="18">'Changing Diesel Prices r=1'!$I$14</definedName>
    <definedName name="S7F" localSheetId="13">'Optimization Model w no min'!$I$14</definedName>
    <definedName name="S7F" localSheetId="7">'Plant Capacity Changes'!$I$14</definedName>
    <definedName name="S7F">'Optimization Model'!$I$14</definedName>
    <definedName name="S7L" localSheetId="11">'Add Dracena Supplier'!$H$14</definedName>
    <definedName name="S7L" localSheetId="20">'Changing Diesel Prices r!=1'!$H$14</definedName>
    <definedName name="S7L" localSheetId="18">'Changing Diesel Prices r=1'!$H$14</definedName>
    <definedName name="S7L" localSheetId="13">'Optimization Model w no min'!$H$14</definedName>
    <definedName name="S7L" localSheetId="7">'Plant Capacity Changes'!$H$14</definedName>
    <definedName name="S7L">'Optimization Model'!$H$14</definedName>
    <definedName name="S7max" localSheetId="11">'Add Dracena Supplier'!$B$14</definedName>
    <definedName name="S7max" localSheetId="20">'Changing Diesel Prices r!=1'!$B$14</definedName>
    <definedName name="S7max" localSheetId="18">'Changing Diesel Prices r=1'!$B$14</definedName>
    <definedName name="S7max" localSheetId="13">'Optimization Model w no min'!$B$14</definedName>
    <definedName name="S7max" localSheetId="7">'Plant Capacity Changes'!$B$14</definedName>
    <definedName name="S7max">'Optimization Model'!$B$14</definedName>
    <definedName name="S7total" localSheetId="11">'Add Dracena Supplier'!$J$14</definedName>
    <definedName name="S7total" localSheetId="20">'Changing Diesel Prices r!=1'!$J$14</definedName>
    <definedName name="S7total" localSheetId="18">'Changing Diesel Prices r=1'!$J$14</definedName>
    <definedName name="S7total" localSheetId="13">'Optimization Model w no min'!$J$14</definedName>
    <definedName name="S7total" localSheetId="7">'Plant Capacity Changes'!$J$14</definedName>
    <definedName name="S7total">'Optimization Model'!$J$14</definedName>
    <definedName name="S8F" localSheetId="11">'Add Dracena Supplier'!$I$15</definedName>
    <definedName name="S8F" localSheetId="20">'Changing Diesel Prices r!=1'!$I$15</definedName>
    <definedName name="S8F" localSheetId="18">'Changing Diesel Prices r=1'!$I$15</definedName>
    <definedName name="S8F" localSheetId="13">'Optimization Model w no min'!$I$15</definedName>
    <definedName name="S8F" localSheetId="7">'Plant Capacity Changes'!$I$15</definedName>
    <definedName name="S8F">'Optimization Model'!$I$15</definedName>
    <definedName name="S8max" localSheetId="11">'Add Dracena Supplier'!$B$15</definedName>
    <definedName name="S8max" localSheetId="20">'Changing Diesel Prices r!=1'!$B$15</definedName>
    <definedName name="S8max" localSheetId="18">'Changing Diesel Prices r=1'!$B$15</definedName>
    <definedName name="S8max" localSheetId="13">'Optimization Model w no min'!$B$15</definedName>
    <definedName name="S8max" localSheetId="7">'Plant Capacity Changes'!$B$15</definedName>
    <definedName name="S8max">'Optimization Model'!$B$15</definedName>
    <definedName name="S8total" localSheetId="11">'Add Dracena Supplier'!$J$15</definedName>
    <definedName name="S8total" localSheetId="20">'Changing Diesel Prices r!=1'!$J$15</definedName>
    <definedName name="S8total" localSheetId="18">'Changing Diesel Prices r=1'!$J$15</definedName>
    <definedName name="S8total" localSheetId="13">'Optimization Model w no min'!$J$15</definedName>
    <definedName name="S8total" localSheetId="7">'Plant Capacity Changes'!$J$15</definedName>
    <definedName name="S8total">'Optimization Model'!$J$15</definedName>
    <definedName name="solver_adj" localSheetId="11" hidden="1">'Add Dracena Supplier'!$H$8:$I$16,'Add Dracena Supplier'!$H$19:$I$27</definedName>
    <definedName name="solver_adj" localSheetId="20" hidden="1">'Changing Diesel Prices r!=1'!$H$8:$I$15,'Changing Diesel Prices r!=1'!$H$18:$I$26</definedName>
    <definedName name="solver_adj" localSheetId="18" hidden="1">'Changing Diesel Prices r=1'!$H$8:$I$15,'Changing Diesel Prices r=1'!$H$18:$I$26</definedName>
    <definedName name="solver_adj" localSheetId="1" hidden="1">'Optimization Model'!$H$8:$I$15,'Optimization Model'!$H$18:$I$26</definedName>
    <definedName name="solver_adj" localSheetId="13" hidden="1">'Optimization Model w no min'!$H$8:$I$15,'Optimization Model w no min'!$H$18:$I$26</definedName>
    <definedName name="solver_adj" localSheetId="7" hidden="1">'Plant Capacity Changes'!$H$8:$I$15,'Plant Capacity Changes'!$H$17:$I$25</definedName>
    <definedName name="solver_cvg" localSheetId="11" hidden="1">0.0001</definedName>
    <definedName name="solver_cvg" localSheetId="20" hidden="1">0.0001</definedName>
    <definedName name="solver_cvg" localSheetId="18" hidden="1">0.0001</definedName>
    <definedName name="solver_cvg" localSheetId="1" hidden="1">0.0001</definedName>
    <definedName name="solver_cvg" localSheetId="13" hidden="1">0.0001</definedName>
    <definedName name="solver_cvg" localSheetId="7" hidden="1">0.0001</definedName>
    <definedName name="solver_drv" localSheetId="11" hidden="1">1</definedName>
    <definedName name="solver_drv" localSheetId="20" hidden="1">1</definedName>
    <definedName name="solver_drv" localSheetId="18" hidden="1">1</definedName>
    <definedName name="solver_drv" localSheetId="1" hidden="1">1</definedName>
    <definedName name="solver_drv" localSheetId="13" hidden="1">1</definedName>
    <definedName name="solver_drv" localSheetId="7" hidden="1">1</definedName>
    <definedName name="solver_eng" localSheetId="11" hidden="1">2</definedName>
    <definedName name="solver_eng" localSheetId="20" hidden="1">2</definedName>
    <definedName name="solver_eng" localSheetId="18" hidden="1">2</definedName>
    <definedName name="solver_eng" localSheetId="1" hidden="1">2</definedName>
    <definedName name="solver_eng" localSheetId="13" hidden="1">2</definedName>
    <definedName name="solver_eng" localSheetId="7" hidden="1">2</definedName>
    <definedName name="solver_est" localSheetId="11" hidden="1">1</definedName>
    <definedName name="solver_est" localSheetId="20" hidden="1">1</definedName>
    <definedName name="solver_est" localSheetId="18" hidden="1">1</definedName>
    <definedName name="solver_est" localSheetId="1" hidden="1">1</definedName>
    <definedName name="solver_est" localSheetId="13" hidden="1">1</definedName>
    <definedName name="solver_est" localSheetId="7" hidden="1">1</definedName>
    <definedName name="solver_itr" localSheetId="11" hidden="1">2147483647</definedName>
    <definedName name="solver_itr" localSheetId="20" hidden="1">2147483647</definedName>
    <definedName name="solver_itr" localSheetId="18" hidden="1">2147483647</definedName>
    <definedName name="solver_itr" localSheetId="1" hidden="1">2147483647</definedName>
    <definedName name="solver_itr" localSheetId="13" hidden="1">2147483647</definedName>
    <definedName name="solver_itr" localSheetId="7" hidden="1">2147483647</definedName>
    <definedName name="solver_lhs1" localSheetId="11" hidden="1">'Add Dracena Supplier'!$H$28</definedName>
    <definedName name="solver_lhs1" localSheetId="20" hidden="1">'Changing Diesel Prices r!=1'!$H$35</definedName>
    <definedName name="solver_lhs1" localSheetId="18" hidden="1">'Changing Diesel Prices r=1'!$H$35</definedName>
    <definedName name="solver_lhs1" localSheetId="1" hidden="1">'Optimization Model'!$H$35</definedName>
    <definedName name="solver_lhs1" localSheetId="13" hidden="1">'Optimization Model w no min'!$H$35</definedName>
    <definedName name="solver_lhs1" localSheetId="7" hidden="1">'Plant Capacity Changes'!$H$32</definedName>
    <definedName name="solver_lhs10" localSheetId="11" hidden="1">'Add Dracena Supplier'!$H$35</definedName>
    <definedName name="solver_lhs10" localSheetId="20" hidden="1">'Changing Diesel Prices r!=1'!$I$27</definedName>
    <definedName name="solver_lhs10" localSheetId="18" hidden="1">'Changing Diesel Prices r=1'!$I$27</definedName>
    <definedName name="solver_lhs10" localSheetId="1" hidden="1">'Optimization Model'!$I$27</definedName>
    <definedName name="solver_lhs10" localSheetId="13" hidden="1">'Optimization Model w no min'!$I$33</definedName>
    <definedName name="solver_lhs10" localSheetId="7" hidden="1">'Plant Capacity Changes'!$I$32</definedName>
    <definedName name="solver_lhs11" localSheetId="11" hidden="1">'Add Dracena Supplier'!$H$35</definedName>
    <definedName name="solver_lhs11" localSheetId="20" hidden="1">'Changing Diesel Prices r!=1'!$H$33</definedName>
    <definedName name="solver_lhs11" localSheetId="18" hidden="1">'Changing Diesel Prices r=1'!$H$33</definedName>
    <definedName name="solver_lhs11" localSheetId="1" hidden="1">'Optimization Model'!$H$33</definedName>
    <definedName name="solver_lhs11" localSheetId="13" hidden="1">'Optimization Model w no min'!$I$35</definedName>
    <definedName name="solver_lhs11" localSheetId="7" hidden="1">'Plant Capacity Changes'!$J$17:$J$25</definedName>
    <definedName name="solver_lhs12" localSheetId="11" hidden="1">'Add Dracena Supplier'!$I$35</definedName>
    <definedName name="solver_lhs12" localSheetId="20" hidden="1">'Changing Diesel Prices r!=1'!$H$33</definedName>
    <definedName name="solver_lhs12" localSheetId="18" hidden="1">'Changing Diesel Prices r=1'!$H$33</definedName>
    <definedName name="solver_lhs12" localSheetId="1" hidden="1">'Optimization Model'!$H$33</definedName>
    <definedName name="solver_lhs12" localSheetId="13" hidden="1">'Optimization Model w no min'!$H$33</definedName>
    <definedName name="solver_lhs12" localSheetId="7" hidden="1">'Plant Capacity Changes'!$J$17:$J$25</definedName>
    <definedName name="solver_lhs13" localSheetId="11" hidden="1">'Add Dracena Supplier'!$I$35</definedName>
    <definedName name="solver_lhs13" localSheetId="20" hidden="1">'Changing Diesel Prices r!=1'!$H$27</definedName>
    <definedName name="solver_lhs13" localSheetId="18" hidden="1">'Changing Diesel Prices r=1'!$H$27</definedName>
    <definedName name="solver_lhs13" localSheetId="1" hidden="1">'Optimization Model'!$H$27</definedName>
    <definedName name="solver_lhs13" localSheetId="13" hidden="1">'Optimization Model w no min'!$H$33</definedName>
    <definedName name="solver_lhs13" localSheetId="7" hidden="1">'Plant Capacity Changes'!$J$8:$J$15</definedName>
    <definedName name="solver_lhs2" localSheetId="11" hidden="1">'Add Dracena Supplier'!$H$33</definedName>
    <definedName name="solver_lhs2" localSheetId="20" hidden="1">'Changing Diesel Prices r!=1'!$H$35</definedName>
    <definedName name="solver_lhs2" localSheetId="18" hidden="1">'Changing Diesel Prices r=1'!$H$35</definedName>
    <definedName name="solver_lhs2" localSheetId="1" hidden="1">'Optimization Model'!$H$35</definedName>
    <definedName name="solver_lhs2" localSheetId="13" hidden="1">'Optimization Model w no min'!$J$18:$J$26</definedName>
    <definedName name="solver_lhs2" localSheetId="7" hidden="1">'Plant Capacity Changes'!$H$26</definedName>
    <definedName name="solver_lhs3" localSheetId="11" hidden="1">'Add Dracena Supplier'!$H$33</definedName>
    <definedName name="solver_lhs3" localSheetId="20" hidden="1">'Changing Diesel Prices r!=1'!$I$35</definedName>
    <definedName name="solver_lhs3" localSheetId="18" hidden="1">'Changing Diesel Prices r=1'!$I$35</definedName>
    <definedName name="solver_lhs3" localSheetId="1" hidden="1">'Optimization Model'!$I$35</definedName>
    <definedName name="solver_lhs3" localSheetId="13" hidden="1">'Optimization Model w no min'!$J$18:$J$26</definedName>
    <definedName name="solver_lhs3" localSheetId="7" hidden="1">'Plant Capacity Changes'!$H$33</definedName>
    <definedName name="solver_lhs4" localSheetId="11" hidden="1">'Add Dracena Supplier'!$I$33</definedName>
    <definedName name="solver_lhs4" localSheetId="20" hidden="1">'Changing Diesel Prices r!=1'!$I$35</definedName>
    <definedName name="solver_lhs4" localSheetId="18" hidden="1">'Changing Diesel Prices r=1'!$I$35</definedName>
    <definedName name="solver_lhs4" localSheetId="1" hidden="1">'Optimization Model'!$I$35</definedName>
    <definedName name="solver_lhs4" localSheetId="13" hidden="1">'Optimization Model w no min'!$H$27</definedName>
    <definedName name="solver_lhs4" localSheetId="7" hidden="1">'Plant Capacity Changes'!$H$32</definedName>
    <definedName name="solver_lhs5" localSheetId="11" hidden="1">'Add Dracena Supplier'!$I$28</definedName>
    <definedName name="solver_lhs5" localSheetId="20" hidden="1">'Changing Diesel Prices r!=1'!$J$18:$J$26</definedName>
    <definedName name="solver_lhs5" localSheetId="18" hidden="1">'Changing Diesel Prices r=1'!$J$18:$J$26</definedName>
    <definedName name="solver_lhs5" localSheetId="1" hidden="1">'Optimization Model'!$J$18:$J$26</definedName>
    <definedName name="solver_lhs5" localSheetId="13" hidden="1">'Optimization Model w no min'!$J$8:$J$15</definedName>
    <definedName name="solver_lhs5" localSheetId="7" hidden="1">'Plant Capacity Changes'!$H$33</definedName>
    <definedName name="solver_lhs6" localSheetId="11" hidden="1">'Add Dracena Supplier'!$J$19:$J$27</definedName>
    <definedName name="solver_lhs6" localSheetId="20" hidden="1">'Changing Diesel Prices r!=1'!$J$18:$J$26</definedName>
    <definedName name="solver_lhs6" localSheetId="18" hidden="1">'Changing Diesel Prices r=1'!$J$18:$J$26</definedName>
    <definedName name="solver_lhs6" localSheetId="1" hidden="1">'Optimization Model'!$J$18:$J$26</definedName>
    <definedName name="solver_lhs6" localSheetId="13" hidden="1">'Optimization Model w no min'!$H$35</definedName>
    <definedName name="solver_lhs6" localSheetId="7" hidden="1">'Plant Capacity Changes'!$I$33</definedName>
    <definedName name="solver_lhs7" localSheetId="11" hidden="1">'Add Dracena Supplier'!$J$8:$J$15</definedName>
    <definedName name="solver_lhs7" localSheetId="20" hidden="1">'Changing Diesel Prices r!=1'!$J$8:$J$15</definedName>
    <definedName name="solver_lhs7" localSheetId="18" hidden="1">'Changing Diesel Prices r=1'!$J$8:$J$15</definedName>
    <definedName name="solver_lhs7" localSheetId="1" hidden="1">'Optimization Model'!$J$8:$J$15</definedName>
    <definedName name="solver_lhs7" localSheetId="13" hidden="1">'Optimization Model w no min'!$I$33</definedName>
    <definedName name="solver_lhs7" localSheetId="7" hidden="1">'Plant Capacity Changes'!$I$26</definedName>
    <definedName name="solver_lhs8" localSheetId="11" hidden="1">'Add Dracena Supplier'!$I$33</definedName>
    <definedName name="solver_lhs8" localSheetId="20" hidden="1">'Changing Diesel Prices r!=1'!$I$33</definedName>
    <definedName name="solver_lhs8" localSheetId="18" hidden="1">'Changing Diesel Prices r=1'!$I$33</definedName>
    <definedName name="solver_lhs8" localSheetId="1" hidden="1">'Optimization Model'!$I$33</definedName>
    <definedName name="solver_lhs8" localSheetId="13" hidden="1">'Optimization Model w no min'!$I$35</definedName>
    <definedName name="solver_lhs8" localSheetId="7" hidden="1">'Plant Capacity Changes'!$I$33</definedName>
    <definedName name="solver_lhs9" localSheetId="11" hidden="1">'Add Dracena Supplier'!$J$19:$J$27</definedName>
    <definedName name="solver_lhs9" localSheetId="20" hidden="1">'Changing Diesel Prices r!=1'!$I$33</definedName>
    <definedName name="solver_lhs9" localSheetId="18" hidden="1">'Changing Diesel Prices r=1'!$I$33</definedName>
    <definedName name="solver_lhs9" localSheetId="1" hidden="1">'Optimization Model'!$I$33</definedName>
    <definedName name="solver_lhs9" localSheetId="13" hidden="1">'Optimization Model w no min'!$I$27</definedName>
    <definedName name="solver_lhs9" localSheetId="7" hidden="1">'Plant Capacity Changes'!$I$32</definedName>
    <definedName name="solver_lin" localSheetId="20" hidden="1">1</definedName>
    <definedName name="solver_lin" localSheetId="18" hidden="1">1</definedName>
    <definedName name="solver_lin" localSheetId="1" hidden="1">1</definedName>
    <definedName name="solver_mip" localSheetId="11" hidden="1">2147483647</definedName>
    <definedName name="solver_mip" localSheetId="20" hidden="1">2147483647</definedName>
    <definedName name="solver_mip" localSheetId="18" hidden="1">2147483647</definedName>
    <definedName name="solver_mip" localSheetId="1" hidden="1">2147483647</definedName>
    <definedName name="solver_mip" localSheetId="13" hidden="1">2147483647</definedName>
    <definedName name="solver_mip" localSheetId="7" hidden="1">2147483647</definedName>
    <definedName name="solver_mni" localSheetId="11" hidden="1">30</definedName>
    <definedName name="solver_mni" localSheetId="20" hidden="1">30</definedName>
    <definedName name="solver_mni" localSheetId="18" hidden="1">30</definedName>
    <definedName name="solver_mni" localSheetId="1" hidden="1">30</definedName>
    <definedName name="solver_mni" localSheetId="13" hidden="1">30</definedName>
    <definedName name="solver_mni" localSheetId="7" hidden="1">30</definedName>
    <definedName name="solver_mrt" localSheetId="11" hidden="1">0.075</definedName>
    <definedName name="solver_mrt" localSheetId="20" hidden="1">0.075</definedName>
    <definedName name="solver_mrt" localSheetId="18" hidden="1">0.075</definedName>
    <definedName name="solver_mrt" localSheetId="1" hidden="1">0.075</definedName>
    <definedName name="solver_mrt" localSheetId="13" hidden="1">0.075</definedName>
    <definedName name="solver_mrt" localSheetId="7" hidden="1">0.075</definedName>
    <definedName name="solver_msl" localSheetId="11" hidden="1">1</definedName>
    <definedName name="solver_msl" localSheetId="20" hidden="1">2</definedName>
    <definedName name="solver_msl" localSheetId="18" hidden="1">2</definedName>
    <definedName name="solver_msl" localSheetId="1" hidden="1">2</definedName>
    <definedName name="solver_msl" localSheetId="13" hidden="1">2</definedName>
    <definedName name="solver_msl" localSheetId="7" hidden="1">2</definedName>
    <definedName name="solver_neg" localSheetId="11" hidden="1">1</definedName>
    <definedName name="solver_neg" localSheetId="20" hidden="1">1</definedName>
    <definedName name="solver_neg" localSheetId="18" hidden="1">1</definedName>
    <definedName name="solver_neg" localSheetId="1" hidden="1">1</definedName>
    <definedName name="solver_neg" localSheetId="13" hidden="1">1</definedName>
    <definedName name="solver_neg" localSheetId="7" hidden="1">1</definedName>
    <definedName name="solver_nod" localSheetId="11" hidden="1">2147483647</definedName>
    <definedName name="solver_nod" localSheetId="20" hidden="1">2147483647</definedName>
    <definedName name="solver_nod" localSheetId="18" hidden="1">2147483647</definedName>
    <definedName name="solver_nod" localSheetId="1" hidden="1">2147483647</definedName>
    <definedName name="solver_nod" localSheetId="13" hidden="1">2147483647</definedName>
    <definedName name="solver_nod" localSheetId="7" hidden="1">2147483647</definedName>
    <definedName name="solver_num" localSheetId="11" hidden="1">13</definedName>
    <definedName name="solver_num" localSheetId="20" hidden="1">13</definedName>
    <definedName name="solver_num" localSheetId="18" hidden="1">13</definedName>
    <definedName name="solver_num" localSheetId="1" hidden="1">13</definedName>
    <definedName name="solver_num" localSheetId="13" hidden="1">13</definedName>
    <definedName name="solver_num" localSheetId="7" hidden="1">13</definedName>
    <definedName name="solver_nwt" localSheetId="11" hidden="1">1</definedName>
    <definedName name="solver_nwt" localSheetId="20" hidden="1">1</definedName>
    <definedName name="solver_nwt" localSheetId="18" hidden="1">1</definedName>
    <definedName name="solver_nwt" localSheetId="1" hidden="1">1</definedName>
    <definedName name="solver_nwt" localSheetId="13" hidden="1">1</definedName>
    <definedName name="solver_nwt" localSheetId="7" hidden="1">1</definedName>
    <definedName name="solver_opt" localSheetId="11" hidden="1">'Add Dracena Supplier'!$H$53</definedName>
    <definedName name="solver_opt" localSheetId="20" hidden="1">'Changing Diesel Prices r!=1'!$H$53</definedName>
    <definedName name="solver_opt" localSheetId="18" hidden="1">'Changing Diesel Prices r=1'!$H$53</definedName>
    <definedName name="solver_opt" localSheetId="1" hidden="1">'Optimization Model'!$H$53</definedName>
    <definedName name="solver_opt" localSheetId="13" hidden="1">'Optimization Model w no min'!$H$53</definedName>
    <definedName name="solver_opt" localSheetId="7" hidden="1">'Plant Capacity Changes'!$H$52</definedName>
    <definedName name="solver_pre" localSheetId="11" hidden="1">0.000001</definedName>
    <definedName name="solver_pre" localSheetId="20" hidden="1">0.000001</definedName>
    <definedName name="solver_pre" localSheetId="18" hidden="1">0.000001</definedName>
    <definedName name="solver_pre" localSheetId="1" hidden="1">0.000001</definedName>
    <definedName name="solver_pre" localSheetId="13" hidden="1">0.000001</definedName>
    <definedName name="solver_pre" localSheetId="7" hidden="1">0.000001</definedName>
    <definedName name="solver_rbv" localSheetId="11" hidden="1">2</definedName>
    <definedName name="solver_rbv" localSheetId="20" hidden="1">1</definedName>
    <definedName name="solver_rbv" localSheetId="18" hidden="1">1</definedName>
    <definedName name="solver_rbv" localSheetId="1" hidden="1">1</definedName>
    <definedName name="solver_rbv" localSheetId="13" hidden="1">1</definedName>
    <definedName name="solver_rbv" localSheetId="7" hidden="1">1</definedName>
    <definedName name="solver_rel1" localSheetId="11" hidden="1">1</definedName>
    <definedName name="solver_rel1" localSheetId="20" hidden="1">1</definedName>
    <definedName name="solver_rel1" localSheetId="18" hidden="1">1</definedName>
    <definedName name="solver_rel1" localSheetId="1" hidden="1">1</definedName>
    <definedName name="solver_rel1" localSheetId="13" hidden="1">1</definedName>
    <definedName name="solver_rel1" localSheetId="7" hidden="1">1</definedName>
    <definedName name="solver_rel10" localSheetId="11" hidden="1">1</definedName>
    <definedName name="solver_rel10" localSheetId="20" hidden="1">1</definedName>
    <definedName name="solver_rel10" localSheetId="18" hidden="1">1</definedName>
    <definedName name="solver_rel10" localSheetId="1" hidden="1">1</definedName>
    <definedName name="solver_rel10" localSheetId="13" hidden="1">3</definedName>
    <definedName name="solver_rel10" localSheetId="7" hidden="1">3</definedName>
    <definedName name="solver_rel11" localSheetId="11" hidden="1">3</definedName>
    <definedName name="solver_rel11" localSheetId="20" hidden="1">1</definedName>
    <definedName name="solver_rel11" localSheetId="18" hidden="1">1</definedName>
    <definedName name="solver_rel11" localSheetId="1" hidden="1">1</definedName>
    <definedName name="solver_rel11" localSheetId="13" hidden="1">3</definedName>
    <definedName name="solver_rel11" localSheetId="7" hidden="1">3</definedName>
    <definedName name="solver_rel12" localSheetId="11" hidden="1">1</definedName>
    <definedName name="solver_rel12" localSheetId="20" hidden="1">3</definedName>
    <definedName name="solver_rel12" localSheetId="18" hidden="1">3</definedName>
    <definedName name="solver_rel12" localSheetId="1" hidden="1">3</definedName>
    <definedName name="solver_rel12" localSheetId="13" hidden="1">1</definedName>
    <definedName name="solver_rel12" localSheetId="7" hidden="1">1</definedName>
    <definedName name="solver_rel13" localSheetId="11" hidden="1">3</definedName>
    <definedName name="solver_rel13" localSheetId="20" hidden="1">1</definedName>
    <definedName name="solver_rel13" localSheetId="18" hidden="1">1</definedName>
    <definedName name="solver_rel13" localSheetId="1" hidden="1">1</definedName>
    <definedName name="solver_rel13" localSheetId="13" hidden="1">3</definedName>
    <definedName name="solver_rel13" localSheetId="7" hidden="1">1</definedName>
    <definedName name="solver_rel2" localSheetId="11" hidden="1">1</definedName>
    <definedName name="solver_rel2" localSheetId="20" hidden="1">3</definedName>
    <definedName name="solver_rel2" localSheetId="18" hidden="1">3</definedName>
    <definedName name="solver_rel2" localSheetId="1" hidden="1">3</definedName>
    <definedName name="solver_rel2" localSheetId="13" hidden="1">1</definedName>
    <definedName name="solver_rel2" localSheetId="7" hidden="1">1</definedName>
    <definedName name="solver_rel3" localSheetId="11" hidden="1">3</definedName>
    <definedName name="solver_rel3" localSheetId="20" hidden="1">1</definedName>
    <definedName name="solver_rel3" localSheetId="18" hidden="1">1</definedName>
    <definedName name="solver_rel3" localSheetId="1" hidden="1">1</definedName>
    <definedName name="solver_rel3" localSheetId="13" hidden="1">3</definedName>
    <definedName name="solver_rel3" localSheetId="7" hidden="1">3</definedName>
    <definedName name="solver_rel4" localSheetId="11" hidden="1">3</definedName>
    <definedName name="solver_rel4" localSheetId="20" hidden="1">3</definedName>
    <definedName name="solver_rel4" localSheetId="18" hidden="1">3</definedName>
    <definedName name="solver_rel4" localSheetId="1" hidden="1">3</definedName>
    <definedName name="solver_rel4" localSheetId="13" hidden="1">1</definedName>
    <definedName name="solver_rel4" localSheetId="7" hidden="1">3</definedName>
    <definedName name="solver_rel5" localSheetId="11" hidden="1">1</definedName>
    <definedName name="solver_rel5" localSheetId="20" hidden="1">1</definedName>
    <definedName name="solver_rel5" localSheetId="18" hidden="1">1</definedName>
    <definedName name="solver_rel5" localSheetId="1" hidden="1">1</definedName>
    <definedName name="solver_rel5" localSheetId="13" hidden="1">2</definedName>
    <definedName name="solver_rel5" localSheetId="7" hidden="1">1</definedName>
    <definedName name="solver_rel6" localSheetId="11" hidden="1">3</definedName>
    <definedName name="solver_rel6" localSheetId="20" hidden="1">3</definedName>
    <definedName name="solver_rel6" localSheetId="18" hidden="1">3</definedName>
    <definedName name="solver_rel6" localSheetId="1" hidden="1">3</definedName>
    <definedName name="solver_rel6" localSheetId="13" hidden="1">3</definedName>
    <definedName name="solver_rel6" localSheetId="7" hidden="1">3</definedName>
    <definedName name="solver_rel7" localSheetId="11" hidden="1">2</definedName>
    <definedName name="solver_rel7" localSheetId="20" hidden="1">2</definedName>
    <definedName name="solver_rel7" localSheetId="18" hidden="1">2</definedName>
    <definedName name="solver_rel7" localSheetId="1" hidden="1">2</definedName>
    <definedName name="solver_rel7" localSheetId="13" hidden="1">1</definedName>
    <definedName name="solver_rel7" localSheetId="7" hidden="1">1</definedName>
    <definedName name="solver_rel8" localSheetId="11" hidden="1">1</definedName>
    <definedName name="solver_rel8" localSheetId="20" hidden="1">1</definedName>
    <definedName name="solver_rel8" localSheetId="18" hidden="1">1</definedName>
    <definedName name="solver_rel8" localSheetId="1" hidden="1">1</definedName>
    <definedName name="solver_rel8" localSheetId="13" hidden="1">1</definedName>
    <definedName name="solver_rel8" localSheetId="7" hidden="1">1</definedName>
    <definedName name="solver_rel9" localSheetId="11" hidden="1">1</definedName>
    <definedName name="solver_rel9" localSheetId="20" hidden="1">3</definedName>
    <definedName name="solver_rel9" localSheetId="18" hidden="1">3</definedName>
    <definedName name="solver_rel9" localSheetId="1" hidden="1">3</definedName>
    <definedName name="solver_rel9" localSheetId="13" hidden="1">1</definedName>
    <definedName name="solver_rel9" localSheetId="7" hidden="1">1</definedName>
    <definedName name="solver_rhs1" localSheetId="11" hidden="1">'Add Dracena Supplier'!$H$32</definedName>
    <definedName name="solver_rhs1" localSheetId="20" hidden="1">'Changing Diesel Prices r!=1'!$H$40</definedName>
    <definedName name="solver_rhs1" localSheetId="18" hidden="1">'Changing Diesel Prices r=1'!$H$40</definedName>
    <definedName name="solver_rhs1" localSheetId="1" hidden="1">Lmolmax</definedName>
    <definedName name="solver_rhs1" localSheetId="13" hidden="1">'Optimization Model w no min'!$H$40</definedName>
    <definedName name="solver_rhs1" localSheetId="7" hidden="1">'Plant Capacity Changes'!$H$44</definedName>
    <definedName name="solver_rhs10" localSheetId="11" hidden="1">'Add Dracena Supplier'!$H$40</definedName>
    <definedName name="solver_rhs10" localSheetId="20" hidden="1">'Changing Diesel Prices r!=1'!$I$32</definedName>
    <definedName name="solver_rhs10" localSheetId="18" hidden="1">'Changing Diesel Prices r=1'!$I$32</definedName>
    <definedName name="solver_rhs10" localSheetId="1" hidden="1">Fmol</definedName>
    <definedName name="solver_rhs10" localSheetId="13" hidden="1">'Optimization Model w no min'!$I$43</definedName>
    <definedName name="solver_rhs10" localSheetId="7" hidden="1">'Plant Capacity Changes'!$I$42</definedName>
    <definedName name="solver_rhs11" localSheetId="11" hidden="1">'Add Dracena Supplier'!$H$39</definedName>
    <definedName name="solver_rhs11" localSheetId="20" hidden="1">'Changing Diesel Prices r!=1'!$H$44</definedName>
    <definedName name="solver_rhs11" localSheetId="18" hidden="1">'Changing Diesel Prices r=1'!$H$44</definedName>
    <definedName name="solver_rhs11" localSheetId="1" hidden="1">Lsugmax</definedName>
    <definedName name="solver_rhs11" localSheetId="13" hidden="1">'Optimization Model w no min'!$I$39</definedName>
    <definedName name="solver_rhs11" localSheetId="7" hidden="1">'Plant Capacity Changes'!$B$46:$B$54</definedName>
    <definedName name="solver_rhs12" localSheetId="11" hidden="1">'Add Dracena Supplier'!$I$40</definedName>
    <definedName name="solver_rhs12" localSheetId="20" hidden="1">'Changing Diesel Prices r!=1'!$H$43</definedName>
    <definedName name="solver_rhs12" localSheetId="18" hidden="1">'Changing Diesel Prices r=1'!$H$43</definedName>
    <definedName name="solver_rhs12" localSheetId="1" hidden="1">Lsugmin</definedName>
    <definedName name="solver_rhs12" localSheetId="13" hidden="1">'Optimization Model w no min'!$H$44</definedName>
    <definedName name="solver_rhs12" localSheetId="7" hidden="1">'Plant Capacity Changes'!$C$46:$C$54</definedName>
    <definedName name="solver_rhs13" localSheetId="11" hidden="1">'Add Dracena Supplier'!$I$39</definedName>
    <definedName name="solver_rhs13" localSheetId="20" hidden="1">'Changing Diesel Prices r!=1'!$H$32</definedName>
    <definedName name="solver_rhs13" localSheetId="18" hidden="1">'Changing Diesel Prices r=1'!$H$32</definedName>
    <definedName name="solver_rhs13" localSheetId="1" hidden="1">Lmol</definedName>
    <definedName name="solver_rhs13" localSheetId="13" hidden="1">'Optimization Model w no min'!$H$43</definedName>
    <definedName name="solver_rhs13" localSheetId="7" hidden="1">'Plant Capacity Changes'!$B$8:$B$15</definedName>
    <definedName name="solver_rhs2" localSheetId="11" hidden="1">'Add Dracena Supplier'!$H$44</definedName>
    <definedName name="solver_rhs2" localSheetId="20" hidden="1">'Changing Diesel Prices r!=1'!$H$39</definedName>
    <definedName name="solver_rhs2" localSheetId="18" hidden="1">'Changing Diesel Prices r=1'!$H$39</definedName>
    <definedName name="solver_rhs2" localSheetId="1" hidden="1">Lmolmin</definedName>
    <definedName name="solver_rhs2" localSheetId="13" hidden="1">'Optimization Model w no min'!$C$46:$C$54</definedName>
    <definedName name="solver_rhs2" localSheetId="7" hidden="1">'Plant Capacity Changes'!$H$31</definedName>
    <definedName name="solver_rhs3" localSheetId="11" hidden="1">'Add Dracena Supplier'!$H$43</definedName>
    <definedName name="solver_rhs3" localSheetId="20" hidden="1">'Changing Diesel Prices r!=1'!$I$40</definedName>
    <definedName name="solver_rhs3" localSheetId="18" hidden="1">'Changing Diesel Prices r=1'!$I$40</definedName>
    <definedName name="solver_rhs3" localSheetId="1" hidden="1">Fmolmax</definedName>
    <definedName name="solver_rhs3" localSheetId="13" hidden="1">'Optimization Model w no min'!$B$46:$B$54</definedName>
    <definedName name="solver_rhs3" localSheetId="7" hidden="1">'Plant Capacity Changes'!$H$38</definedName>
    <definedName name="solver_rhs4" localSheetId="11" hidden="1">'Add Dracena Supplier'!$I$43</definedName>
    <definedName name="solver_rhs4" localSheetId="20" hidden="1">'Changing Diesel Prices r!=1'!$I$39</definedName>
    <definedName name="solver_rhs4" localSheetId="18" hidden="1">'Changing Diesel Prices r=1'!$I$39</definedName>
    <definedName name="solver_rhs4" localSheetId="1" hidden="1">Fmolmin</definedName>
    <definedName name="solver_rhs4" localSheetId="13" hidden="1">'Optimization Model w no min'!$H$32</definedName>
    <definedName name="solver_rhs4" localSheetId="7" hidden="1">'Plant Capacity Changes'!$H$42</definedName>
    <definedName name="solver_rhs5" localSheetId="11" hidden="1">'Add Dracena Supplier'!$I$32</definedName>
    <definedName name="solver_rhs5" localSheetId="20" hidden="1">'Changing Diesel Prices r!=1'!$C$46:$C$54</definedName>
    <definedName name="solver_rhs5" localSheetId="18" hidden="1">'Changing Diesel Prices r=1'!$C$46:$C$54</definedName>
    <definedName name="solver_rhs5" localSheetId="1" hidden="1">'Optimization Model'!$C$46:$C$54</definedName>
    <definedName name="solver_rhs5" localSheetId="13" hidden="1">'Optimization Model w no min'!$B$8:$B$15</definedName>
    <definedName name="solver_rhs5" localSheetId="7" hidden="1">'Plant Capacity Changes'!$H$39</definedName>
    <definedName name="solver_rhs6" localSheetId="11" hidden="1">'Add Dracena Supplier'!$B$46:$B$54</definedName>
    <definedName name="solver_rhs6" localSheetId="20" hidden="1">'Changing Diesel Prices r!=1'!$B$46:$B$54</definedName>
    <definedName name="solver_rhs6" localSheetId="18" hidden="1">'Changing Diesel Prices r=1'!$B$46:$B$54</definedName>
    <definedName name="solver_rhs6" localSheetId="1" hidden="1">'Optimization Model'!$B$46:$B$54</definedName>
    <definedName name="solver_rhs6" localSheetId="13" hidden="1">'Optimization Model w no min'!$H$39</definedName>
    <definedName name="solver_rhs6" localSheetId="7" hidden="1">'Plant Capacity Changes'!$I$38</definedName>
    <definedName name="solver_rhs7" localSheetId="11" hidden="1">'Add Dracena Supplier'!$B$8:$B$15</definedName>
    <definedName name="solver_rhs7" localSheetId="20" hidden="1">'Changing Diesel Prices r!=1'!$B$8:$B$15</definedName>
    <definedName name="solver_rhs7" localSheetId="18" hidden="1">'Changing Diesel Prices r=1'!$B$8:$B$15</definedName>
    <definedName name="solver_rhs7" localSheetId="1" hidden="1">'Optimization Model'!$B$8:$B$15</definedName>
    <definedName name="solver_rhs7" localSheetId="13" hidden="1">'Optimization Model w no min'!$I$44</definedName>
    <definedName name="solver_rhs7" localSheetId="7" hidden="1">'Plant Capacity Changes'!$I$31</definedName>
    <definedName name="solver_rhs8" localSheetId="11" hidden="1">'Add Dracena Supplier'!$I$44</definedName>
    <definedName name="solver_rhs8" localSheetId="20" hidden="1">'Changing Diesel Prices r!=1'!$I$44</definedName>
    <definedName name="solver_rhs8" localSheetId="18" hidden="1">'Changing Diesel Prices r=1'!$I$44</definedName>
    <definedName name="solver_rhs8" localSheetId="1" hidden="1">Fsugmax</definedName>
    <definedName name="solver_rhs8" localSheetId="13" hidden="1">'Optimization Model w no min'!$I$40</definedName>
    <definedName name="solver_rhs8" localSheetId="7" hidden="1">'Plant Capacity Changes'!$I$39</definedName>
    <definedName name="solver_rhs9" localSheetId="11" hidden="1">'Add Dracena Supplier'!$C$46:$C$54</definedName>
    <definedName name="solver_rhs9" localSheetId="20" hidden="1">'Changing Diesel Prices r!=1'!$I$43</definedName>
    <definedName name="solver_rhs9" localSheetId="18" hidden="1">'Changing Diesel Prices r=1'!$I$43</definedName>
    <definedName name="solver_rhs9" localSheetId="1" hidden="1">Fsugmin</definedName>
    <definedName name="solver_rhs9" localSheetId="13" hidden="1">'Optimization Model w no min'!$I$32</definedName>
    <definedName name="solver_rhs9" localSheetId="7" hidden="1">'Plant Capacity Changes'!$I$43</definedName>
    <definedName name="solver_rlx" localSheetId="11" hidden="1">2</definedName>
    <definedName name="solver_rlx" localSheetId="20" hidden="1">2</definedName>
    <definedName name="solver_rlx" localSheetId="18" hidden="1">2</definedName>
    <definedName name="solver_rlx" localSheetId="1" hidden="1">2</definedName>
    <definedName name="solver_rlx" localSheetId="13" hidden="1">2</definedName>
    <definedName name="solver_rlx" localSheetId="7" hidden="1">2</definedName>
    <definedName name="solver_rsd" localSheetId="11" hidden="1">0</definedName>
    <definedName name="solver_rsd" localSheetId="20" hidden="1">0</definedName>
    <definedName name="solver_rsd" localSheetId="18" hidden="1">0</definedName>
    <definedName name="solver_rsd" localSheetId="1" hidden="1">0</definedName>
    <definedName name="solver_rsd" localSheetId="13" hidden="1">0</definedName>
    <definedName name="solver_rsd" localSheetId="7" hidden="1">0</definedName>
    <definedName name="solver_scl" localSheetId="11" hidden="1">1</definedName>
    <definedName name="solver_scl" localSheetId="20" hidden="1">1</definedName>
    <definedName name="solver_scl" localSheetId="18" hidden="1">1</definedName>
    <definedName name="solver_scl" localSheetId="1" hidden="1">1</definedName>
    <definedName name="solver_scl" localSheetId="13" hidden="1">1</definedName>
    <definedName name="solver_scl" localSheetId="7" hidden="1">1</definedName>
    <definedName name="solver_sho" localSheetId="11" hidden="1">2</definedName>
    <definedName name="solver_sho" localSheetId="20" hidden="1">2</definedName>
    <definedName name="solver_sho" localSheetId="18" hidden="1">2</definedName>
    <definedName name="solver_sho" localSheetId="4" hidden="1">2</definedName>
    <definedName name="solver_sho" localSheetId="16" hidden="1">2</definedName>
    <definedName name="solver_sho" localSheetId="1" hidden="1">2</definedName>
    <definedName name="solver_sho" localSheetId="13" hidden="1">2</definedName>
    <definedName name="solver_sho" localSheetId="7" hidden="1">2</definedName>
    <definedName name="solver_ssz" localSheetId="11" hidden="1">100</definedName>
    <definedName name="solver_ssz" localSheetId="20" hidden="1">100</definedName>
    <definedName name="solver_ssz" localSheetId="18" hidden="1">100</definedName>
    <definedName name="solver_ssz" localSheetId="1" hidden="1">100</definedName>
    <definedName name="solver_ssz" localSheetId="13" hidden="1">100</definedName>
    <definedName name="solver_ssz" localSheetId="7" hidden="1">100</definedName>
    <definedName name="solver_tim" localSheetId="11" hidden="1">2147483647</definedName>
    <definedName name="solver_tim" localSheetId="20" hidden="1">2147483647</definedName>
    <definedName name="solver_tim" localSheetId="18" hidden="1">2147483647</definedName>
    <definedName name="solver_tim" localSheetId="1" hidden="1">2147483647</definedName>
    <definedName name="solver_tim" localSheetId="13" hidden="1">2147483647</definedName>
    <definedName name="solver_tim" localSheetId="7" hidden="1">2147483647</definedName>
    <definedName name="solver_tol" localSheetId="11" hidden="1">0.01</definedName>
    <definedName name="solver_tol" localSheetId="20" hidden="1">0.01</definedName>
    <definedName name="solver_tol" localSheetId="18" hidden="1">0.01</definedName>
    <definedName name="solver_tol" localSheetId="1" hidden="1">0.01</definedName>
    <definedName name="solver_tol" localSheetId="13" hidden="1">0.01</definedName>
    <definedName name="solver_tol" localSheetId="7" hidden="1">0.01</definedName>
    <definedName name="solver_typ" localSheetId="11" hidden="1">1</definedName>
    <definedName name="solver_typ" localSheetId="20" hidden="1">1</definedName>
    <definedName name="solver_typ" localSheetId="18" hidden="1">1</definedName>
    <definedName name="solver_typ" localSheetId="1" hidden="1">1</definedName>
    <definedName name="solver_typ" localSheetId="13" hidden="1">1</definedName>
    <definedName name="solver_typ" localSheetId="7" hidden="1">1</definedName>
    <definedName name="solver_val" localSheetId="11" hidden="1">0</definedName>
    <definedName name="solver_val" localSheetId="20" hidden="1">0</definedName>
    <definedName name="solver_val" localSheetId="18" hidden="1">0</definedName>
    <definedName name="solver_val" localSheetId="1" hidden="1">0</definedName>
    <definedName name="solver_val" localSheetId="13" hidden="1">0</definedName>
    <definedName name="solver_val" localSheetId="7" hidden="1">0</definedName>
    <definedName name="solver_ver" localSheetId="11" hidden="1">3</definedName>
    <definedName name="solver_ver" localSheetId="20" hidden="1">3</definedName>
    <definedName name="solver_ver" localSheetId="18" hidden="1">3</definedName>
    <definedName name="solver_ver" localSheetId="1" hidden="1">2</definedName>
    <definedName name="solver_ver" localSheetId="13" hidden="1">3</definedName>
    <definedName name="solver_ver" localSheetId="7" hidden="1">3</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L1" i="32" l="1"/>
  <c r="AK4" i="32"/>
  <c r="AL5" i="32"/>
  <c r="AL6" i="32"/>
  <c r="AL7" i="32"/>
  <c r="AL8" i="32"/>
  <c r="AL9" i="32"/>
  <c r="AL10" i="32"/>
  <c r="AL11" i="32"/>
  <c r="AL12" i="32"/>
  <c r="AL13" i="32"/>
  <c r="AL14" i="32"/>
  <c r="AL15" i="32"/>
  <c r="AL16" i="32"/>
  <c r="AL17" i="32"/>
  <c r="AL18" i="32"/>
  <c r="AL19" i="32"/>
  <c r="AL20" i="32"/>
  <c r="AL21" i="32"/>
  <c r="AL22" i="32"/>
  <c r="AL23" i="32"/>
  <c r="AL24" i="32"/>
  <c r="AL25" i="32"/>
  <c r="AL26" i="32"/>
  <c r="AL27" i="32"/>
  <c r="AL28" i="32"/>
  <c r="AL29" i="32"/>
  <c r="AL30" i="32"/>
  <c r="AL31" i="32"/>
  <c r="AL32" i="32"/>
  <c r="AL33" i="32"/>
  <c r="AL34" i="32"/>
  <c r="AL35" i="32"/>
  <c r="AL36" i="32"/>
  <c r="AL37" i="32"/>
  <c r="AL38" i="32"/>
  <c r="AL39" i="32"/>
  <c r="AL40" i="32"/>
  <c r="AL41" i="32"/>
  <c r="AL42" i="32"/>
  <c r="AL43" i="32"/>
  <c r="AL44" i="32"/>
  <c r="AL45" i="32"/>
  <c r="AL1" i="31"/>
  <c r="AK4" i="31"/>
  <c r="AL5" i="31"/>
  <c r="AL6" i="31"/>
  <c r="AL7" i="31"/>
  <c r="AL8" i="31"/>
  <c r="AL9" i="31"/>
  <c r="AL10" i="31"/>
  <c r="AL11" i="31"/>
  <c r="AL12" i="31"/>
  <c r="AL13" i="31"/>
  <c r="AL14" i="31"/>
  <c r="AL15" i="31"/>
  <c r="AL1" i="30"/>
  <c r="AK4" i="30"/>
  <c r="AL5" i="30"/>
  <c r="AL6" i="30"/>
  <c r="AL7" i="30"/>
  <c r="AL8" i="30"/>
  <c r="AL9" i="30"/>
  <c r="AL10" i="30"/>
  <c r="AL11" i="30"/>
  <c r="AL12" i="30"/>
  <c r="AL13" i="30"/>
  <c r="AL14" i="30"/>
  <c r="AL15" i="30"/>
  <c r="J8" i="29"/>
  <c r="J9" i="29"/>
  <c r="J10" i="29"/>
  <c r="J11" i="29"/>
  <c r="J12" i="29"/>
  <c r="J13" i="29"/>
  <c r="J14" i="29"/>
  <c r="J15" i="29"/>
  <c r="J17" i="29"/>
  <c r="J18" i="29"/>
  <c r="J19" i="29"/>
  <c r="J20" i="29"/>
  <c r="J21" i="29"/>
  <c r="J22" i="29"/>
  <c r="J23" i="29"/>
  <c r="J24" i="29"/>
  <c r="J25" i="29"/>
  <c r="B26" i="29"/>
  <c r="C26" i="29"/>
  <c r="H26" i="29"/>
  <c r="I26" i="29"/>
  <c r="H31" i="29"/>
  <c r="I31" i="29"/>
  <c r="J31" i="29"/>
  <c r="H32" i="29"/>
  <c r="I32" i="29"/>
  <c r="J32" i="29"/>
  <c r="H34" i="29"/>
  <c r="I34" i="29"/>
  <c r="J34" i="29"/>
  <c r="H38" i="29"/>
  <c r="I38" i="29"/>
  <c r="H39" i="29"/>
  <c r="I39" i="29"/>
  <c r="H42" i="29"/>
  <c r="I42" i="29"/>
  <c r="H43" i="29"/>
  <c r="I43" i="29"/>
  <c r="H47" i="29"/>
  <c r="H48" i="29"/>
  <c r="H49" i="29"/>
  <c r="H50" i="29"/>
  <c r="H51" i="29"/>
  <c r="H52" i="29"/>
  <c r="B29" i="27"/>
  <c r="B30" i="27"/>
  <c r="B31" i="27"/>
  <c r="B32" i="27"/>
  <c r="B33" i="27"/>
  <c r="B34" i="27"/>
  <c r="B35" i="27"/>
  <c r="B36" i="27"/>
  <c r="B37" i="27"/>
  <c r="B39" i="27"/>
  <c r="O39" i="27"/>
  <c r="B42" i="27"/>
  <c r="B43" i="27"/>
  <c r="B44" i="27"/>
  <c r="B45" i="27"/>
  <c r="J8" i="23"/>
  <c r="J9" i="23"/>
  <c r="J10" i="23"/>
  <c r="J11" i="23"/>
  <c r="J12" i="23"/>
  <c r="J13" i="23"/>
  <c r="J14" i="23"/>
  <c r="J15" i="23"/>
  <c r="H16" i="23"/>
  <c r="I16" i="23"/>
  <c r="J18" i="23"/>
  <c r="J19" i="23"/>
  <c r="J20" i="23"/>
  <c r="J21" i="23"/>
  <c r="J22" i="23"/>
  <c r="J23" i="23"/>
  <c r="J24" i="23"/>
  <c r="J25" i="23"/>
  <c r="B26" i="23"/>
  <c r="C26" i="23"/>
  <c r="J26" i="23"/>
  <c r="H27" i="23"/>
  <c r="I27" i="23"/>
  <c r="H32" i="23"/>
  <c r="I32" i="23"/>
  <c r="J32" i="23"/>
  <c r="H33" i="23"/>
  <c r="I33" i="23"/>
  <c r="J33" i="23"/>
  <c r="H34" i="23"/>
  <c r="I34" i="23"/>
  <c r="J34" i="23"/>
  <c r="H35" i="23"/>
  <c r="I35" i="23"/>
  <c r="H39" i="23"/>
  <c r="I39" i="23"/>
  <c r="H40" i="23"/>
  <c r="I40" i="23"/>
  <c r="H43" i="23"/>
  <c r="I43" i="23"/>
  <c r="H44" i="23"/>
  <c r="I44" i="23"/>
  <c r="H48" i="23"/>
  <c r="H49" i="23"/>
  <c r="H50" i="23"/>
  <c r="H51" i="23"/>
  <c r="H52" i="23"/>
  <c r="H53" i="23"/>
  <c r="J4" i="22"/>
  <c r="K405" i="22"/>
  <c r="K404" i="22"/>
  <c r="K403" i="22"/>
  <c r="K402" i="22"/>
  <c r="K401" i="22"/>
  <c r="K400" i="22"/>
  <c r="K399" i="22"/>
  <c r="K398" i="22"/>
  <c r="K397" i="22"/>
  <c r="K396" i="22"/>
  <c r="K395" i="22"/>
  <c r="K394" i="22"/>
  <c r="K393" i="22"/>
  <c r="K392" i="22"/>
  <c r="K391" i="22"/>
  <c r="K390" i="22"/>
  <c r="K389" i="22"/>
  <c r="K388" i="22"/>
  <c r="K387" i="22"/>
  <c r="K386" i="22"/>
  <c r="K385" i="22"/>
  <c r="K384" i="22"/>
  <c r="K383" i="22"/>
  <c r="K382" i="22"/>
  <c r="K381" i="22"/>
  <c r="K380" i="22"/>
  <c r="K379" i="22"/>
  <c r="K378" i="22"/>
  <c r="K377" i="22"/>
  <c r="K376" i="22"/>
  <c r="K375" i="22"/>
  <c r="K374" i="22"/>
  <c r="K373" i="22"/>
  <c r="K372" i="22"/>
  <c r="K371" i="22"/>
  <c r="K370" i="22"/>
  <c r="K369" i="22"/>
  <c r="K368" i="22"/>
  <c r="K367" i="22"/>
  <c r="K366" i="22"/>
  <c r="K365" i="22"/>
  <c r="K364" i="22"/>
  <c r="K363" i="22"/>
  <c r="K362" i="22"/>
  <c r="K361" i="22"/>
  <c r="K360" i="22"/>
  <c r="K359" i="22"/>
  <c r="K358" i="22"/>
  <c r="K357" i="22"/>
  <c r="K356" i="22"/>
  <c r="K355" i="22"/>
  <c r="K354" i="22"/>
  <c r="K353" i="22"/>
  <c r="K352" i="22"/>
  <c r="K351" i="22"/>
  <c r="K350" i="22"/>
  <c r="K349" i="22"/>
  <c r="K348" i="22"/>
  <c r="K347" i="22"/>
  <c r="K346" i="22"/>
  <c r="K345" i="22"/>
  <c r="K344" i="22"/>
  <c r="K343" i="22"/>
  <c r="K342" i="22"/>
  <c r="K341" i="22"/>
  <c r="K340" i="22"/>
  <c r="K339" i="22"/>
  <c r="K338" i="22"/>
  <c r="K337" i="22"/>
  <c r="K336" i="22"/>
  <c r="K335" i="22"/>
  <c r="K334" i="22"/>
  <c r="K333" i="22"/>
  <c r="K332" i="22"/>
  <c r="K331" i="22"/>
  <c r="K330" i="22"/>
  <c r="K329" i="22"/>
  <c r="K328" i="22"/>
  <c r="K327" i="22"/>
  <c r="K326" i="22"/>
  <c r="K325" i="22"/>
  <c r="K324" i="22"/>
  <c r="K323" i="22"/>
  <c r="K322" i="22"/>
  <c r="K321" i="22"/>
  <c r="K320" i="22"/>
  <c r="K319" i="22"/>
  <c r="K318" i="22"/>
  <c r="K317" i="22"/>
  <c r="K316" i="22"/>
  <c r="K315" i="22"/>
  <c r="K314" i="22"/>
  <c r="K313" i="22"/>
  <c r="K312" i="22"/>
  <c r="K311" i="22"/>
  <c r="K310" i="22"/>
  <c r="K309" i="22"/>
  <c r="K308" i="22"/>
  <c r="K307" i="22"/>
  <c r="K306" i="22"/>
  <c r="K305" i="22"/>
  <c r="K304" i="22"/>
  <c r="K303" i="22"/>
  <c r="K302" i="22"/>
  <c r="K301" i="22"/>
  <c r="K300" i="22"/>
  <c r="K299" i="22"/>
  <c r="K298" i="22"/>
  <c r="K297" i="22"/>
  <c r="K296" i="22"/>
  <c r="K295" i="22"/>
  <c r="K294" i="22"/>
  <c r="K293" i="22"/>
  <c r="K292" i="22"/>
  <c r="K291" i="22"/>
  <c r="K290" i="22"/>
  <c r="K289" i="22"/>
  <c r="K288" i="22"/>
  <c r="K287" i="22"/>
  <c r="K286" i="22"/>
  <c r="K285" i="22"/>
  <c r="K284" i="22"/>
  <c r="K283" i="22"/>
  <c r="K282" i="22"/>
  <c r="K281" i="22"/>
  <c r="K280" i="22"/>
  <c r="K279" i="22"/>
  <c r="K278" i="22"/>
  <c r="K277" i="22"/>
  <c r="K276" i="22"/>
  <c r="K275" i="22"/>
  <c r="K274" i="22"/>
  <c r="K273" i="22"/>
  <c r="K272" i="22"/>
  <c r="K271" i="22"/>
  <c r="K270" i="22"/>
  <c r="K269" i="22"/>
  <c r="K268" i="22"/>
  <c r="K267" i="22"/>
  <c r="K266" i="22"/>
  <c r="K265" i="22"/>
  <c r="K264" i="22"/>
  <c r="K263" i="22"/>
  <c r="K262" i="22"/>
  <c r="K261" i="22"/>
  <c r="K260" i="22"/>
  <c r="K259" i="22"/>
  <c r="K258" i="22"/>
  <c r="K257" i="22"/>
  <c r="K256" i="22"/>
  <c r="K255" i="22"/>
  <c r="K254" i="22"/>
  <c r="K253" i="22"/>
  <c r="K252" i="22"/>
  <c r="K251" i="22"/>
  <c r="K250" i="22"/>
  <c r="K249" i="22"/>
  <c r="K248" i="22"/>
  <c r="K247" i="22"/>
  <c r="K246" i="22"/>
  <c r="K245" i="22"/>
  <c r="K244" i="22"/>
  <c r="K243" i="22"/>
  <c r="K242" i="22"/>
  <c r="K241" i="22"/>
  <c r="K240" i="22"/>
  <c r="K239" i="22"/>
  <c r="K238" i="22"/>
  <c r="K237" i="22"/>
  <c r="K236" i="22"/>
  <c r="K235" i="22"/>
  <c r="K234" i="22"/>
  <c r="K233" i="22"/>
  <c r="K232" i="22"/>
  <c r="K231" i="22"/>
  <c r="K230" i="22"/>
  <c r="K229" i="22"/>
  <c r="K228" i="22"/>
  <c r="K227" i="22"/>
  <c r="K226" i="22"/>
  <c r="K225" i="22"/>
  <c r="K224" i="22"/>
  <c r="K223" i="22"/>
  <c r="K222" i="22"/>
  <c r="K221" i="22"/>
  <c r="K220" i="22"/>
  <c r="K219" i="22"/>
  <c r="K218" i="22"/>
  <c r="K217" i="22"/>
  <c r="K216" i="22"/>
  <c r="K215" i="22"/>
  <c r="K214" i="22"/>
  <c r="K213" i="22"/>
  <c r="K212" i="22"/>
  <c r="K211" i="22"/>
  <c r="K210" i="22"/>
  <c r="K209" i="22"/>
  <c r="K208" i="22"/>
  <c r="K207" i="22"/>
  <c r="K206" i="22"/>
  <c r="K205" i="22"/>
  <c r="K204" i="22"/>
  <c r="K203" i="22"/>
  <c r="K202" i="22"/>
  <c r="K201" i="22"/>
  <c r="K200" i="22"/>
  <c r="K199" i="22"/>
  <c r="K198" i="22"/>
  <c r="K197" i="22"/>
  <c r="K196" i="22"/>
  <c r="K195" i="22"/>
  <c r="K194" i="22"/>
  <c r="K193" i="22"/>
  <c r="K192" i="22"/>
  <c r="K191" i="22"/>
  <c r="K190" i="22"/>
  <c r="K189" i="22"/>
  <c r="K188" i="22"/>
  <c r="K187" i="22"/>
  <c r="K186" i="22"/>
  <c r="K185" i="22"/>
  <c r="K184" i="22"/>
  <c r="K183" i="22"/>
  <c r="K182" i="22"/>
  <c r="K181" i="22"/>
  <c r="K180" i="22"/>
  <c r="K179" i="22"/>
  <c r="K178" i="22"/>
  <c r="K177" i="22"/>
  <c r="K176" i="22"/>
  <c r="K175" i="22"/>
  <c r="K174" i="22"/>
  <c r="K173" i="22"/>
  <c r="K172" i="22"/>
  <c r="K171" i="22"/>
  <c r="K170" i="22"/>
  <c r="K169" i="22"/>
  <c r="K168" i="22"/>
  <c r="K167" i="22"/>
  <c r="K166" i="22"/>
  <c r="K165" i="22"/>
  <c r="K164" i="22"/>
  <c r="K163" i="22"/>
  <c r="K162" i="22"/>
  <c r="K161" i="22"/>
  <c r="K160" i="22"/>
  <c r="K159" i="22"/>
  <c r="K158" i="22"/>
  <c r="K157" i="22"/>
  <c r="K156" i="22"/>
  <c r="K155" i="22"/>
  <c r="K154" i="22"/>
  <c r="K153" i="22"/>
  <c r="K152" i="22"/>
  <c r="K151" i="22"/>
  <c r="K150" i="22"/>
  <c r="K149" i="22"/>
  <c r="K148" i="22"/>
  <c r="K147" i="22"/>
  <c r="K146" i="22"/>
  <c r="K145" i="22"/>
  <c r="K144" i="22"/>
  <c r="K143" i="22"/>
  <c r="K142" i="22"/>
  <c r="K141" i="22"/>
  <c r="K140" i="22"/>
  <c r="K139" i="22"/>
  <c r="K138" i="22"/>
  <c r="K137" i="22"/>
  <c r="K136" i="22"/>
  <c r="K135" i="22"/>
  <c r="K134" i="22"/>
  <c r="K133" i="22"/>
  <c r="K132" i="22"/>
  <c r="K131" i="22"/>
  <c r="K130" i="22"/>
  <c r="K129" i="22"/>
  <c r="K128" i="22"/>
  <c r="K127" i="22"/>
  <c r="K126" i="22"/>
  <c r="K125" i="22"/>
  <c r="K124" i="22"/>
  <c r="K123" i="22"/>
  <c r="K122" i="22"/>
  <c r="K121" i="22"/>
  <c r="K120" i="22"/>
  <c r="K119" i="22"/>
  <c r="K118" i="22"/>
  <c r="K117" i="22"/>
  <c r="K116" i="22"/>
  <c r="K115" i="22"/>
  <c r="K114" i="22"/>
  <c r="K113" i="22"/>
  <c r="K112" i="22"/>
  <c r="K111" i="22"/>
  <c r="K110" i="22"/>
  <c r="K109" i="22"/>
  <c r="K108" i="22"/>
  <c r="K107" i="22"/>
  <c r="K106" i="22"/>
  <c r="K105" i="22"/>
  <c r="K104" i="22"/>
  <c r="K103" i="22"/>
  <c r="K102" i="22"/>
  <c r="K101" i="22"/>
  <c r="K100" i="22"/>
  <c r="K99" i="22"/>
  <c r="K98" i="22"/>
  <c r="K97" i="22"/>
  <c r="K96" i="22"/>
  <c r="K95" i="22"/>
  <c r="K94" i="22"/>
  <c r="K93" i="22"/>
  <c r="K92" i="22"/>
  <c r="K91" i="22"/>
  <c r="K90" i="22"/>
  <c r="K89" i="22"/>
  <c r="K88" i="22"/>
  <c r="K87" i="22"/>
  <c r="K86" i="22"/>
  <c r="K85" i="22"/>
  <c r="K84" i="22"/>
  <c r="K83" i="22"/>
  <c r="K82" i="22"/>
  <c r="K81" i="22"/>
  <c r="K80" i="22"/>
  <c r="K79" i="22"/>
  <c r="K78" i="22"/>
  <c r="K77" i="22"/>
  <c r="K76" i="22"/>
  <c r="K75" i="22"/>
  <c r="K74" i="22"/>
  <c r="K73" i="22"/>
  <c r="K72" i="22"/>
  <c r="K71" i="22"/>
  <c r="K70" i="22"/>
  <c r="K69" i="22"/>
  <c r="K68" i="22"/>
  <c r="K67" i="22"/>
  <c r="K66" i="22"/>
  <c r="K65" i="22"/>
  <c r="K64" i="22"/>
  <c r="K63" i="22"/>
  <c r="K62" i="22"/>
  <c r="K61" i="22"/>
  <c r="K60" i="22"/>
  <c r="K59" i="22"/>
  <c r="K58" i="22"/>
  <c r="K57" i="22"/>
  <c r="K56" i="22"/>
  <c r="K55" i="22"/>
  <c r="K54" i="22"/>
  <c r="K53" i="22"/>
  <c r="K52" i="22"/>
  <c r="K51" i="22"/>
  <c r="K50" i="22"/>
  <c r="K49" i="22"/>
  <c r="K48" i="22"/>
  <c r="K47" i="22"/>
  <c r="K46" i="22"/>
  <c r="K45" i="22"/>
  <c r="K44" i="22"/>
  <c r="K43" i="22"/>
  <c r="K42" i="22"/>
  <c r="K41" i="22"/>
  <c r="K40" i="22"/>
  <c r="K39" i="22"/>
  <c r="K38" i="22"/>
  <c r="K37" i="22"/>
  <c r="K36" i="22"/>
  <c r="K35" i="22"/>
  <c r="K34" i="22"/>
  <c r="K33" i="22"/>
  <c r="K32" i="22"/>
  <c r="K31" i="22"/>
  <c r="K30" i="22"/>
  <c r="K29" i="22"/>
  <c r="K28" i="22"/>
  <c r="K27" i="22"/>
  <c r="K26" i="22"/>
  <c r="K25" i="22"/>
  <c r="K24" i="22"/>
  <c r="K23" i="22"/>
  <c r="K22" i="22"/>
  <c r="K21" i="22"/>
  <c r="K20" i="22"/>
  <c r="K19" i="22"/>
  <c r="K18" i="22"/>
  <c r="K17" i="22"/>
  <c r="K16" i="22"/>
  <c r="K15" i="22"/>
  <c r="K14" i="22"/>
  <c r="K13" i="22"/>
  <c r="K12" i="22"/>
  <c r="K11" i="22"/>
  <c r="K10" i="22"/>
  <c r="K9" i="22"/>
  <c r="K8" i="22"/>
  <c r="K7" i="22"/>
  <c r="K6" i="22"/>
  <c r="K5" i="22"/>
  <c r="K1" i="22"/>
  <c r="J19" i="21"/>
  <c r="J20" i="21"/>
  <c r="J21" i="21"/>
  <c r="J22" i="21"/>
  <c r="J23" i="21"/>
  <c r="J24" i="21"/>
  <c r="J25" i="21"/>
  <c r="J26" i="21"/>
  <c r="J27" i="21"/>
  <c r="B26" i="21"/>
  <c r="H34" i="21"/>
  <c r="C26" i="21"/>
  <c r="I34" i="21"/>
  <c r="J34" i="21"/>
  <c r="H33" i="21"/>
  <c r="I33" i="21"/>
  <c r="H48" i="21"/>
  <c r="H49" i="21"/>
  <c r="H50" i="21"/>
  <c r="H51" i="21"/>
  <c r="H52" i="21"/>
  <c r="H53" i="21"/>
  <c r="I44" i="21"/>
  <c r="H44" i="21"/>
  <c r="I43" i="21"/>
  <c r="H43" i="21"/>
  <c r="I40" i="21"/>
  <c r="H40" i="21"/>
  <c r="I39" i="21"/>
  <c r="H39" i="21"/>
  <c r="I32" i="21"/>
  <c r="I35" i="21"/>
  <c r="H32" i="21"/>
  <c r="H35" i="21"/>
  <c r="J33" i="21"/>
  <c r="J32" i="21"/>
  <c r="I28" i="21"/>
  <c r="H28" i="21"/>
  <c r="I17" i="21"/>
  <c r="H17" i="21"/>
  <c r="J16" i="21"/>
  <c r="J15" i="21"/>
  <c r="J14" i="21"/>
  <c r="J13" i="21"/>
  <c r="J12" i="21"/>
  <c r="J11" i="21"/>
  <c r="J10" i="21"/>
  <c r="J9" i="21"/>
  <c r="J8" i="21"/>
  <c r="K1" i="20"/>
  <c r="J4" i="20"/>
  <c r="K25" i="20"/>
  <c r="K24" i="20"/>
  <c r="K23" i="20"/>
  <c r="K22" i="20"/>
  <c r="K21" i="20"/>
  <c r="K20" i="20"/>
  <c r="K19" i="20"/>
  <c r="K18" i="20"/>
  <c r="K17" i="20"/>
  <c r="K16" i="20"/>
  <c r="K15" i="20"/>
  <c r="K14" i="20"/>
  <c r="K13" i="20"/>
  <c r="K12" i="20"/>
  <c r="K11" i="20"/>
  <c r="K10" i="20"/>
  <c r="K9" i="20"/>
  <c r="K8" i="20"/>
  <c r="K7" i="20"/>
  <c r="K6" i="20"/>
  <c r="K5" i="20"/>
  <c r="R1" i="18"/>
  <c r="N1" i="18"/>
  <c r="T4" i="18"/>
  <c r="Q4" i="18"/>
  <c r="Q5" i="18"/>
  <c r="R25" i="18"/>
  <c r="R24" i="18"/>
  <c r="R23" i="18"/>
  <c r="R22" i="18"/>
  <c r="R21" i="18"/>
  <c r="R20" i="18"/>
  <c r="R19" i="18"/>
  <c r="R18" i="18"/>
  <c r="R17" i="18"/>
  <c r="R16" i="18"/>
  <c r="R15" i="18"/>
  <c r="R14" i="18"/>
  <c r="R13" i="18"/>
  <c r="R12" i="18"/>
  <c r="R11" i="18"/>
  <c r="R10" i="18"/>
  <c r="R9" i="18"/>
  <c r="R8" i="18"/>
  <c r="R7" i="18"/>
  <c r="R6" i="18"/>
  <c r="R5" i="18"/>
  <c r="P4" i="18"/>
  <c r="M4" i="18"/>
  <c r="M5" i="18"/>
  <c r="N15" i="18"/>
  <c r="N14" i="18"/>
  <c r="N13" i="18"/>
  <c r="N12" i="18"/>
  <c r="N11" i="18"/>
  <c r="N10" i="18"/>
  <c r="N9" i="18"/>
  <c r="N8" i="18"/>
  <c r="N7" i="18"/>
  <c r="N6" i="18"/>
  <c r="N5" i="18"/>
  <c r="M19" i="15"/>
  <c r="M20" i="15"/>
  <c r="M21" i="15"/>
  <c r="M22" i="15"/>
  <c r="M23" i="15"/>
  <c r="M24" i="15"/>
  <c r="M25" i="15"/>
  <c r="M26" i="15"/>
  <c r="M18" i="15"/>
  <c r="L19" i="15"/>
  <c r="L20" i="15"/>
  <c r="L21" i="15"/>
  <c r="L22" i="15"/>
  <c r="L23" i="15"/>
  <c r="L24" i="15"/>
  <c r="L25" i="15"/>
  <c r="L26" i="15"/>
  <c r="L18" i="15"/>
  <c r="M9" i="15"/>
  <c r="M10" i="15"/>
  <c r="M11" i="15"/>
  <c r="M12" i="15"/>
  <c r="M13" i="15"/>
  <c r="M14" i="15"/>
  <c r="M15" i="15"/>
  <c r="M8" i="15"/>
  <c r="L9" i="15"/>
  <c r="L10" i="15"/>
  <c r="L11" i="15"/>
  <c r="L12" i="15"/>
  <c r="L13" i="15"/>
  <c r="L14" i="15"/>
  <c r="L15" i="15"/>
  <c r="L8" i="15"/>
  <c r="M19" i="12"/>
  <c r="M20" i="12"/>
  <c r="M21" i="12"/>
  <c r="M22" i="12"/>
  <c r="M23" i="12"/>
  <c r="M24" i="12"/>
  <c r="M25" i="12"/>
  <c r="M26" i="12"/>
  <c r="M18" i="12"/>
  <c r="L19" i="12"/>
  <c r="L20" i="12"/>
  <c r="L21" i="12"/>
  <c r="L22" i="12"/>
  <c r="L23" i="12"/>
  <c r="L24" i="12"/>
  <c r="L25" i="12"/>
  <c r="L26" i="12"/>
  <c r="L18" i="12"/>
  <c r="M9" i="12"/>
  <c r="M10" i="12"/>
  <c r="M11" i="12"/>
  <c r="M12" i="12"/>
  <c r="M13" i="12"/>
  <c r="M14" i="12"/>
  <c r="M15" i="12"/>
  <c r="M8" i="12"/>
  <c r="L9" i="12"/>
  <c r="L10" i="12"/>
  <c r="L11" i="12"/>
  <c r="L12" i="12"/>
  <c r="L13" i="12"/>
  <c r="L14" i="12"/>
  <c r="L15" i="12"/>
  <c r="L8" i="12"/>
  <c r="L6" i="12"/>
  <c r="L30" i="15"/>
  <c r="J18" i="15"/>
  <c r="J19" i="15"/>
  <c r="J20" i="15"/>
  <c r="J21" i="15"/>
  <c r="J22" i="15"/>
  <c r="J23" i="15"/>
  <c r="J24" i="15"/>
  <c r="J25" i="15"/>
  <c r="J26" i="15"/>
  <c r="B26" i="15"/>
  <c r="H34" i="15"/>
  <c r="C26" i="15"/>
  <c r="I34" i="15"/>
  <c r="J34" i="15"/>
  <c r="H33" i="15"/>
  <c r="I33" i="15"/>
  <c r="H48" i="15"/>
  <c r="H49" i="15"/>
  <c r="H51" i="15"/>
  <c r="I44" i="15"/>
  <c r="H44" i="15"/>
  <c r="I43" i="15"/>
  <c r="H43" i="15"/>
  <c r="I40" i="15"/>
  <c r="H40" i="15"/>
  <c r="I39" i="15"/>
  <c r="H39" i="15"/>
  <c r="I32" i="15"/>
  <c r="I35" i="15"/>
  <c r="H32" i="15"/>
  <c r="H35" i="15"/>
  <c r="J33" i="15"/>
  <c r="J32" i="15"/>
  <c r="I27" i="15"/>
  <c r="H27" i="15"/>
  <c r="I16" i="15"/>
  <c r="H16" i="15"/>
  <c r="J15" i="15"/>
  <c r="J14" i="15"/>
  <c r="J13" i="15"/>
  <c r="J12" i="15"/>
  <c r="J11" i="15"/>
  <c r="J10" i="15"/>
  <c r="J9" i="15"/>
  <c r="J8" i="15"/>
  <c r="M6" i="15"/>
  <c r="L6" i="15"/>
  <c r="J18" i="12"/>
  <c r="J19" i="12"/>
  <c r="J20" i="12"/>
  <c r="J21" i="12"/>
  <c r="J22" i="12"/>
  <c r="J23" i="12"/>
  <c r="J24" i="12"/>
  <c r="J25" i="12"/>
  <c r="J26" i="12"/>
  <c r="H34" i="12"/>
  <c r="I34" i="12"/>
  <c r="J34" i="12"/>
  <c r="H33" i="12"/>
  <c r="I33" i="12"/>
  <c r="H49" i="12"/>
  <c r="H51" i="12"/>
  <c r="I32" i="12"/>
  <c r="H32" i="12"/>
  <c r="M6" i="12"/>
  <c r="B26" i="12"/>
  <c r="C26" i="12"/>
  <c r="I44" i="12"/>
  <c r="H44" i="12"/>
  <c r="I43" i="12"/>
  <c r="H43" i="12"/>
  <c r="I40" i="12"/>
  <c r="H40" i="12"/>
  <c r="I39" i="12"/>
  <c r="H39" i="12"/>
  <c r="I35" i="12"/>
  <c r="H35" i="12"/>
  <c r="J33" i="12"/>
  <c r="J32" i="12"/>
  <c r="I27" i="12"/>
  <c r="H27" i="12"/>
  <c r="I16" i="12"/>
  <c r="H16" i="12"/>
  <c r="J15" i="12"/>
  <c r="J14" i="12"/>
  <c r="J13" i="12"/>
  <c r="J12" i="12"/>
  <c r="J11" i="12"/>
  <c r="J10" i="12"/>
  <c r="J9" i="12"/>
  <c r="J8" i="12"/>
  <c r="J34" i="1"/>
  <c r="I35" i="1"/>
  <c r="H35" i="1"/>
  <c r="I16" i="1"/>
  <c r="H16" i="1"/>
  <c r="I32" i="1"/>
  <c r="I33" i="1"/>
  <c r="I34" i="1"/>
  <c r="H32" i="1"/>
  <c r="H33" i="1"/>
  <c r="H34" i="1"/>
  <c r="H39" i="1"/>
  <c r="J18" i="1"/>
  <c r="I27" i="1"/>
  <c r="H27" i="1"/>
  <c r="J19" i="1"/>
  <c r="J20" i="1"/>
  <c r="J21" i="1"/>
  <c r="J22" i="1"/>
  <c r="J23" i="1"/>
  <c r="J24" i="1"/>
  <c r="J25" i="1"/>
  <c r="J26" i="1"/>
  <c r="H48" i="1"/>
  <c r="J33" i="1"/>
  <c r="J32" i="1"/>
  <c r="H44" i="1"/>
  <c r="H43" i="1"/>
  <c r="I44" i="1"/>
  <c r="I43" i="1"/>
  <c r="I40" i="1"/>
  <c r="I39" i="1"/>
  <c r="H40" i="1"/>
  <c r="H49" i="1"/>
  <c r="H50" i="1"/>
  <c r="H51" i="1"/>
  <c r="H52" i="1"/>
  <c r="H53" i="1"/>
  <c r="C26" i="1"/>
  <c r="B26" i="1"/>
  <c r="J9" i="1"/>
  <c r="J10" i="1"/>
  <c r="J11" i="1"/>
  <c r="J12" i="1"/>
  <c r="J13" i="1"/>
  <c r="J14" i="1"/>
  <c r="J15" i="1"/>
  <c r="J8" i="1"/>
  <c r="H50" i="15"/>
  <c r="H52" i="15"/>
  <c r="H53" i="15"/>
  <c r="L30" i="12"/>
  <c r="H48" i="12"/>
  <c r="H50" i="12"/>
  <c r="H52" i="12"/>
  <c r="H53" i="12"/>
  <c r="H33" i="29"/>
  <c r="I33"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anika</author>
  </authors>
  <commentList>
    <comment ref="B5" authorId="0" shapeId="0" xr:uid="{6CC1853F-597D-4C54-AE89-F78E0407A713}">
      <text>
        <r>
          <rPr>
            <sz val="9"/>
            <color indexed="81"/>
            <rFont val="Tahoma"/>
            <family val="2"/>
          </rPr>
          <t>Solver found a solution. All constraints and optimality conditions are satisfied.</t>
        </r>
      </text>
    </comment>
    <comment ref="B6" authorId="0" shapeId="0" xr:uid="{BE8739CA-1314-408C-90A9-304323573D9F}">
      <text>
        <r>
          <rPr>
            <sz val="9"/>
            <color indexed="81"/>
            <rFont val="Tahoma"/>
            <family val="2"/>
          </rPr>
          <t>Solver found a solution. All constraints and optimality conditions are satisfied.</t>
        </r>
      </text>
    </comment>
    <comment ref="B7" authorId="0" shapeId="0" xr:uid="{61A9540C-344B-40EB-8C5F-23327B7FA8B1}">
      <text>
        <r>
          <rPr>
            <sz val="9"/>
            <color indexed="81"/>
            <rFont val="Tahoma"/>
            <family val="2"/>
          </rPr>
          <t>Solver found a solution. All constraints and optimality conditions are satisfied.</t>
        </r>
      </text>
    </comment>
    <comment ref="B8" authorId="0" shapeId="0" xr:uid="{71F6E401-B3C8-459B-A730-80D6305C05DC}">
      <text>
        <r>
          <rPr>
            <sz val="9"/>
            <color indexed="81"/>
            <rFont val="Tahoma"/>
            <family val="2"/>
          </rPr>
          <t>Solver found a solution. All constraints and optimality conditions are satisfied.</t>
        </r>
      </text>
    </comment>
    <comment ref="B9" authorId="0" shapeId="0" xr:uid="{25792415-4296-4F22-B668-29793664E3C9}">
      <text>
        <r>
          <rPr>
            <sz val="9"/>
            <color indexed="81"/>
            <rFont val="Tahoma"/>
            <family val="2"/>
          </rPr>
          <t>Solver found a solution. All constraints and optimality conditions are satisfied.</t>
        </r>
      </text>
    </comment>
    <comment ref="B10" authorId="0" shapeId="0" xr:uid="{622C7BAE-7139-4E85-AA38-6D8E5F0DE56B}">
      <text>
        <r>
          <rPr>
            <sz val="9"/>
            <color indexed="81"/>
            <rFont val="Tahoma"/>
            <family val="2"/>
          </rPr>
          <t>Solver found a solution. All constraints and optimality conditions are satisfied.</t>
        </r>
      </text>
    </comment>
    <comment ref="B11" authorId="0" shapeId="0" xr:uid="{6F77ABFE-2EF8-4C7B-B2C1-C347F40E4089}">
      <text>
        <r>
          <rPr>
            <sz val="9"/>
            <color indexed="81"/>
            <rFont val="Tahoma"/>
            <family val="2"/>
          </rPr>
          <t>Solver found a solution. All constraints and optimality conditions are satisfied.</t>
        </r>
      </text>
    </comment>
    <comment ref="B12" authorId="0" shapeId="0" xr:uid="{29271E0C-72AA-45D4-8167-DFDB6819EA94}">
      <text>
        <r>
          <rPr>
            <sz val="9"/>
            <color indexed="81"/>
            <rFont val="Tahoma"/>
            <family val="2"/>
          </rPr>
          <t>Solver could not find a feasible solution.</t>
        </r>
      </text>
    </comment>
    <comment ref="B13" authorId="0" shapeId="0" xr:uid="{8F1D031F-062F-4DA3-B560-A0AD407B137D}">
      <text>
        <r>
          <rPr>
            <sz val="9"/>
            <color indexed="81"/>
            <rFont val="Tahoma"/>
            <family val="2"/>
          </rPr>
          <t>Solver could not find a feasible solution.</t>
        </r>
      </text>
    </comment>
    <comment ref="B14" authorId="0" shapeId="0" xr:uid="{01A60CA6-3271-456B-9566-2D636C765871}">
      <text>
        <r>
          <rPr>
            <sz val="9"/>
            <color indexed="81"/>
            <rFont val="Tahoma"/>
            <family val="2"/>
          </rPr>
          <t>Solver could not find a feasible solution.</t>
        </r>
      </text>
    </comment>
    <comment ref="B15" authorId="0" shapeId="0" xr:uid="{A6E04F5D-5683-46DC-A6DD-4C3FB9828D50}">
      <text>
        <r>
          <rPr>
            <sz val="9"/>
            <color indexed="81"/>
            <rFont val="Tahoma"/>
            <family val="2"/>
          </rPr>
          <t>Solver could not find a feasible solution.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anika</author>
  </authors>
  <commentList>
    <comment ref="B5" authorId="0" shapeId="0" xr:uid="{059540B2-B703-42B6-A347-0FD568C8F45E}">
      <text>
        <r>
          <rPr>
            <sz val="9"/>
            <color indexed="81"/>
            <rFont val="Tahoma"/>
            <family val="2"/>
          </rPr>
          <t>Solver found a solution. All constraints and optimality conditions are satisfied.</t>
        </r>
      </text>
    </comment>
    <comment ref="B6" authorId="0" shapeId="0" xr:uid="{2C2F4278-5D0A-4B99-A9C8-F9A17F197430}">
      <text>
        <r>
          <rPr>
            <sz val="9"/>
            <color indexed="81"/>
            <rFont val="Tahoma"/>
            <family val="2"/>
          </rPr>
          <t>Solver found a solution. All constraints and optimality conditions are satisfied.</t>
        </r>
      </text>
    </comment>
    <comment ref="B7" authorId="0" shapeId="0" xr:uid="{9C1111EB-4D5B-45DD-B4C1-634B8D0156EE}">
      <text>
        <r>
          <rPr>
            <sz val="9"/>
            <color indexed="81"/>
            <rFont val="Tahoma"/>
            <family val="2"/>
          </rPr>
          <t>Solver found a solution. All constraints and optimality conditions are satisfied.</t>
        </r>
      </text>
    </comment>
    <comment ref="B8" authorId="0" shapeId="0" xr:uid="{D72D97CF-32C0-47AD-875D-0E029EF3B2BE}">
      <text>
        <r>
          <rPr>
            <sz val="9"/>
            <color indexed="81"/>
            <rFont val="Tahoma"/>
            <family val="2"/>
          </rPr>
          <t>Solver found a solution. All constraints and optimality conditions are satisfied.</t>
        </r>
      </text>
    </comment>
    <comment ref="B9" authorId="0" shapeId="0" xr:uid="{DE5A1D6F-CE29-4573-A691-BB416E1DB566}">
      <text>
        <r>
          <rPr>
            <sz val="9"/>
            <color indexed="81"/>
            <rFont val="Tahoma"/>
            <family val="2"/>
          </rPr>
          <t>Solver found a solution. All constraints and optimality conditions are satisfied.</t>
        </r>
      </text>
    </comment>
    <comment ref="B10" authorId="0" shapeId="0" xr:uid="{597D427D-C2BE-45B1-A8DF-365954307F0E}">
      <text>
        <r>
          <rPr>
            <sz val="9"/>
            <color indexed="81"/>
            <rFont val="Tahoma"/>
            <family val="2"/>
          </rPr>
          <t>Solver found a solution. All constraints and optimality conditions are satisfied.</t>
        </r>
      </text>
    </comment>
    <comment ref="B11" authorId="0" shapeId="0" xr:uid="{040B71DE-49EF-4C87-9673-7EA365E846C2}">
      <text>
        <r>
          <rPr>
            <sz val="9"/>
            <color indexed="81"/>
            <rFont val="Tahoma"/>
            <family val="2"/>
          </rPr>
          <t>Solver found a solution. All constraints and optimality conditions are satisfied.</t>
        </r>
      </text>
    </comment>
    <comment ref="B12" authorId="0" shapeId="0" xr:uid="{1761049E-17C0-46B9-93A8-5626722102B9}">
      <text>
        <r>
          <rPr>
            <sz val="9"/>
            <color indexed="81"/>
            <rFont val="Tahoma"/>
            <family val="2"/>
          </rPr>
          <t>Solver found a solution. All constraints and optimality conditions are satisfied.</t>
        </r>
      </text>
    </comment>
    <comment ref="B13" authorId="0" shapeId="0" xr:uid="{BBCA974C-5E62-430C-898A-027786469593}">
      <text>
        <r>
          <rPr>
            <sz val="9"/>
            <color indexed="81"/>
            <rFont val="Tahoma"/>
            <family val="2"/>
          </rPr>
          <t>Solver found a solution. All constraints and optimality conditions are satisfied.</t>
        </r>
      </text>
    </comment>
    <comment ref="B14" authorId="0" shapeId="0" xr:uid="{765D1889-D6B2-4475-B9BF-33F7E3665F8E}">
      <text>
        <r>
          <rPr>
            <sz val="9"/>
            <color indexed="81"/>
            <rFont val="Tahoma"/>
            <family val="2"/>
          </rPr>
          <t>Solver could not find a feasible solution.</t>
        </r>
      </text>
    </comment>
    <comment ref="B15" authorId="0" shapeId="0" xr:uid="{F82033C4-4706-4B18-8DD9-B78952036291}">
      <text>
        <r>
          <rPr>
            <sz val="9"/>
            <color indexed="81"/>
            <rFont val="Tahoma"/>
            <family val="2"/>
          </rPr>
          <t>Solver could not find a feasible solution.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anika</author>
  </authors>
  <commentList>
    <comment ref="B5" authorId="0" shapeId="0" xr:uid="{35645FC3-9D5E-480B-BEE2-C7387C263054}">
      <text>
        <r>
          <rPr>
            <sz val="9"/>
            <color indexed="81"/>
            <rFont val="Tahoma"/>
            <family val="2"/>
          </rPr>
          <t>Solver found a solution. All constraints and optimality conditions are satisfied.</t>
        </r>
      </text>
    </comment>
    <comment ref="B6" authorId="0" shapeId="0" xr:uid="{322C6D56-CB65-4400-9CEF-EACA5367AF9F}">
      <text>
        <r>
          <rPr>
            <sz val="9"/>
            <color indexed="81"/>
            <rFont val="Tahoma"/>
            <family val="2"/>
          </rPr>
          <t>Solver found a solution. All constraints and optimality conditions are satisfied.</t>
        </r>
      </text>
    </comment>
    <comment ref="B7" authorId="0" shapeId="0" xr:uid="{90D68075-44A2-431F-BF3F-1D76AAD30977}">
      <text>
        <r>
          <rPr>
            <sz val="9"/>
            <color indexed="81"/>
            <rFont val="Tahoma"/>
            <family val="2"/>
          </rPr>
          <t>Solver found a solution. All constraints and optimality conditions are satisfied.</t>
        </r>
      </text>
    </comment>
    <comment ref="B8" authorId="0" shapeId="0" xr:uid="{B831ABC9-94D5-4B0D-BF5E-04D059DD685F}">
      <text>
        <r>
          <rPr>
            <sz val="9"/>
            <color indexed="81"/>
            <rFont val="Tahoma"/>
            <family val="2"/>
          </rPr>
          <t>Solver found a solution. All constraints and optimality conditions are satisfied.</t>
        </r>
      </text>
    </comment>
    <comment ref="B9" authorId="0" shapeId="0" xr:uid="{091E6F56-965C-4307-9152-F737E61FBDE1}">
      <text>
        <r>
          <rPr>
            <sz val="9"/>
            <color indexed="81"/>
            <rFont val="Tahoma"/>
            <family val="2"/>
          </rPr>
          <t>Solver found a solution. All constraints and optimality conditions are satisfied.</t>
        </r>
      </text>
    </comment>
    <comment ref="B10" authorId="0" shapeId="0" xr:uid="{93D46709-932E-4F00-80B3-EE8323E93459}">
      <text>
        <r>
          <rPr>
            <sz val="9"/>
            <color indexed="81"/>
            <rFont val="Tahoma"/>
            <family val="2"/>
          </rPr>
          <t>Solver found a solution. All constraints and optimality conditions are satisfied.</t>
        </r>
      </text>
    </comment>
    <comment ref="B11" authorId="0" shapeId="0" xr:uid="{5DC60A14-6640-4001-8B8C-73CBFB0A736E}">
      <text>
        <r>
          <rPr>
            <sz val="9"/>
            <color indexed="81"/>
            <rFont val="Tahoma"/>
            <family val="2"/>
          </rPr>
          <t>Solver found a solution. All constraints and optimality conditions are satisfied.</t>
        </r>
      </text>
    </comment>
    <comment ref="B12" authorId="0" shapeId="0" xr:uid="{AF7CC0B8-47B6-4F5A-B50C-12C24C1AA384}">
      <text>
        <r>
          <rPr>
            <sz val="9"/>
            <color indexed="81"/>
            <rFont val="Tahoma"/>
            <family val="2"/>
          </rPr>
          <t>Solver found a solution. All constraints and optimality conditions are satisfied.</t>
        </r>
      </text>
    </comment>
    <comment ref="B13" authorId="0" shapeId="0" xr:uid="{F70D319B-3F96-4113-851F-62D03E3E44AF}">
      <text>
        <r>
          <rPr>
            <sz val="9"/>
            <color indexed="81"/>
            <rFont val="Tahoma"/>
            <family val="2"/>
          </rPr>
          <t>Solver found a solution. All constraints and optimality conditions are satisfied.</t>
        </r>
      </text>
    </comment>
    <comment ref="B14" authorId="0" shapeId="0" xr:uid="{280FF1CE-AA81-4493-867F-9412E8591C5D}">
      <text>
        <r>
          <rPr>
            <sz val="9"/>
            <color indexed="81"/>
            <rFont val="Tahoma"/>
            <family val="2"/>
          </rPr>
          <t>Solver found a solution. All constraints and optimality conditions are satisfied.</t>
        </r>
      </text>
    </comment>
    <comment ref="B15" authorId="0" shapeId="0" xr:uid="{3E857C49-46F2-437A-AD1A-A6324EEC960C}">
      <text>
        <r>
          <rPr>
            <sz val="9"/>
            <color indexed="81"/>
            <rFont val="Tahoma"/>
            <family val="2"/>
          </rPr>
          <t>Solver found a solution. All constraints and optimality conditions are satisfied.</t>
        </r>
      </text>
    </comment>
    <comment ref="B16" authorId="0" shapeId="0" xr:uid="{667ECC76-E202-4318-BA50-A36C23133023}">
      <text>
        <r>
          <rPr>
            <sz val="9"/>
            <color indexed="81"/>
            <rFont val="Tahoma"/>
            <family val="2"/>
          </rPr>
          <t>Solver found a solution. All constraints and optimality conditions are satisfied.</t>
        </r>
      </text>
    </comment>
    <comment ref="B17" authorId="0" shapeId="0" xr:uid="{EDA7D51B-ACCA-4372-8EB9-DBAE71B6856D}">
      <text>
        <r>
          <rPr>
            <sz val="9"/>
            <color indexed="81"/>
            <rFont val="Tahoma"/>
            <family val="2"/>
          </rPr>
          <t>Solver found a solution. All constraints and optimality conditions are satisfied.</t>
        </r>
      </text>
    </comment>
    <comment ref="B18" authorId="0" shapeId="0" xr:uid="{B3C629AF-24A6-4515-BD5A-F2C65105542E}">
      <text>
        <r>
          <rPr>
            <sz val="9"/>
            <color indexed="81"/>
            <rFont val="Tahoma"/>
            <family val="2"/>
          </rPr>
          <t>Solver found a solution. All constraints and optimality conditions are satisfied.</t>
        </r>
      </text>
    </comment>
    <comment ref="B19" authorId="0" shapeId="0" xr:uid="{417F2A23-B3F0-424C-A0FA-C0252D636D5E}">
      <text>
        <r>
          <rPr>
            <sz val="9"/>
            <color indexed="81"/>
            <rFont val="Tahoma"/>
            <family val="2"/>
          </rPr>
          <t>Solver found a solution. All constraints and optimality conditions are satisfied.</t>
        </r>
      </text>
    </comment>
    <comment ref="B20" authorId="0" shapeId="0" xr:uid="{57F1AC30-F756-4A96-8195-C34B7F0A9B94}">
      <text>
        <r>
          <rPr>
            <sz val="9"/>
            <color indexed="81"/>
            <rFont val="Tahoma"/>
            <family val="2"/>
          </rPr>
          <t>Solver found a solution. All constraints and optimality conditions are satisfied.</t>
        </r>
      </text>
    </comment>
    <comment ref="B21" authorId="0" shapeId="0" xr:uid="{5710DE0C-2B90-438B-9547-76EB10880F3B}">
      <text>
        <r>
          <rPr>
            <sz val="9"/>
            <color indexed="81"/>
            <rFont val="Tahoma"/>
            <family val="2"/>
          </rPr>
          <t>Solver found a solution. All constraints and optimality conditions are satisfied.</t>
        </r>
      </text>
    </comment>
    <comment ref="B22" authorId="0" shapeId="0" xr:uid="{F2638FDA-4943-457F-9A6A-438A9E03BC6F}">
      <text>
        <r>
          <rPr>
            <sz val="9"/>
            <color indexed="81"/>
            <rFont val="Tahoma"/>
            <family val="2"/>
          </rPr>
          <t>Solver found a solution. All constraints and optimality conditions are satisfied.</t>
        </r>
      </text>
    </comment>
    <comment ref="B23" authorId="0" shapeId="0" xr:uid="{C618050E-D3E3-4B27-BE75-2BE5B27A3E42}">
      <text>
        <r>
          <rPr>
            <sz val="9"/>
            <color indexed="81"/>
            <rFont val="Tahoma"/>
            <family val="2"/>
          </rPr>
          <t>Solver found a solution. All constraints and optimality conditions are satisfied.</t>
        </r>
      </text>
    </comment>
    <comment ref="B24" authorId="0" shapeId="0" xr:uid="{A64FB742-1B18-474C-B80C-7BD93AB84CDD}">
      <text>
        <r>
          <rPr>
            <sz val="9"/>
            <color indexed="81"/>
            <rFont val="Tahoma"/>
            <family val="2"/>
          </rPr>
          <t>Solver found a solution. All constraints and optimality conditions are satisfied.</t>
        </r>
      </text>
    </comment>
    <comment ref="B25" authorId="0" shapeId="0" xr:uid="{C792149B-3F01-475D-B8F6-A76D6235D0B0}">
      <text>
        <r>
          <rPr>
            <sz val="9"/>
            <color indexed="81"/>
            <rFont val="Tahoma"/>
            <family val="2"/>
          </rPr>
          <t>Solver found a solution. All constraints and optimality conditions are satisfied.</t>
        </r>
      </text>
    </comment>
    <comment ref="B26" authorId="0" shapeId="0" xr:uid="{B14A9904-CB2E-4964-9735-81D64931D734}">
      <text>
        <r>
          <rPr>
            <sz val="9"/>
            <color indexed="81"/>
            <rFont val="Tahoma"/>
            <family val="2"/>
          </rPr>
          <t>Solver found a solution. All constraints and optimality conditions are satisfied.</t>
        </r>
      </text>
    </comment>
    <comment ref="B27" authorId="0" shapeId="0" xr:uid="{F3882A59-88ED-4BBB-B52C-5632E1EAD618}">
      <text>
        <r>
          <rPr>
            <sz val="9"/>
            <color indexed="81"/>
            <rFont val="Tahoma"/>
            <family val="2"/>
          </rPr>
          <t>Solver found a solution. All constraints and optimality conditions are satisfied.</t>
        </r>
      </text>
    </comment>
    <comment ref="B28" authorId="0" shapeId="0" xr:uid="{E87ED19B-31DA-43D1-940C-55F590D17EE0}">
      <text>
        <r>
          <rPr>
            <sz val="9"/>
            <color indexed="81"/>
            <rFont val="Tahoma"/>
            <family val="2"/>
          </rPr>
          <t>Solver found a solution. All constraints and optimality conditions are satisfied.</t>
        </r>
      </text>
    </comment>
    <comment ref="B29" authorId="0" shapeId="0" xr:uid="{A4655230-5D43-41EB-B3C2-6C8E90B2F317}">
      <text>
        <r>
          <rPr>
            <sz val="9"/>
            <color indexed="81"/>
            <rFont val="Tahoma"/>
            <family val="2"/>
          </rPr>
          <t>Solver found a solution. All constraints and optimality conditions are satisfied.</t>
        </r>
      </text>
    </comment>
    <comment ref="B30" authorId="0" shapeId="0" xr:uid="{0BBD1786-66DC-4404-A1E0-0BBAEB0D0E88}">
      <text>
        <r>
          <rPr>
            <sz val="9"/>
            <color indexed="81"/>
            <rFont val="Tahoma"/>
            <family val="2"/>
          </rPr>
          <t>Solver found a solution. All constraints and optimality conditions are satisfied.</t>
        </r>
      </text>
    </comment>
    <comment ref="B31" authorId="0" shapeId="0" xr:uid="{6DB930C2-BDA9-4884-A79C-347B9E1A2342}">
      <text>
        <r>
          <rPr>
            <sz val="9"/>
            <color indexed="81"/>
            <rFont val="Tahoma"/>
            <family val="2"/>
          </rPr>
          <t>Solver found a solution. All constraints and optimality conditions are satisfied.</t>
        </r>
      </text>
    </comment>
    <comment ref="B32" authorId="0" shapeId="0" xr:uid="{E038D8F4-589B-4EB2-BADF-17A4989E871C}">
      <text>
        <r>
          <rPr>
            <sz val="9"/>
            <color indexed="81"/>
            <rFont val="Tahoma"/>
            <family val="2"/>
          </rPr>
          <t>Solver found a solution. All constraints and optimality conditions are satisfied.</t>
        </r>
      </text>
    </comment>
    <comment ref="B33" authorId="0" shapeId="0" xr:uid="{AA307141-449E-4BEC-8279-79E99D187D08}">
      <text>
        <r>
          <rPr>
            <sz val="9"/>
            <color indexed="81"/>
            <rFont val="Tahoma"/>
            <family val="2"/>
          </rPr>
          <t>Solver found a solution. All constraints and optimality conditions are satisfied.</t>
        </r>
      </text>
    </comment>
    <comment ref="B34" authorId="0" shapeId="0" xr:uid="{81298AB7-FC34-4E90-9733-B3F70BF91DC3}">
      <text>
        <r>
          <rPr>
            <sz val="9"/>
            <color indexed="81"/>
            <rFont val="Tahoma"/>
            <family val="2"/>
          </rPr>
          <t>Solver found a solution. All constraints and optimality conditions are satisfied.</t>
        </r>
      </text>
    </comment>
    <comment ref="B35" authorId="0" shapeId="0" xr:uid="{59A25F7D-6057-4769-AF1B-D1955030A960}">
      <text>
        <r>
          <rPr>
            <sz val="9"/>
            <color indexed="81"/>
            <rFont val="Tahoma"/>
            <family val="2"/>
          </rPr>
          <t>Solver found a solution. All constraints and optimality conditions are satisfied.</t>
        </r>
      </text>
    </comment>
    <comment ref="B36" authorId="0" shapeId="0" xr:uid="{E8A07574-725F-4A39-AC98-FB52AF4F01DD}">
      <text>
        <r>
          <rPr>
            <sz val="9"/>
            <color indexed="81"/>
            <rFont val="Tahoma"/>
            <family val="2"/>
          </rPr>
          <t>Solver found a solution. All constraints and optimality conditions are satisfied.</t>
        </r>
      </text>
    </comment>
    <comment ref="B37" authorId="0" shapeId="0" xr:uid="{8C182F3F-9B09-4393-98BB-B211F08776EF}">
      <text>
        <r>
          <rPr>
            <sz val="9"/>
            <color indexed="81"/>
            <rFont val="Tahoma"/>
            <family val="2"/>
          </rPr>
          <t>Solver found a solution. All constraints and optimality conditions are satisfied.</t>
        </r>
      </text>
    </comment>
    <comment ref="B38" authorId="0" shapeId="0" xr:uid="{1EFEF20E-A0A6-42DD-AE69-903F48C75E6E}">
      <text>
        <r>
          <rPr>
            <sz val="9"/>
            <color indexed="81"/>
            <rFont val="Tahoma"/>
            <family val="2"/>
          </rPr>
          <t>Solver found a solution. All constraints and optimality conditions are satisfied.</t>
        </r>
      </text>
    </comment>
    <comment ref="B39" authorId="0" shapeId="0" xr:uid="{DEE3C55D-9722-4276-8238-E7A0ADACCF69}">
      <text>
        <r>
          <rPr>
            <sz val="9"/>
            <color indexed="81"/>
            <rFont val="Tahoma"/>
            <family val="2"/>
          </rPr>
          <t>Solver found a solution. All constraints and optimality conditions are satisfied.</t>
        </r>
      </text>
    </comment>
    <comment ref="B40" authorId="0" shapeId="0" xr:uid="{AE815F2A-3ACF-43A6-B9B7-BB9C384E16AE}">
      <text>
        <r>
          <rPr>
            <sz val="9"/>
            <color indexed="81"/>
            <rFont val="Tahoma"/>
            <family val="2"/>
          </rPr>
          <t>Solver found a solution. All constraints and optimality conditions are satisfied.</t>
        </r>
      </text>
    </comment>
    <comment ref="B41" authorId="0" shapeId="0" xr:uid="{7DDB15B9-4349-4A85-9A91-A87F9A203793}">
      <text>
        <r>
          <rPr>
            <sz val="9"/>
            <color indexed="81"/>
            <rFont val="Tahoma"/>
            <family val="2"/>
          </rPr>
          <t>Solver found a solution. All constraints and optimality conditions are satisfied.</t>
        </r>
      </text>
    </comment>
    <comment ref="B42" authorId="0" shapeId="0" xr:uid="{2384A764-B2C8-48E3-ACE8-DFC693243086}">
      <text>
        <r>
          <rPr>
            <sz val="9"/>
            <color indexed="81"/>
            <rFont val="Tahoma"/>
            <family val="2"/>
          </rPr>
          <t>Solver found a solution. All constraints and optimality conditions are satisfied.</t>
        </r>
      </text>
    </comment>
    <comment ref="B43" authorId="0" shapeId="0" xr:uid="{A9D16CF0-CA0D-44F6-A49C-90C06BDC6717}">
      <text>
        <r>
          <rPr>
            <sz val="9"/>
            <color indexed="81"/>
            <rFont val="Tahoma"/>
            <family val="2"/>
          </rPr>
          <t>Solver found a solution. All constraints and optimality conditions are satisfied.</t>
        </r>
      </text>
    </comment>
    <comment ref="B44" authorId="0" shapeId="0" xr:uid="{3F4BBDFC-D01D-4483-946C-5749296AFE7D}">
      <text>
        <r>
          <rPr>
            <sz val="9"/>
            <color indexed="81"/>
            <rFont val="Tahoma"/>
            <family val="2"/>
          </rPr>
          <t>Solver found a solution. All constraints and optimality conditions are satisfied.</t>
        </r>
      </text>
    </comment>
    <comment ref="B45" authorId="0" shapeId="0" xr:uid="{57E9D98E-0F35-4D42-854E-832989805F37}">
      <text>
        <r>
          <rPr>
            <sz val="9"/>
            <color indexed="81"/>
            <rFont val="Tahoma"/>
            <family val="2"/>
          </rPr>
          <t>Solver found a solution. All constraints and optimality conditions are satisfied.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Lisiman Hua</author>
  </authors>
  <commentList>
    <comment ref="B5" authorId="0" shapeId="0" xr:uid="{811697B7-56EE-4CBF-B10A-D4E9A2D4102F}">
      <text>
        <r>
          <rPr>
            <sz val="9"/>
            <color indexed="81"/>
            <rFont val="Tahoma"/>
            <family val="2"/>
          </rPr>
          <t>Solver found a solution. All constraints and optimality conditions are satisfied.</t>
        </r>
      </text>
    </comment>
    <comment ref="B6" authorId="0" shapeId="0" xr:uid="{69F33D68-6635-4C1A-91DF-59CDE7CFDEB7}">
      <text>
        <r>
          <rPr>
            <sz val="9"/>
            <color indexed="81"/>
            <rFont val="Tahoma"/>
            <family val="2"/>
          </rPr>
          <t>Solver found a solution. All constraints and optimality conditions are satisfied.</t>
        </r>
      </text>
    </comment>
    <comment ref="B7" authorId="0" shapeId="0" xr:uid="{C6530073-7E72-4592-8F8B-84436CBC9A69}">
      <text>
        <r>
          <rPr>
            <sz val="9"/>
            <color indexed="81"/>
            <rFont val="Tahoma"/>
            <family val="2"/>
          </rPr>
          <t>Solver found a solution. All constraints and optimality conditions are satisfied.</t>
        </r>
      </text>
    </comment>
    <comment ref="B8" authorId="0" shapeId="0" xr:uid="{FD452594-6A8F-4FF4-BB7A-951A8277ACAA}">
      <text>
        <r>
          <rPr>
            <sz val="9"/>
            <color indexed="81"/>
            <rFont val="Tahoma"/>
            <family val="2"/>
          </rPr>
          <t>Solver found a solution. All constraints and optimality conditions are satisfied.</t>
        </r>
      </text>
    </comment>
    <comment ref="B9" authorId="0" shapeId="0" xr:uid="{F6D2FAA6-8FB2-4FA6-BE87-39034910B84C}">
      <text>
        <r>
          <rPr>
            <sz val="9"/>
            <color indexed="81"/>
            <rFont val="Tahoma"/>
            <family val="2"/>
          </rPr>
          <t>Solver found a solution. All constraints and optimality conditions are satisfied.</t>
        </r>
      </text>
    </comment>
    <comment ref="B10" authorId="0" shapeId="0" xr:uid="{AA4B8ED2-9799-4591-9621-8BFCFC3A67D3}">
      <text>
        <r>
          <rPr>
            <sz val="9"/>
            <color indexed="81"/>
            <rFont val="Tahoma"/>
            <family val="2"/>
          </rPr>
          <t>Solver found a solution. All constraints and optimality conditions are satisfied.</t>
        </r>
      </text>
    </comment>
    <comment ref="B11" authorId="0" shapeId="0" xr:uid="{82302CC9-0E70-483D-9FE7-DDB20F6A4A5D}">
      <text>
        <r>
          <rPr>
            <sz val="9"/>
            <color indexed="81"/>
            <rFont val="Tahoma"/>
            <family val="2"/>
          </rPr>
          <t>Solver found a solution. All constraints and optimality conditions are satisfied.</t>
        </r>
      </text>
    </comment>
    <comment ref="B12" authorId="0" shapeId="0" xr:uid="{A5251F3D-81F6-4F05-B0A7-B1D601068D8A}">
      <text>
        <r>
          <rPr>
            <sz val="9"/>
            <color indexed="81"/>
            <rFont val="Tahoma"/>
            <family val="2"/>
          </rPr>
          <t>Solver found a solution. All constraints and optimality conditions are satisfied.</t>
        </r>
      </text>
    </comment>
    <comment ref="B13" authorId="0" shapeId="0" xr:uid="{AAB8A6CC-9096-4131-951D-ECCDE6A9732C}">
      <text>
        <r>
          <rPr>
            <sz val="9"/>
            <color indexed="81"/>
            <rFont val="Tahoma"/>
            <family val="2"/>
          </rPr>
          <t>Solver found a solution. All constraints and optimality conditions are satisfied.</t>
        </r>
      </text>
    </comment>
    <comment ref="B14" authorId="0" shapeId="0" xr:uid="{804B6191-73EB-4A5A-99AA-48DBE516B276}">
      <text>
        <r>
          <rPr>
            <sz val="9"/>
            <color indexed="81"/>
            <rFont val="Tahoma"/>
            <family val="2"/>
          </rPr>
          <t>Solver found a solution. All constraints and optimality conditions are satisfied.</t>
        </r>
      </text>
    </comment>
    <comment ref="B15" authorId="0" shapeId="0" xr:uid="{F4C20066-7C68-4624-87DE-B92EB0A18C7B}">
      <text>
        <r>
          <rPr>
            <sz val="9"/>
            <color indexed="81"/>
            <rFont val="Tahoma"/>
            <family val="2"/>
          </rPr>
          <t>Solver found a solution. All constraints and optimality conditions are satisfied.</t>
        </r>
      </text>
    </comment>
    <comment ref="B16" authorId="0" shapeId="0" xr:uid="{DE04827E-48D3-4D6F-859B-67C515CFA169}">
      <text>
        <r>
          <rPr>
            <sz val="9"/>
            <color indexed="81"/>
            <rFont val="Tahoma"/>
            <family val="2"/>
          </rPr>
          <t>Solver found a solution. All constraints and optimality conditions are satisfied.</t>
        </r>
      </text>
    </comment>
    <comment ref="B17" authorId="0" shapeId="0" xr:uid="{0276C5DD-842E-403B-8C9D-26E720F28207}">
      <text>
        <r>
          <rPr>
            <sz val="9"/>
            <color indexed="81"/>
            <rFont val="Tahoma"/>
            <family val="2"/>
          </rPr>
          <t>Solver found a solution. All constraints and optimality conditions are satisfied.</t>
        </r>
      </text>
    </comment>
    <comment ref="B18" authorId="0" shapeId="0" xr:uid="{28C456AF-835B-462B-86A7-7661149EDA90}">
      <text>
        <r>
          <rPr>
            <sz val="9"/>
            <color indexed="81"/>
            <rFont val="Tahoma"/>
            <family val="2"/>
          </rPr>
          <t>Solver found a solution. All constraints and optimality conditions are satisfied.</t>
        </r>
      </text>
    </comment>
    <comment ref="B19" authorId="0" shapeId="0" xr:uid="{5EF070DA-809C-41E4-8EC8-69AF05F257BF}">
      <text>
        <r>
          <rPr>
            <sz val="9"/>
            <color indexed="81"/>
            <rFont val="Tahoma"/>
            <family val="2"/>
          </rPr>
          <t>Solver found a solution. All constraints and optimality conditions are satisfied.</t>
        </r>
      </text>
    </comment>
    <comment ref="B20" authorId="0" shapeId="0" xr:uid="{3D9022C8-AB08-4B1E-AE81-BC8B10F4A92C}">
      <text>
        <r>
          <rPr>
            <sz val="9"/>
            <color indexed="81"/>
            <rFont val="Tahoma"/>
            <family val="2"/>
          </rPr>
          <t>Solver found a solution. All constraints and optimality conditions are satisfied.</t>
        </r>
      </text>
    </comment>
    <comment ref="B21" authorId="0" shapeId="0" xr:uid="{7FB2BE9C-EEF9-4135-BB9B-B3BDB7DDDF9D}">
      <text>
        <r>
          <rPr>
            <sz val="9"/>
            <color indexed="81"/>
            <rFont val="Tahoma"/>
            <family val="2"/>
          </rPr>
          <t>Solver found a solution. All constraints and optimality conditions are satisfied.</t>
        </r>
      </text>
    </comment>
    <comment ref="B22" authorId="0" shapeId="0" xr:uid="{E14B8383-378F-4070-9D62-52B8892522CD}">
      <text>
        <r>
          <rPr>
            <sz val="9"/>
            <color indexed="81"/>
            <rFont val="Tahoma"/>
            <family val="2"/>
          </rPr>
          <t>Solver found a solution. All constraints and optimality conditions are satisfied.</t>
        </r>
      </text>
    </comment>
    <comment ref="B23" authorId="0" shapeId="0" xr:uid="{8D17EA9F-9534-43A9-A5AA-04CCACF5C3DB}">
      <text>
        <r>
          <rPr>
            <sz val="9"/>
            <color indexed="81"/>
            <rFont val="Tahoma"/>
            <family val="2"/>
          </rPr>
          <t>Solver found a solution. All constraints and optimality conditions are satisfied.</t>
        </r>
      </text>
    </comment>
    <comment ref="B24" authorId="0" shapeId="0" xr:uid="{5AB700A1-9368-49D1-99E0-F5DB60E00CA4}">
      <text>
        <r>
          <rPr>
            <sz val="9"/>
            <color indexed="81"/>
            <rFont val="Tahoma"/>
            <family val="2"/>
          </rPr>
          <t>Solver found a solution. All constraints and optimality conditions are satisfied.</t>
        </r>
      </text>
    </comment>
    <comment ref="B25" authorId="0" shapeId="0" xr:uid="{8AEC3A21-9554-42C3-8541-0DC877D313C7}">
      <text>
        <r>
          <rPr>
            <sz val="9"/>
            <color indexed="81"/>
            <rFont val="Tahoma"/>
            <family val="2"/>
          </rPr>
          <t>Solver found a solution. All constraints and optimality conditions are satisfied.</t>
        </r>
      </text>
    </comment>
    <comment ref="B26" authorId="0" shapeId="0" xr:uid="{044385EB-AD39-4346-805C-1234A044893C}">
      <text>
        <r>
          <rPr>
            <sz val="9"/>
            <color indexed="81"/>
            <rFont val="Tahoma"/>
            <family val="2"/>
          </rPr>
          <t>Solver found a solution. All constraints and optimality conditions are satisfied.</t>
        </r>
      </text>
    </comment>
    <comment ref="B27" authorId="0" shapeId="0" xr:uid="{586AD8B0-66C8-49C9-872A-4A6E2591733E}">
      <text>
        <r>
          <rPr>
            <sz val="9"/>
            <color indexed="81"/>
            <rFont val="Tahoma"/>
            <family val="2"/>
          </rPr>
          <t>Solver found a solution. All constraints and optimality conditions are satisfied.</t>
        </r>
      </text>
    </comment>
    <comment ref="B28" authorId="0" shapeId="0" xr:uid="{87597555-8606-473A-8B9F-FDC8E1B5CA53}">
      <text>
        <r>
          <rPr>
            <sz val="9"/>
            <color indexed="81"/>
            <rFont val="Tahoma"/>
            <family val="2"/>
          </rPr>
          <t>Solver found a solution. All constraints and optimality conditions are satisfied.</t>
        </r>
      </text>
    </comment>
    <comment ref="B29" authorId="0" shapeId="0" xr:uid="{327FF20A-6F39-41E0-9650-41A03B52EFFA}">
      <text>
        <r>
          <rPr>
            <sz val="9"/>
            <color indexed="81"/>
            <rFont val="Tahoma"/>
            <family val="2"/>
          </rPr>
          <t>Solver found a solution. All constraints and optimality conditions are satisfied.</t>
        </r>
      </text>
    </comment>
    <comment ref="B30" authorId="0" shapeId="0" xr:uid="{6A8E8189-01B1-4CDE-80C6-08A4B0DE0AEF}">
      <text>
        <r>
          <rPr>
            <sz val="9"/>
            <color indexed="81"/>
            <rFont val="Tahoma"/>
            <family val="2"/>
          </rPr>
          <t>Solver found a solution. All constraints and optimality conditions are satisfied.</t>
        </r>
      </text>
    </comment>
    <comment ref="B31" authorId="0" shapeId="0" xr:uid="{276827B5-67DC-4732-BD1D-2EDE379970C0}">
      <text>
        <r>
          <rPr>
            <sz val="9"/>
            <color indexed="81"/>
            <rFont val="Tahoma"/>
            <family val="2"/>
          </rPr>
          <t>Solver found a solution. All constraints and optimality conditions are satisfied.</t>
        </r>
      </text>
    </comment>
    <comment ref="B32" authorId="0" shapeId="0" xr:uid="{90CA9B59-CF39-4E49-AF99-288DDA61F896}">
      <text>
        <r>
          <rPr>
            <sz val="9"/>
            <color indexed="81"/>
            <rFont val="Tahoma"/>
            <family val="2"/>
          </rPr>
          <t>Solver found a solution. All constraints and optimality conditions are satisfied.</t>
        </r>
      </text>
    </comment>
    <comment ref="B33" authorId="0" shapeId="0" xr:uid="{8FEC01D3-5F64-475A-B2FB-2E122EE20E04}">
      <text>
        <r>
          <rPr>
            <sz val="9"/>
            <color indexed="81"/>
            <rFont val="Tahoma"/>
            <family val="2"/>
          </rPr>
          <t>Solver found a solution. All constraints and optimality conditions are satisfied.</t>
        </r>
      </text>
    </comment>
    <comment ref="B34" authorId="0" shapeId="0" xr:uid="{99F81229-5C78-478A-8EAE-22C8F9F3E1D5}">
      <text>
        <r>
          <rPr>
            <sz val="9"/>
            <color indexed="81"/>
            <rFont val="Tahoma"/>
            <family val="2"/>
          </rPr>
          <t>Solver found a solution. All constraints and optimality conditions are satisfied.</t>
        </r>
      </text>
    </comment>
    <comment ref="B35" authorId="0" shapeId="0" xr:uid="{D8F20263-C776-4724-8B9D-865F567196F6}">
      <text>
        <r>
          <rPr>
            <sz val="9"/>
            <color indexed="81"/>
            <rFont val="Tahoma"/>
            <family val="2"/>
          </rPr>
          <t>Solver found a solution. All constraints and optimality conditions are satisfied.</t>
        </r>
      </text>
    </comment>
    <comment ref="B36" authorId="0" shapeId="0" xr:uid="{75E19845-CD3F-47E4-B604-8509879106F6}">
      <text>
        <r>
          <rPr>
            <sz val="9"/>
            <color indexed="81"/>
            <rFont val="Tahoma"/>
            <family val="2"/>
          </rPr>
          <t>Solver found a solution. All constraints and optimality conditions are satisfied.</t>
        </r>
      </text>
    </comment>
    <comment ref="B37" authorId="0" shapeId="0" xr:uid="{6BE56930-7AAA-469B-A91D-39E6956AA5CE}">
      <text>
        <r>
          <rPr>
            <sz val="9"/>
            <color indexed="81"/>
            <rFont val="Tahoma"/>
            <family val="2"/>
          </rPr>
          <t>Solver found a solution. All constraints and optimality conditions are satisfied.</t>
        </r>
      </text>
    </comment>
    <comment ref="B38" authorId="0" shapeId="0" xr:uid="{119DC944-116D-4B9A-A7AE-925E590FC2B4}">
      <text>
        <r>
          <rPr>
            <sz val="9"/>
            <color indexed="81"/>
            <rFont val="Tahoma"/>
            <family val="2"/>
          </rPr>
          <t>Solver found a solution. All constraints and optimality conditions are satisfied.</t>
        </r>
      </text>
    </comment>
    <comment ref="B39" authorId="0" shapeId="0" xr:uid="{943AA9D1-F3FD-40A7-AD13-3A847CD075EC}">
      <text>
        <r>
          <rPr>
            <sz val="9"/>
            <color indexed="81"/>
            <rFont val="Tahoma"/>
            <family val="2"/>
          </rPr>
          <t>Solver found a solution. All constraints and optimality conditions are satisfied.</t>
        </r>
      </text>
    </comment>
    <comment ref="B40" authorId="0" shapeId="0" xr:uid="{AB6E9952-1E24-4D59-AFFA-7D9976B93372}">
      <text>
        <r>
          <rPr>
            <sz val="9"/>
            <color indexed="81"/>
            <rFont val="Tahoma"/>
            <family val="2"/>
          </rPr>
          <t>Solver found a solution. All constraints and optimality conditions are satisfied.</t>
        </r>
      </text>
    </comment>
    <comment ref="B41" authorId="0" shapeId="0" xr:uid="{DC66C221-6DA2-436F-B3D3-75F20058ADBD}">
      <text>
        <r>
          <rPr>
            <sz val="9"/>
            <color indexed="81"/>
            <rFont val="Tahoma"/>
            <family val="2"/>
          </rPr>
          <t>Solver found a solution. All constraints and optimality conditions are satisfied.</t>
        </r>
      </text>
    </comment>
    <comment ref="B42" authorId="0" shapeId="0" xr:uid="{C520EA72-4511-46DF-9364-C72113728EF5}">
      <text>
        <r>
          <rPr>
            <sz val="9"/>
            <color indexed="81"/>
            <rFont val="Tahoma"/>
            <family val="2"/>
          </rPr>
          <t>Solver found a solution. All constraints and optimality conditions are satisfied.</t>
        </r>
      </text>
    </comment>
    <comment ref="B43" authorId="0" shapeId="0" xr:uid="{58AFDE85-EDA1-48D5-9E51-F4CB73D53739}">
      <text>
        <r>
          <rPr>
            <sz val="9"/>
            <color indexed="81"/>
            <rFont val="Tahoma"/>
            <family val="2"/>
          </rPr>
          <t>Solver found a solution. All constraints and optimality conditions are satisfied.</t>
        </r>
      </text>
    </comment>
    <comment ref="B44" authorId="0" shapeId="0" xr:uid="{4F060929-E358-4B72-904D-7D3553F36817}">
      <text>
        <r>
          <rPr>
            <sz val="9"/>
            <color indexed="81"/>
            <rFont val="Tahoma"/>
            <family val="2"/>
          </rPr>
          <t>Solver found a solution. All constraints and optimality conditions are satisfied.</t>
        </r>
      </text>
    </comment>
    <comment ref="B45" authorId="0" shapeId="0" xr:uid="{17CC6BCA-4610-4A60-9043-8D34EAB9ECE9}">
      <text>
        <r>
          <rPr>
            <sz val="9"/>
            <color indexed="81"/>
            <rFont val="Tahoma"/>
            <family val="2"/>
          </rPr>
          <t>Solver found a solution. All constraints and optimality conditions are satisfied.</t>
        </r>
      </text>
    </comment>
    <comment ref="B46" authorId="0" shapeId="0" xr:uid="{4FFDFE97-912E-46BC-8D58-31A8666D07A5}">
      <text>
        <r>
          <rPr>
            <sz val="9"/>
            <color indexed="81"/>
            <rFont val="Tahoma"/>
            <family val="2"/>
          </rPr>
          <t>Solver found a solution. All constraints and optimality conditions are satisfied.</t>
        </r>
      </text>
    </comment>
    <comment ref="B47" authorId="0" shapeId="0" xr:uid="{7B3BCAFB-03E5-46AA-9262-EB51AB4C1F8E}">
      <text>
        <r>
          <rPr>
            <sz val="9"/>
            <color indexed="81"/>
            <rFont val="Tahoma"/>
            <family val="2"/>
          </rPr>
          <t>Solver found a solution. All constraints and optimality conditions are satisfied.</t>
        </r>
      </text>
    </comment>
    <comment ref="B48" authorId="0" shapeId="0" xr:uid="{64F39432-1765-40CA-A4DE-DFC454789317}">
      <text>
        <r>
          <rPr>
            <sz val="9"/>
            <color indexed="81"/>
            <rFont val="Tahoma"/>
            <family val="2"/>
          </rPr>
          <t>Solver found a solution. All constraints and optimality conditions are satisfied.</t>
        </r>
      </text>
    </comment>
    <comment ref="B49" authorId="0" shapeId="0" xr:uid="{95051AF0-2CBE-47D3-90D9-A17674379AB6}">
      <text>
        <r>
          <rPr>
            <sz val="9"/>
            <color indexed="81"/>
            <rFont val="Tahoma"/>
            <family val="2"/>
          </rPr>
          <t>Solver found a solution. All constraints and optimality conditions are satisfied.</t>
        </r>
      </text>
    </comment>
    <comment ref="B50" authorId="0" shapeId="0" xr:uid="{A3B3C0F3-3C18-44CB-B60A-CBED637EAE84}">
      <text>
        <r>
          <rPr>
            <sz val="9"/>
            <color indexed="81"/>
            <rFont val="Tahoma"/>
            <family val="2"/>
          </rPr>
          <t>Solver found a solution. All constraints and optimality conditions are satisfied.</t>
        </r>
      </text>
    </comment>
    <comment ref="B51" authorId="0" shapeId="0" xr:uid="{6CE05FD9-02B8-48F7-B634-65103A672058}">
      <text>
        <r>
          <rPr>
            <sz val="9"/>
            <color indexed="81"/>
            <rFont val="Tahoma"/>
            <family val="2"/>
          </rPr>
          <t>Solver found a solution. All constraints and optimality conditions are satisfied.</t>
        </r>
      </text>
    </comment>
    <comment ref="B52" authorId="0" shapeId="0" xr:uid="{407597B3-EB87-48E6-8068-CB629C1B5D96}">
      <text>
        <r>
          <rPr>
            <sz val="9"/>
            <color indexed="81"/>
            <rFont val="Tahoma"/>
            <family val="2"/>
          </rPr>
          <t>Solver found a solution. All constraints and optimality conditions are satisfied.</t>
        </r>
      </text>
    </comment>
    <comment ref="B53" authorId="0" shapeId="0" xr:uid="{470E5C5E-7372-401B-84DF-7D6011BD885C}">
      <text>
        <r>
          <rPr>
            <sz val="9"/>
            <color indexed="81"/>
            <rFont val="Tahoma"/>
            <family val="2"/>
          </rPr>
          <t>Solver found a solution. All constraints and optimality conditions are satisfied.</t>
        </r>
      </text>
    </comment>
    <comment ref="B54" authorId="0" shapeId="0" xr:uid="{B7BB812A-97A2-443F-9010-E37D7DF22725}">
      <text>
        <r>
          <rPr>
            <sz val="9"/>
            <color indexed="81"/>
            <rFont val="Tahoma"/>
            <family val="2"/>
          </rPr>
          <t>Solver found a solution. All constraints and optimality conditions are satisfied.</t>
        </r>
      </text>
    </comment>
    <comment ref="B55" authorId="0" shapeId="0" xr:uid="{F5274463-59B0-4739-854E-FAB530EDA3EA}">
      <text>
        <r>
          <rPr>
            <sz val="9"/>
            <color indexed="81"/>
            <rFont val="Tahoma"/>
            <family val="2"/>
          </rPr>
          <t>Solver found a solution. All constraints and optimality conditions are satisfied.</t>
        </r>
      </text>
    </comment>
    <comment ref="B56" authorId="0" shapeId="0" xr:uid="{C2861022-9D4E-44C9-88F6-041DADA0B54F}">
      <text>
        <r>
          <rPr>
            <sz val="9"/>
            <color indexed="81"/>
            <rFont val="Tahoma"/>
            <family val="2"/>
          </rPr>
          <t>Solver found a solution. All constraints and optimality conditions are satisfied.</t>
        </r>
      </text>
    </comment>
    <comment ref="B57" authorId="0" shapeId="0" xr:uid="{9EC82D5C-7171-4732-BD3B-216CE4ED99AF}">
      <text>
        <r>
          <rPr>
            <sz val="9"/>
            <color indexed="81"/>
            <rFont val="Tahoma"/>
            <family val="2"/>
          </rPr>
          <t>Solver found a solution. All constraints and optimality conditions are satisfied.</t>
        </r>
      </text>
    </comment>
    <comment ref="B58" authorId="0" shapeId="0" xr:uid="{C6368B7B-C174-4C60-81C5-47EAD93665EA}">
      <text>
        <r>
          <rPr>
            <sz val="9"/>
            <color indexed="81"/>
            <rFont val="Tahoma"/>
            <family val="2"/>
          </rPr>
          <t>Solver found a solution. All constraints and optimality conditions are satisfied.</t>
        </r>
      </text>
    </comment>
    <comment ref="B59" authorId="0" shapeId="0" xr:uid="{737734EC-5E18-4F28-AAD3-A8C0CE4E85F9}">
      <text>
        <r>
          <rPr>
            <sz val="9"/>
            <color indexed="81"/>
            <rFont val="Tahoma"/>
            <family val="2"/>
          </rPr>
          <t>Solver found a solution. All constraints and optimality conditions are satisfied.</t>
        </r>
      </text>
    </comment>
    <comment ref="B60" authorId="0" shapeId="0" xr:uid="{1BEC51C8-0EDE-4331-8228-788B627101F9}">
      <text>
        <r>
          <rPr>
            <sz val="9"/>
            <color indexed="81"/>
            <rFont val="Tahoma"/>
            <family val="2"/>
          </rPr>
          <t>Solver found a solution. All constraints and optimality conditions are satisfied.</t>
        </r>
      </text>
    </comment>
    <comment ref="B61" authorId="0" shapeId="0" xr:uid="{90543889-54D1-4322-B3AA-8B5030D23919}">
      <text>
        <r>
          <rPr>
            <sz val="9"/>
            <color indexed="81"/>
            <rFont val="Tahoma"/>
            <family val="2"/>
          </rPr>
          <t>Solver found a solution. All constraints and optimality conditions are satisfied.</t>
        </r>
      </text>
    </comment>
    <comment ref="B62" authorId="0" shapeId="0" xr:uid="{65C8D73B-F933-411D-8ED4-6BE43A13E343}">
      <text>
        <r>
          <rPr>
            <sz val="9"/>
            <color indexed="81"/>
            <rFont val="Tahoma"/>
            <family val="2"/>
          </rPr>
          <t>Solver found a solution. All constraints and optimality conditions are satisfied.</t>
        </r>
      </text>
    </comment>
    <comment ref="B63" authorId="0" shapeId="0" xr:uid="{AE1DAF3D-BF55-42EA-A655-F3C082179D7C}">
      <text>
        <r>
          <rPr>
            <sz val="9"/>
            <color indexed="81"/>
            <rFont val="Tahoma"/>
            <family val="2"/>
          </rPr>
          <t>Solver found a solution. All constraints and optimality conditions are satisfied.</t>
        </r>
      </text>
    </comment>
    <comment ref="B64" authorId="0" shapeId="0" xr:uid="{686034DE-29D9-4122-8FED-1EF8A2FAC3BC}">
      <text>
        <r>
          <rPr>
            <sz val="9"/>
            <color indexed="81"/>
            <rFont val="Tahoma"/>
            <family val="2"/>
          </rPr>
          <t>Solver found a solution. All constraints and optimality conditions are satisfied.</t>
        </r>
      </text>
    </comment>
    <comment ref="B65" authorId="0" shapeId="0" xr:uid="{33B40ED1-3261-4DEE-BA40-599E6EF0C754}">
      <text>
        <r>
          <rPr>
            <sz val="9"/>
            <color indexed="81"/>
            <rFont val="Tahoma"/>
            <family val="2"/>
          </rPr>
          <t>Solver found a solution. All constraints and optimality conditions are satisfied.</t>
        </r>
      </text>
    </comment>
    <comment ref="B66" authorId="0" shapeId="0" xr:uid="{2CE8EED3-3528-4C72-88C0-61C82EDBACD1}">
      <text>
        <r>
          <rPr>
            <sz val="9"/>
            <color indexed="81"/>
            <rFont val="Tahoma"/>
            <family val="2"/>
          </rPr>
          <t>Solver found a solution. All constraints and optimality conditions are satisfied.</t>
        </r>
      </text>
    </comment>
    <comment ref="B67" authorId="0" shapeId="0" xr:uid="{5A17865C-17A1-4C16-A042-74FEE4DADCF3}">
      <text>
        <r>
          <rPr>
            <sz val="9"/>
            <color indexed="81"/>
            <rFont val="Tahoma"/>
            <family val="2"/>
          </rPr>
          <t>Solver found a solution. All constraints and optimality conditions are satisfied.</t>
        </r>
      </text>
    </comment>
    <comment ref="B68" authorId="0" shapeId="0" xr:uid="{5C295F41-E4D2-42F9-AA02-A1819CD75F1B}">
      <text>
        <r>
          <rPr>
            <sz val="9"/>
            <color indexed="81"/>
            <rFont val="Tahoma"/>
            <family val="2"/>
          </rPr>
          <t>Solver found a solution. All constraints and optimality conditions are satisfied.</t>
        </r>
      </text>
    </comment>
    <comment ref="B69" authorId="0" shapeId="0" xr:uid="{62EE0C5C-8229-42B3-832C-0989F77D6EB2}">
      <text>
        <r>
          <rPr>
            <sz val="9"/>
            <color indexed="81"/>
            <rFont val="Tahoma"/>
            <family val="2"/>
          </rPr>
          <t>Solver found a solution. All constraints and optimality conditions are satisfied.</t>
        </r>
      </text>
    </comment>
    <comment ref="B70" authorId="0" shapeId="0" xr:uid="{685D4102-170B-4139-AB95-30BD9A870831}">
      <text>
        <r>
          <rPr>
            <sz val="9"/>
            <color indexed="81"/>
            <rFont val="Tahoma"/>
            <family val="2"/>
          </rPr>
          <t>Solver found a solution. All constraints and optimality conditions are satisfied.</t>
        </r>
      </text>
    </comment>
    <comment ref="B71" authorId="0" shapeId="0" xr:uid="{75ABBFFE-FC0D-4792-91BA-1357B7ABA6A1}">
      <text>
        <r>
          <rPr>
            <sz val="9"/>
            <color indexed="81"/>
            <rFont val="Tahoma"/>
            <family val="2"/>
          </rPr>
          <t>Solver found a solution. All constraints and optimality conditions are satisfied.</t>
        </r>
      </text>
    </comment>
    <comment ref="B72" authorId="0" shapeId="0" xr:uid="{E3E677B6-6119-4B9D-B871-3BE68FF4BA3D}">
      <text>
        <r>
          <rPr>
            <sz val="9"/>
            <color indexed="81"/>
            <rFont val="Tahoma"/>
            <family val="2"/>
          </rPr>
          <t>Solver found a solution. All constraints and optimality conditions are satisfied.</t>
        </r>
      </text>
    </comment>
    <comment ref="B73" authorId="0" shapeId="0" xr:uid="{0C3C03F7-1CC9-4128-9D4C-F09D7380342F}">
      <text>
        <r>
          <rPr>
            <sz val="9"/>
            <color indexed="81"/>
            <rFont val="Tahoma"/>
            <family val="2"/>
          </rPr>
          <t>Solver found a solution. All constraints and optimality conditions are satisfied.</t>
        </r>
      </text>
    </comment>
    <comment ref="B74" authorId="0" shapeId="0" xr:uid="{E814AABF-3A75-46FB-8079-ECF849D0D68C}">
      <text>
        <r>
          <rPr>
            <sz val="9"/>
            <color indexed="81"/>
            <rFont val="Tahoma"/>
            <family val="2"/>
          </rPr>
          <t>Solver found a solution. All constraints and optimality conditions are satisfied.</t>
        </r>
      </text>
    </comment>
    <comment ref="B75" authorId="0" shapeId="0" xr:uid="{43BE10AA-7AEA-4308-AFB1-628D9517FEDB}">
      <text>
        <r>
          <rPr>
            <sz val="9"/>
            <color indexed="81"/>
            <rFont val="Tahoma"/>
            <family val="2"/>
          </rPr>
          <t>Solver found a solution. All constraints and optimality conditions are satisfied.</t>
        </r>
      </text>
    </comment>
    <comment ref="B76" authorId="0" shapeId="0" xr:uid="{4D92D7FC-AAF3-4A64-9834-AD3B06957BDE}">
      <text>
        <r>
          <rPr>
            <sz val="9"/>
            <color indexed="81"/>
            <rFont val="Tahoma"/>
            <family val="2"/>
          </rPr>
          <t>Solver found a solution. All constraints and optimality conditions are satisfied.</t>
        </r>
      </text>
    </comment>
    <comment ref="B77" authorId="0" shapeId="0" xr:uid="{5714D942-2861-42E5-9715-B0BE0CA1A793}">
      <text>
        <r>
          <rPr>
            <sz val="9"/>
            <color indexed="81"/>
            <rFont val="Tahoma"/>
            <family val="2"/>
          </rPr>
          <t>Solver found a solution. All constraints and optimality conditions are satisfied.</t>
        </r>
      </text>
    </comment>
    <comment ref="B78" authorId="0" shapeId="0" xr:uid="{BDF0BC8C-5E88-475A-A16A-3432B0A6C4AB}">
      <text>
        <r>
          <rPr>
            <sz val="9"/>
            <color indexed="81"/>
            <rFont val="Tahoma"/>
            <family val="2"/>
          </rPr>
          <t>Solver found a solution. All constraints and optimality conditions are satisfied.</t>
        </r>
      </text>
    </comment>
    <comment ref="B79" authorId="0" shapeId="0" xr:uid="{3DC92257-C730-4D36-A662-56B8D67623A9}">
      <text>
        <r>
          <rPr>
            <sz val="9"/>
            <color indexed="81"/>
            <rFont val="Tahoma"/>
            <family val="2"/>
          </rPr>
          <t>Solver found a solution. All constraints and optimality conditions are satisfied.</t>
        </r>
      </text>
    </comment>
    <comment ref="B80" authorId="0" shapeId="0" xr:uid="{A25A0B09-125C-457A-86FA-7DF255061900}">
      <text>
        <r>
          <rPr>
            <sz val="9"/>
            <color indexed="81"/>
            <rFont val="Tahoma"/>
            <family val="2"/>
          </rPr>
          <t>Solver found a solution. All constraints and optimality conditions are satisfied.</t>
        </r>
      </text>
    </comment>
    <comment ref="B81" authorId="0" shapeId="0" xr:uid="{2EA5AE5E-6E59-4B6E-AB97-8C0F5512CC3B}">
      <text>
        <r>
          <rPr>
            <sz val="9"/>
            <color indexed="81"/>
            <rFont val="Tahoma"/>
            <family val="2"/>
          </rPr>
          <t>Solver found a solution. All constraints and optimality conditions are satisfied.</t>
        </r>
      </text>
    </comment>
    <comment ref="B82" authorId="0" shapeId="0" xr:uid="{9BBB0B58-F752-4804-9563-C48A2D2EA7E6}">
      <text>
        <r>
          <rPr>
            <sz val="9"/>
            <color indexed="81"/>
            <rFont val="Tahoma"/>
            <family val="2"/>
          </rPr>
          <t>Solver found a solution. All constraints and optimality conditions are satisfied.</t>
        </r>
      </text>
    </comment>
    <comment ref="B83" authorId="0" shapeId="0" xr:uid="{455F7262-77C1-4EEB-BB85-A6A98352B6E4}">
      <text>
        <r>
          <rPr>
            <sz val="9"/>
            <color indexed="81"/>
            <rFont val="Tahoma"/>
            <family val="2"/>
          </rPr>
          <t>Solver found a solution. All constraints and optimality conditions are satisfied.</t>
        </r>
      </text>
    </comment>
    <comment ref="B84" authorId="0" shapeId="0" xr:uid="{B09AD91E-57F7-49F8-80E2-A2B7D9B884CB}">
      <text>
        <r>
          <rPr>
            <sz val="9"/>
            <color indexed="81"/>
            <rFont val="Tahoma"/>
            <family val="2"/>
          </rPr>
          <t>Solver found a solution. All constraints and optimality conditions are satisfied.</t>
        </r>
      </text>
    </comment>
    <comment ref="B85" authorId="0" shapeId="0" xr:uid="{958C13D8-DC13-4779-A891-F70DDB7C3F97}">
      <text>
        <r>
          <rPr>
            <sz val="9"/>
            <color indexed="81"/>
            <rFont val="Tahoma"/>
            <family val="2"/>
          </rPr>
          <t>Solver found a solution. All constraints and optimality conditions are satisfied.</t>
        </r>
      </text>
    </comment>
    <comment ref="B86" authorId="0" shapeId="0" xr:uid="{944E61D3-8B3D-430B-8149-1021E2301267}">
      <text>
        <r>
          <rPr>
            <sz val="9"/>
            <color indexed="81"/>
            <rFont val="Tahoma"/>
            <family val="2"/>
          </rPr>
          <t>Solver found a solution. All constraints and optimality conditions are satisfied.</t>
        </r>
      </text>
    </comment>
    <comment ref="B87" authorId="0" shapeId="0" xr:uid="{CB75F1C4-EABD-4B20-8EB2-0A8DE2B7185E}">
      <text>
        <r>
          <rPr>
            <sz val="9"/>
            <color indexed="81"/>
            <rFont val="Tahoma"/>
            <family val="2"/>
          </rPr>
          <t>Solver found a solution. All constraints and optimality conditions are satisfied.</t>
        </r>
      </text>
    </comment>
    <comment ref="B88" authorId="0" shapeId="0" xr:uid="{73A45E80-2AC3-4107-8AC0-9980EBEAED3F}">
      <text>
        <r>
          <rPr>
            <sz val="9"/>
            <color indexed="81"/>
            <rFont val="Tahoma"/>
            <family val="2"/>
          </rPr>
          <t>Solver found a solution. All constraints and optimality conditions are satisfied.</t>
        </r>
      </text>
    </comment>
    <comment ref="B89" authorId="0" shapeId="0" xr:uid="{36221FF3-B7B4-4A74-B80E-29AEBFF2A437}">
      <text>
        <r>
          <rPr>
            <sz val="9"/>
            <color indexed="81"/>
            <rFont val="Tahoma"/>
            <family val="2"/>
          </rPr>
          <t>Solver found a solution. All constraints and optimality conditions are satisfied.</t>
        </r>
      </text>
    </comment>
    <comment ref="B90" authorId="0" shapeId="0" xr:uid="{EA350DBA-D4C4-4142-BBEA-DD8EDBBE0AE6}">
      <text>
        <r>
          <rPr>
            <sz val="9"/>
            <color indexed="81"/>
            <rFont val="Tahoma"/>
            <family val="2"/>
          </rPr>
          <t>Solver found a solution. All constraints and optimality conditions are satisfied.</t>
        </r>
      </text>
    </comment>
    <comment ref="B91" authorId="0" shapeId="0" xr:uid="{8500905D-9C5D-4312-8077-D04E73DEB41A}">
      <text>
        <r>
          <rPr>
            <sz val="9"/>
            <color indexed="81"/>
            <rFont val="Tahoma"/>
            <family val="2"/>
          </rPr>
          <t>Solver found a solution. All constraints and optimality conditions are satisfied.</t>
        </r>
      </text>
    </comment>
    <comment ref="B92" authorId="0" shapeId="0" xr:uid="{52901313-7DA8-4198-A696-4101C06FF6BF}">
      <text>
        <r>
          <rPr>
            <sz val="9"/>
            <color indexed="81"/>
            <rFont val="Tahoma"/>
            <family val="2"/>
          </rPr>
          <t>Solver found a solution. All constraints and optimality conditions are satisfied.</t>
        </r>
      </text>
    </comment>
    <comment ref="B93" authorId="0" shapeId="0" xr:uid="{14A6D65D-F471-4CC7-B831-EBE7B24B0548}">
      <text>
        <r>
          <rPr>
            <sz val="9"/>
            <color indexed="81"/>
            <rFont val="Tahoma"/>
            <family val="2"/>
          </rPr>
          <t>Solver found a solution. All constraints and optimality conditions are satisfied.</t>
        </r>
      </text>
    </comment>
    <comment ref="B94" authorId="0" shapeId="0" xr:uid="{979D6C8F-2C18-4309-BE54-DD01EF30B83C}">
      <text>
        <r>
          <rPr>
            <sz val="9"/>
            <color indexed="81"/>
            <rFont val="Tahoma"/>
            <family val="2"/>
          </rPr>
          <t>Solver found a solution. All constraints and optimality conditions are satisfied.</t>
        </r>
      </text>
    </comment>
    <comment ref="B95" authorId="0" shapeId="0" xr:uid="{9C3609B8-3A7C-430D-8422-978E8FAB9619}">
      <text>
        <r>
          <rPr>
            <sz val="9"/>
            <color indexed="81"/>
            <rFont val="Tahoma"/>
            <family val="2"/>
          </rPr>
          <t>Solver found a solution. All constraints and optimality conditions are satisfied.</t>
        </r>
      </text>
    </comment>
    <comment ref="B96" authorId="0" shapeId="0" xr:uid="{F448A0B2-FDCE-48EC-AE65-DB6BDDA9FEDD}">
      <text>
        <r>
          <rPr>
            <sz val="9"/>
            <color indexed="81"/>
            <rFont val="Tahoma"/>
            <family val="2"/>
          </rPr>
          <t>Solver found a solution. All constraints and optimality conditions are satisfied.</t>
        </r>
      </text>
    </comment>
    <comment ref="B97" authorId="0" shapeId="0" xr:uid="{8ABF8088-09B4-4487-BF2F-D8EFDE4CB047}">
      <text>
        <r>
          <rPr>
            <sz val="9"/>
            <color indexed="81"/>
            <rFont val="Tahoma"/>
            <family val="2"/>
          </rPr>
          <t>Solver found a solution. All constraints and optimality conditions are satisfied.</t>
        </r>
      </text>
    </comment>
    <comment ref="B98" authorId="0" shapeId="0" xr:uid="{3EBFF0AB-AB30-4984-9F90-9769FD7E17B6}">
      <text>
        <r>
          <rPr>
            <sz val="9"/>
            <color indexed="81"/>
            <rFont val="Tahoma"/>
            <family val="2"/>
          </rPr>
          <t>Solver found a solution. All constraints and optimality conditions are satisfied.</t>
        </r>
      </text>
    </comment>
    <comment ref="B99" authorId="0" shapeId="0" xr:uid="{C495E512-FE40-4F2D-9565-513CA43C7CBF}">
      <text>
        <r>
          <rPr>
            <sz val="9"/>
            <color indexed="81"/>
            <rFont val="Tahoma"/>
            <family val="2"/>
          </rPr>
          <t>Solver found a solution. All constraints and optimality conditions are satisfied.</t>
        </r>
      </text>
    </comment>
    <comment ref="B100" authorId="0" shapeId="0" xr:uid="{1242E79D-515D-4945-95E5-AFA959542206}">
      <text>
        <r>
          <rPr>
            <sz val="9"/>
            <color indexed="81"/>
            <rFont val="Tahoma"/>
            <family val="2"/>
          </rPr>
          <t>Solver found a solution. All constraints and optimality conditions are satisfied.</t>
        </r>
      </text>
    </comment>
    <comment ref="B101" authorId="0" shapeId="0" xr:uid="{FB2098CF-EC4D-417A-8F80-9129DF6F95B6}">
      <text>
        <r>
          <rPr>
            <sz val="9"/>
            <color indexed="81"/>
            <rFont val="Tahoma"/>
            <family val="2"/>
          </rPr>
          <t>Solver found a solution. All constraints and optimality conditions are satisfied.</t>
        </r>
      </text>
    </comment>
    <comment ref="B102" authorId="0" shapeId="0" xr:uid="{9D80D1E9-7EF8-4402-AC7E-8D17E378E004}">
      <text>
        <r>
          <rPr>
            <sz val="9"/>
            <color indexed="81"/>
            <rFont val="Tahoma"/>
            <family val="2"/>
          </rPr>
          <t>Solver found a solution. All constraints and optimality conditions are satisfied.</t>
        </r>
      </text>
    </comment>
    <comment ref="B103" authorId="0" shapeId="0" xr:uid="{848FED95-2234-40CB-8BD3-F163702CDA6F}">
      <text>
        <r>
          <rPr>
            <sz val="9"/>
            <color indexed="81"/>
            <rFont val="Tahoma"/>
            <family val="2"/>
          </rPr>
          <t>Solver found a solution. All constraints and optimality conditions are satisfied.</t>
        </r>
      </text>
    </comment>
    <comment ref="B104" authorId="0" shapeId="0" xr:uid="{CB1DA7CB-25BC-4AB8-B2A9-DB487F9D5656}">
      <text>
        <r>
          <rPr>
            <sz val="9"/>
            <color indexed="81"/>
            <rFont val="Tahoma"/>
            <family val="2"/>
          </rPr>
          <t>Solver found a solution. All constraints and optimality conditions are satisfied.</t>
        </r>
      </text>
    </comment>
    <comment ref="B105" authorId="0" shapeId="0" xr:uid="{800FC70C-13F1-4769-BF2F-BD8EA693558D}">
      <text>
        <r>
          <rPr>
            <sz val="9"/>
            <color indexed="81"/>
            <rFont val="Tahoma"/>
            <family val="2"/>
          </rPr>
          <t>Solver found a solution. All constraints and optimality conditions are satisfied.</t>
        </r>
      </text>
    </comment>
    <comment ref="B106" authorId="0" shapeId="0" xr:uid="{68E80AB1-C0C1-4360-9582-2C153F6B8810}">
      <text>
        <r>
          <rPr>
            <sz val="9"/>
            <color indexed="81"/>
            <rFont val="Tahoma"/>
            <family val="2"/>
          </rPr>
          <t>Solver found a solution. All constraints and optimality conditions are satisfied.</t>
        </r>
      </text>
    </comment>
    <comment ref="B107" authorId="0" shapeId="0" xr:uid="{06C8AD98-1751-4086-BE6E-3B93ED34179C}">
      <text>
        <r>
          <rPr>
            <sz val="9"/>
            <color indexed="81"/>
            <rFont val="Tahoma"/>
            <family val="2"/>
          </rPr>
          <t>Solver found a solution. All constraints and optimality conditions are satisfied.</t>
        </r>
      </text>
    </comment>
    <comment ref="B108" authorId="0" shapeId="0" xr:uid="{8C0FC2CC-2E8B-4010-8272-2C6E49EB1BAD}">
      <text>
        <r>
          <rPr>
            <sz val="9"/>
            <color indexed="81"/>
            <rFont val="Tahoma"/>
            <family val="2"/>
          </rPr>
          <t>Solver found a solution. All constraints and optimality conditions are satisfied.</t>
        </r>
      </text>
    </comment>
    <comment ref="B109" authorId="0" shapeId="0" xr:uid="{C076D627-D729-4323-A5DD-66E26597CAAB}">
      <text>
        <r>
          <rPr>
            <sz val="9"/>
            <color indexed="81"/>
            <rFont val="Tahoma"/>
            <family val="2"/>
          </rPr>
          <t>Solver found a solution. All constraints and optimality conditions are satisfied.</t>
        </r>
      </text>
    </comment>
    <comment ref="B110" authorId="0" shapeId="0" xr:uid="{FD8220D4-D4DB-4061-9E79-41A53B78D216}">
      <text>
        <r>
          <rPr>
            <sz val="9"/>
            <color indexed="81"/>
            <rFont val="Tahoma"/>
            <family val="2"/>
          </rPr>
          <t>Solver found a solution. All constraints and optimality conditions are satisfied.</t>
        </r>
      </text>
    </comment>
    <comment ref="B111" authorId="0" shapeId="0" xr:uid="{1F77E0A7-B578-4342-AB37-2357E556CAFA}">
      <text>
        <r>
          <rPr>
            <sz val="9"/>
            <color indexed="81"/>
            <rFont val="Tahoma"/>
            <family val="2"/>
          </rPr>
          <t>Solver found a solution. All constraints and optimality conditions are satisfied.</t>
        </r>
      </text>
    </comment>
    <comment ref="B112" authorId="0" shapeId="0" xr:uid="{AD929E0A-42EF-4A27-BB46-20335764FC63}">
      <text>
        <r>
          <rPr>
            <sz val="9"/>
            <color indexed="81"/>
            <rFont val="Tahoma"/>
            <family val="2"/>
          </rPr>
          <t>Solver found a solution. All constraints and optimality conditions are satisfied.</t>
        </r>
      </text>
    </comment>
    <comment ref="B113" authorId="0" shapeId="0" xr:uid="{02D15C1F-182E-4FC0-B08F-1A131A27655B}">
      <text>
        <r>
          <rPr>
            <sz val="9"/>
            <color indexed="81"/>
            <rFont val="Tahoma"/>
            <family val="2"/>
          </rPr>
          <t>Solver found a solution. All constraints and optimality conditions are satisfied.</t>
        </r>
      </text>
    </comment>
    <comment ref="B114" authorId="0" shapeId="0" xr:uid="{41362C29-54BD-4716-A3C0-2AEB23314F29}">
      <text>
        <r>
          <rPr>
            <sz val="9"/>
            <color indexed="81"/>
            <rFont val="Tahoma"/>
            <family val="2"/>
          </rPr>
          <t>Solver found a solution. All constraints and optimality conditions are satisfied.</t>
        </r>
      </text>
    </comment>
    <comment ref="B115" authorId="0" shapeId="0" xr:uid="{2AAF556D-1ABE-4774-9E99-1B82CC6CE56A}">
      <text>
        <r>
          <rPr>
            <sz val="9"/>
            <color indexed="81"/>
            <rFont val="Tahoma"/>
            <family val="2"/>
          </rPr>
          <t>Solver found a solution. All constraints and optimality conditions are satisfied.</t>
        </r>
      </text>
    </comment>
    <comment ref="B116" authorId="0" shapeId="0" xr:uid="{F3CD7822-F72C-4807-A937-977A156B411A}">
      <text>
        <r>
          <rPr>
            <sz val="9"/>
            <color indexed="81"/>
            <rFont val="Tahoma"/>
            <family val="2"/>
          </rPr>
          <t>Solver found a solution. All constraints and optimality conditions are satisfied.</t>
        </r>
      </text>
    </comment>
    <comment ref="B117" authorId="0" shapeId="0" xr:uid="{278378FC-BC27-4DC9-BAC6-339573BD9CA0}">
      <text>
        <r>
          <rPr>
            <sz val="9"/>
            <color indexed="81"/>
            <rFont val="Tahoma"/>
            <family val="2"/>
          </rPr>
          <t>Solver found a solution. All constraints and optimality conditions are satisfied.</t>
        </r>
      </text>
    </comment>
    <comment ref="B118" authorId="0" shapeId="0" xr:uid="{D03F0733-2768-49FD-9D9C-D29C57B4A79F}">
      <text>
        <r>
          <rPr>
            <sz val="9"/>
            <color indexed="81"/>
            <rFont val="Tahoma"/>
            <family val="2"/>
          </rPr>
          <t>Solver found a solution. All constraints and optimality conditions are satisfied.</t>
        </r>
      </text>
    </comment>
    <comment ref="B119" authorId="0" shapeId="0" xr:uid="{928FCBF1-F5F9-4960-83AA-41FF5EA18B46}">
      <text>
        <r>
          <rPr>
            <sz val="9"/>
            <color indexed="81"/>
            <rFont val="Tahoma"/>
            <family val="2"/>
          </rPr>
          <t>Solver found a solution. All constraints and optimality conditions are satisfied.</t>
        </r>
      </text>
    </comment>
    <comment ref="B120" authorId="0" shapeId="0" xr:uid="{40A8CA94-593E-4126-8BFE-A89D1EE8C79D}">
      <text>
        <r>
          <rPr>
            <sz val="9"/>
            <color indexed="81"/>
            <rFont val="Tahoma"/>
            <family val="2"/>
          </rPr>
          <t>Solver found a solution. All constraints and optimality conditions are satisfied.</t>
        </r>
      </text>
    </comment>
    <comment ref="B121" authorId="0" shapeId="0" xr:uid="{84D8673B-701D-48D5-9AC2-101F2CA21DB8}">
      <text>
        <r>
          <rPr>
            <sz val="9"/>
            <color indexed="81"/>
            <rFont val="Tahoma"/>
            <family val="2"/>
          </rPr>
          <t>Solver found a solution. All constraints and optimality conditions are satisfied.</t>
        </r>
      </text>
    </comment>
    <comment ref="B122" authorId="0" shapeId="0" xr:uid="{293C45B8-8B1D-441D-AE2F-1E2580BC02FC}">
      <text>
        <r>
          <rPr>
            <sz val="9"/>
            <color indexed="81"/>
            <rFont val="Tahoma"/>
            <family val="2"/>
          </rPr>
          <t>Solver found a solution. All constraints and optimality conditions are satisfied.</t>
        </r>
      </text>
    </comment>
    <comment ref="B123" authorId="0" shapeId="0" xr:uid="{6520F680-D92F-4280-ACE1-E0D9E0C75B36}">
      <text>
        <r>
          <rPr>
            <sz val="9"/>
            <color indexed="81"/>
            <rFont val="Tahoma"/>
            <family val="2"/>
          </rPr>
          <t>Solver found a solution. All constraints and optimality conditions are satisfied.</t>
        </r>
      </text>
    </comment>
    <comment ref="B124" authorId="0" shapeId="0" xr:uid="{6D504F92-C6F7-4C5F-84F5-582802B4CA4E}">
      <text>
        <r>
          <rPr>
            <sz val="9"/>
            <color indexed="81"/>
            <rFont val="Tahoma"/>
            <family val="2"/>
          </rPr>
          <t>Solver found a solution. All constraints and optimality conditions are satisfied.</t>
        </r>
      </text>
    </comment>
    <comment ref="B125" authorId="0" shapeId="0" xr:uid="{8CB009EE-5B38-47DA-95BE-355CBFE8BD26}">
      <text>
        <r>
          <rPr>
            <sz val="9"/>
            <color indexed="81"/>
            <rFont val="Tahoma"/>
            <family val="2"/>
          </rPr>
          <t>Solver found a solution. All constraints and optimality conditions are satisfied.</t>
        </r>
      </text>
    </comment>
    <comment ref="B126" authorId="0" shapeId="0" xr:uid="{6547CAC9-A729-4293-B7B2-542B9761FD9D}">
      <text>
        <r>
          <rPr>
            <sz val="9"/>
            <color indexed="81"/>
            <rFont val="Tahoma"/>
            <family val="2"/>
          </rPr>
          <t>Solver found a solution. All constraints and optimality conditions are satisfied.</t>
        </r>
      </text>
    </comment>
    <comment ref="B127" authorId="0" shapeId="0" xr:uid="{5518E41C-9EA0-44C9-8D1A-B946EC045786}">
      <text>
        <r>
          <rPr>
            <sz val="9"/>
            <color indexed="81"/>
            <rFont val="Tahoma"/>
            <family val="2"/>
          </rPr>
          <t>Solver found a solution. All constraints and optimality conditions are satisfied.</t>
        </r>
      </text>
    </comment>
    <comment ref="B128" authorId="0" shapeId="0" xr:uid="{B3886EB7-0453-41CF-B4F5-710D3AFDF554}">
      <text>
        <r>
          <rPr>
            <sz val="9"/>
            <color indexed="81"/>
            <rFont val="Tahoma"/>
            <family val="2"/>
          </rPr>
          <t>Solver found a solution. All constraints and optimality conditions are satisfied.</t>
        </r>
      </text>
    </comment>
    <comment ref="B129" authorId="0" shapeId="0" xr:uid="{E7B76662-47FE-4352-BCF5-573D5A217D30}">
      <text>
        <r>
          <rPr>
            <sz val="9"/>
            <color indexed="81"/>
            <rFont val="Tahoma"/>
            <family val="2"/>
          </rPr>
          <t>Solver found a solution. All constraints and optimality conditions are satisfied.</t>
        </r>
      </text>
    </comment>
    <comment ref="B130" authorId="0" shapeId="0" xr:uid="{2083DD3B-D166-4D1B-AF57-CF47FEEA0148}">
      <text>
        <r>
          <rPr>
            <sz val="9"/>
            <color indexed="81"/>
            <rFont val="Tahoma"/>
            <family val="2"/>
          </rPr>
          <t>Solver found a solution. All constraints and optimality conditions are satisfied.</t>
        </r>
      </text>
    </comment>
    <comment ref="B131" authorId="0" shapeId="0" xr:uid="{3242D990-D16F-473D-A34E-2DE318A2B639}">
      <text>
        <r>
          <rPr>
            <sz val="9"/>
            <color indexed="81"/>
            <rFont val="Tahoma"/>
            <family val="2"/>
          </rPr>
          <t>Solver found a solution. All constraints and optimality conditions are satisfied.</t>
        </r>
      </text>
    </comment>
    <comment ref="B132" authorId="0" shapeId="0" xr:uid="{4B646F1A-7161-418C-B63B-EEB226C51075}">
      <text>
        <r>
          <rPr>
            <sz val="9"/>
            <color indexed="81"/>
            <rFont val="Tahoma"/>
            <family val="2"/>
          </rPr>
          <t>Solver found a solution. All constraints and optimality conditions are satisfied.</t>
        </r>
      </text>
    </comment>
    <comment ref="B133" authorId="0" shapeId="0" xr:uid="{AE13B9FF-C55C-4658-8F8C-A6C44F1ECBF2}">
      <text>
        <r>
          <rPr>
            <sz val="9"/>
            <color indexed="81"/>
            <rFont val="Tahoma"/>
            <family val="2"/>
          </rPr>
          <t>Solver found a solution. All constraints and optimality conditions are satisfied.</t>
        </r>
      </text>
    </comment>
    <comment ref="B134" authorId="0" shapeId="0" xr:uid="{A29C159F-A011-4ABE-847B-873A845D91E6}">
      <text>
        <r>
          <rPr>
            <sz val="9"/>
            <color indexed="81"/>
            <rFont val="Tahoma"/>
            <family val="2"/>
          </rPr>
          <t>Solver found a solution. All constraints and optimality conditions are satisfied.</t>
        </r>
      </text>
    </comment>
    <comment ref="B135" authorId="0" shapeId="0" xr:uid="{B1458D8E-99FC-447C-A9AE-1CF94B5D9DFF}">
      <text>
        <r>
          <rPr>
            <sz val="9"/>
            <color indexed="81"/>
            <rFont val="Tahoma"/>
            <family val="2"/>
          </rPr>
          <t>Solver found a solution. All constraints and optimality conditions are satisfied.</t>
        </r>
      </text>
    </comment>
    <comment ref="B136" authorId="0" shapeId="0" xr:uid="{576774FF-5FED-4150-AFE8-D125B5542064}">
      <text>
        <r>
          <rPr>
            <sz val="9"/>
            <color indexed="81"/>
            <rFont val="Tahoma"/>
            <family val="2"/>
          </rPr>
          <t>Solver found a solution. All constraints and optimality conditions are satisfied.</t>
        </r>
      </text>
    </comment>
    <comment ref="B137" authorId="0" shapeId="0" xr:uid="{D47155B0-A61B-44B5-8ADB-E3F565845662}">
      <text>
        <r>
          <rPr>
            <sz val="9"/>
            <color indexed="81"/>
            <rFont val="Tahoma"/>
            <family val="2"/>
          </rPr>
          <t>Solver found a solution. All constraints and optimality conditions are satisfied.</t>
        </r>
      </text>
    </comment>
    <comment ref="B138" authorId="0" shapeId="0" xr:uid="{1C0A413C-8BFB-4ADD-B947-D3CCB8F5B3B6}">
      <text>
        <r>
          <rPr>
            <sz val="9"/>
            <color indexed="81"/>
            <rFont val="Tahoma"/>
            <family val="2"/>
          </rPr>
          <t>Solver found a solution. All constraints and optimality conditions are satisfied.</t>
        </r>
      </text>
    </comment>
    <comment ref="B139" authorId="0" shapeId="0" xr:uid="{69D4A92A-1053-44C4-898B-CF2B56E0DE49}">
      <text>
        <r>
          <rPr>
            <sz val="9"/>
            <color indexed="81"/>
            <rFont val="Tahoma"/>
            <family val="2"/>
          </rPr>
          <t>Solver found a solution. All constraints and optimality conditions are satisfied.</t>
        </r>
      </text>
    </comment>
    <comment ref="B140" authorId="0" shapeId="0" xr:uid="{51AA019C-40EB-4D7E-B7FE-93D22FBEBA06}">
      <text>
        <r>
          <rPr>
            <sz val="9"/>
            <color indexed="81"/>
            <rFont val="Tahoma"/>
            <family val="2"/>
          </rPr>
          <t>Solver found a solution. All constraints and optimality conditions are satisfied.</t>
        </r>
      </text>
    </comment>
    <comment ref="B141" authorId="0" shapeId="0" xr:uid="{325C8BFF-540B-4A7C-BDAC-65C2F17EC300}">
      <text>
        <r>
          <rPr>
            <sz val="9"/>
            <color indexed="81"/>
            <rFont val="Tahoma"/>
            <family val="2"/>
          </rPr>
          <t>Solver found a solution. All constraints and optimality conditions are satisfied.</t>
        </r>
      </text>
    </comment>
    <comment ref="B142" authorId="0" shapeId="0" xr:uid="{76F98B7F-2B75-4F06-B7C0-36277AA43613}">
      <text>
        <r>
          <rPr>
            <sz val="9"/>
            <color indexed="81"/>
            <rFont val="Tahoma"/>
            <family val="2"/>
          </rPr>
          <t>Solver found a solution. All constraints and optimality conditions are satisfied.</t>
        </r>
      </text>
    </comment>
    <comment ref="B143" authorId="0" shapeId="0" xr:uid="{11A00228-BCFB-42DC-82B8-554C4620BF23}">
      <text>
        <r>
          <rPr>
            <sz val="9"/>
            <color indexed="81"/>
            <rFont val="Tahoma"/>
            <family val="2"/>
          </rPr>
          <t>Solver found a solution. All constraints and optimality conditions are satisfied.</t>
        </r>
      </text>
    </comment>
    <comment ref="B144" authorId="0" shapeId="0" xr:uid="{8D9E073C-0440-4D6E-92A7-5D9336764BBB}">
      <text>
        <r>
          <rPr>
            <sz val="9"/>
            <color indexed="81"/>
            <rFont val="Tahoma"/>
            <family val="2"/>
          </rPr>
          <t>Solver found a solution. All constraints and optimality conditions are satisfied.</t>
        </r>
      </text>
    </comment>
    <comment ref="B145" authorId="0" shapeId="0" xr:uid="{FEEDA7B1-386D-42D8-B0A3-5CBBFB5F97F7}">
      <text>
        <r>
          <rPr>
            <sz val="9"/>
            <color indexed="81"/>
            <rFont val="Tahoma"/>
            <family val="2"/>
          </rPr>
          <t>Solver found a solution. All constraints and optimality conditions are satisfied.</t>
        </r>
      </text>
    </comment>
    <comment ref="B146" authorId="0" shapeId="0" xr:uid="{F48BDCC0-39C6-48D2-B0C1-2606DB5C81C2}">
      <text>
        <r>
          <rPr>
            <sz val="9"/>
            <color indexed="81"/>
            <rFont val="Tahoma"/>
            <family val="2"/>
          </rPr>
          <t>Solver found a solution. All constraints and optimality conditions are satisfied.</t>
        </r>
      </text>
    </comment>
    <comment ref="B147" authorId="0" shapeId="0" xr:uid="{89465F21-33AC-4895-9804-1110D734198C}">
      <text>
        <r>
          <rPr>
            <sz val="9"/>
            <color indexed="81"/>
            <rFont val="Tahoma"/>
            <family val="2"/>
          </rPr>
          <t>Solver found a solution. All constraints and optimality conditions are satisfied.</t>
        </r>
      </text>
    </comment>
    <comment ref="B148" authorId="0" shapeId="0" xr:uid="{E02E47B2-BB35-4A0A-BE14-6194F88F30DE}">
      <text>
        <r>
          <rPr>
            <sz val="9"/>
            <color indexed="81"/>
            <rFont val="Tahoma"/>
            <family val="2"/>
          </rPr>
          <t>Solver found a solution. All constraints and optimality conditions are satisfied.</t>
        </r>
      </text>
    </comment>
    <comment ref="B149" authorId="0" shapeId="0" xr:uid="{B02D920B-1A6D-4ACA-8DC9-EE4998160594}">
      <text>
        <r>
          <rPr>
            <sz val="9"/>
            <color indexed="81"/>
            <rFont val="Tahoma"/>
            <family val="2"/>
          </rPr>
          <t>Solver found a solution. All constraints and optimality conditions are satisfied.</t>
        </r>
      </text>
    </comment>
    <comment ref="B150" authorId="0" shapeId="0" xr:uid="{7A17915D-9EFC-4CBC-A50E-0050B7B5CD5C}">
      <text>
        <r>
          <rPr>
            <sz val="9"/>
            <color indexed="81"/>
            <rFont val="Tahoma"/>
            <family val="2"/>
          </rPr>
          <t>Solver found a solution. All constraints and optimality conditions are satisfied.</t>
        </r>
      </text>
    </comment>
    <comment ref="B151" authorId="0" shapeId="0" xr:uid="{260A956C-1E58-47DF-AD0E-6D2684855FE5}">
      <text>
        <r>
          <rPr>
            <sz val="9"/>
            <color indexed="81"/>
            <rFont val="Tahoma"/>
            <family val="2"/>
          </rPr>
          <t>Solver found a solution. All constraints and optimality conditions are satisfied.</t>
        </r>
      </text>
    </comment>
    <comment ref="B152" authorId="0" shapeId="0" xr:uid="{777D856C-3B24-4F43-88A1-8AF7A50E2941}">
      <text>
        <r>
          <rPr>
            <sz val="9"/>
            <color indexed="81"/>
            <rFont val="Tahoma"/>
            <family val="2"/>
          </rPr>
          <t>Solver found a solution. All constraints and optimality conditions are satisfied.</t>
        </r>
      </text>
    </comment>
    <comment ref="B153" authorId="0" shapeId="0" xr:uid="{9699A8B7-CC71-4B01-884A-FE31785F511F}">
      <text>
        <r>
          <rPr>
            <sz val="9"/>
            <color indexed="81"/>
            <rFont val="Tahoma"/>
            <family val="2"/>
          </rPr>
          <t>Solver found a solution. All constraints and optimality conditions are satisfied.</t>
        </r>
      </text>
    </comment>
    <comment ref="B154" authorId="0" shapeId="0" xr:uid="{AE66D0ED-A9A5-43F7-ACDE-088340260DDC}">
      <text>
        <r>
          <rPr>
            <sz val="9"/>
            <color indexed="81"/>
            <rFont val="Tahoma"/>
            <family val="2"/>
          </rPr>
          <t>Solver found a solution. All constraints and optimality conditions are satisfied.</t>
        </r>
      </text>
    </comment>
    <comment ref="B155" authorId="0" shapeId="0" xr:uid="{7421981C-D9C6-45B2-A05B-EE35748AAFAD}">
      <text>
        <r>
          <rPr>
            <sz val="9"/>
            <color indexed="81"/>
            <rFont val="Tahoma"/>
            <family val="2"/>
          </rPr>
          <t>Solver found a solution. All constraints and optimality conditions are satisfied.</t>
        </r>
      </text>
    </comment>
    <comment ref="B156" authorId="0" shapeId="0" xr:uid="{8E72EDD8-AE31-4387-8299-BA0EDCC18D69}">
      <text>
        <r>
          <rPr>
            <sz val="9"/>
            <color indexed="81"/>
            <rFont val="Tahoma"/>
            <family val="2"/>
          </rPr>
          <t>Solver found a solution. All constraints and optimality conditions are satisfied.</t>
        </r>
      </text>
    </comment>
    <comment ref="B157" authorId="0" shapeId="0" xr:uid="{0717B899-E920-4721-A779-77F76422879F}">
      <text>
        <r>
          <rPr>
            <sz val="9"/>
            <color indexed="81"/>
            <rFont val="Tahoma"/>
            <family val="2"/>
          </rPr>
          <t>Solver found a solution. All constraints and optimality conditions are satisfied.</t>
        </r>
      </text>
    </comment>
    <comment ref="B158" authorId="0" shapeId="0" xr:uid="{AB3503B9-763A-469D-BD22-7ABB970EB877}">
      <text>
        <r>
          <rPr>
            <sz val="9"/>
            <color indexed="81"/>
            <rFont val="Tahoma"/>
            <family val="2"/>
          </rPr>
          <t>Solver found a solution. All constraints and optimality conditions are satisfied.</t>
        </r>
      </text>
    </comment>
    <comment ref="B159" authorId="0" shapeId="0" xr:uid="{194E3530-7F6E-4F15-B0C1-65659DA2506F}">
      <text>
        <r>
          <rPr>
            <sz val="9"/>
            <color indexed="81"/>
            <rFont val="Tahoma"/>
            <family val="2"/>
          </rPr>
          <t>Solver found a solution. All constraints and optimality conditions are satisfied.</t>
        </r>
      </text>
    </comment>
    <comment ref="B160" authorId="0" shapeId="0" xr:uid="{6082454A-A489-425A-A0CA-49A694BBF475}">
      <text>
        <r>
          <rPr>
            <sz val="9"/>
            <color indexed="81"/>
            <rFont val="Tahoma"/>
            <family val="2"/>
          </rPr>
          <t>Solver found a solution. All constraints and optimality conditions are satisfied.</t>
        </r>
      </text>
    </comment>
    <comment ref="B161" authorId="0" shapeId="0" xr:uid="{C8E721A5-488B-4B71-968B-12CCCEC702E5}">
      <text>
        <r>
          <rPr>
            <sz val="9"/>
            <color indexed="81"/>
            <rFont val="Tahoma"/>
            <family val="2"/>
          </rPr>
          <t>Solver found a solution. All constraints and optimality conditions are satisfied.</t>
        </r>
      </text>
    </comment>
    <comment ref="B162" authorId="0" shapeId="0" xr:uid="{9B002E1B-8FEA-4E77-9F08-3C8286F24B60}">
      <text>
        <r>
          <rPr>
            <sz val="9"/>
            <color indexed="81"/>
            <rFont val="Tahoma"/>
            <family val="2"/>
          </rPr>
          <t>Solver found a solution. All constraints and optimality conditions are satisfied.</t>
        </r>
      </text>
    </comment>
    <comment ref="B163" authorId="0" shapeId="0" xr:uid="{FA3168AD-8B7C-44CF-AB35-28711E3E9F97}">
      <text>
        <r>
          <rPr>
            <sz val="9"/>
            <color indexed="81"/>
            <rFont val="Tahoma"/>
            <family val="2"/>
          </rPr>
          <t>Solver found a solution. All constraints and optimality conditions are satisfied.</t>
        </r>
      </text>
    </comment>
    <comment ref="B164" authorId="0" shapeId="0" xr:uid="{CCE09B7C-3159-4AA2-AA7F-5D9C38BEAA35}">
      <text>
        <r>
          <rPr>
            <sz val="9"/>
            <color indexed="81"/>
            <rFont val="Tahoma"/>
            <family val="2"/>
          </rPr>
          <t>Solver found a solution. All constraints and optimality conditions are satisfied.</t>
        </r>
      </text>
    </comment>
    <comment ref="B165" authorId="0" shapeId="0" xr:uid="{B29A0A29-E42D-4AE0-9DE3-713FCDC31494}">
      <text>
        <r>
          <rPr>
            <sz val="9"/>
            <color indexed="81"/>
            <rFont val="Tahoma"/>
            <family val="2"/>
          </rPr>
          <t>Solver found a solution. All constraints and optimality conditions are satisfied.</t>
        </r>
      </text>
    </comment>
    <comment ref="B166" authorId="0" shapeId="0" xr:uid="{06C15924-F011-4C8A-A8D2-197BA8F6C484}">
      <text>
        <r>
          <rPr>
            <sz val="9"/>
            <color indexed="81"/>
            <rFont val="Tahoma"/>
            <family val="2"/>
          </rPr>
          <t>Solver found a solution. All constraints and optimality conditions are satisfied.</t>
        </r>
      </text>
    </comment>
    <comment ref="B167" authorId="0" shapeId="0" xr:uid="{513D73CD-9889-4A7E-8F75-A37C507E0EDD}">
      <text>
        <r>
          <rPr>
            <sz val="9"/>
            <color indexed="81"/>
            <rFont val="Tahoma"/>
            <family val="2"/>
          </rPr>
          <t>Solver found a solution. All constraints and optimality conditions are satisfied.</t>
        </r>
      </text>
    </comment>
    <comment ref="B168" authorId="0" shapeId="0" xr:uid="{E72D26EB-A96D-465B-A2B9-4B61ADB4AD6B}">
      <text>
        <r>
          <rPr>
            <sz val="9"/>
            <color indexed="81"/>
            <rFont val="Tahoma"/>
            <family val="2"/>
          </rPr>
          <t>Solver found a solution. All constraints and optimality conditions are satisfied.</t>
        </r>
      </text>
    </comment>
    <comment ref="B169" authorId="0" shapeId="0" xr:uid="{39513B2D-E448-4091-A200-0A83CB2D26C7}">
      <text>
        <r>
          <rPr>
            <sz val="9"/>
            <color indexed="81"/>
            <rFont val="Tahoma"/>
            <family val="2"/>
          </rPr>
          <t>Solver found a solution. All constraints and optimality conditions are satisfied.</t>
        </r>
      </text>
    </comment>
    <comment ref="B170" authorId="0" shapeId="0" xr:uid="{922A592F-78CC-4939-AEC0-BFADC35D023F}">
      <text>
        <r>
          <rPr>
            <sz val="9"/>
            <color indexed="81"/>
            <rFont val="Tahoma"/>
            <family val="2"/>
          </rPr>
          <t>Solver found a solution. All constraints and optimality conditions are satisfied.</t>
        </r>
      </text>
    </comment>
    <comment ref="B171" authorId="0" shapeId="0" xr:uid="{E2916A31-A93A-4A95-A2C3-0ABAE6AE787A}">
      <text>
        <r>
          <rPr>
            <sz val="9"/>
            <color indexed="81"/>
            <rFont val="Tahoma"/>
            <family val="2"/>
          </rPr>
          <t>Solver found a solution. All constraints and optimality conditions are satisfied.</t>
        </r>
      </text>
    </comment>
    <comment ref="B172" authorId="0" shapeId="0" xr:uid="{0D25A9BB-76D8-4A41-AF90-2D1D452D2BAA}">
      <text>
        <r>
          <rPr>
            <sz val="9"/>
            <color indexed="81"/>
            <rFont val="Tahoma"/>
            <family val="2"/>
          </rPr>
          <t>Solver found a solution. All constraints and optimality conditions are satisfied.</t>
        </r>
      </text>
    </comment>
    <comment ref="B173" authorId="0" shapeId="0" xr:uid="{81C66E69-39AD-433B-B104-745CD80004B0}">
      <text>
        <r>
          <rPr>
            <sz val="9"/>
            <color indexed="81"/>
            <rFont val="Tahoma"/>
            <family val="2"/>
          </rPr>
          <t>Solver found a solution. All constraints and optimality conditions are satisfied.</t>
        </r>
      </text>
    </comment>
    <comment ref="B174" authorId="0" shapeId="0" xr:uid="{843CD6BF-BA12-4850-B182-6A2C4F425367}">
      <text>
        <r>
          <rPr>
            <sz val="9"/>
            <color indexed="81"/>
            <rFont val="Tahoma"/>
            <family val="2"/>
          </rPr>
          <t>Solver found a solution. All constraints and optimality conditions are satisfied.</t>
        </r>
      </text>
    </comment>
    <comment ref="B175" authorId="0" shapeId="0" xr:uid="{9449394A-2BE1-4F50-860C-69DBD6801457}">
      <text>
        <r>
          <rPr>
            <sz val="9"/>
            <color indexed="81"/>
            <rFont val="Tahoma"/>
            <family val="2"/>
          </rPr>
          <t>Solver found a solution. All constraints and optimality conditions are satisfied.</t>
        </r>
      </text>
    </comment>
    <comment ref="B176" authorId="0" shapeId="0" xr:uid="{377F4B3F-0432-48BB-B31E-566036CC41F7}">
      <text>
        <r>
          <rPr>
            <sz val="9"/>
            <color indexed="81"/>
            <rFont val="Tahoma"/>
            <family val="2"/>
          </rPr>
          <t>Solver found a solution. All constraints and optimality conditions are satisfied.</t>
        </r>
      </text>
    </comment>
    <comment ref="B177" authorId="0" shapeId="0" xr:uid="{7B95D176-011B-4794-84CC-D08495DECE44}">
      <text>
        <r>
          <rPr>
            <sz val="9"/>
            <color indexed="81"/>
            <rFont val="Tahoma"/>
            <family val="2"/>
          </rPr>
          <t>Solver found a solution. All constraints and optimality conditions are satisfied.</t>
        </r>
      </text>
    </comment>
    <comment ref="B178" authorId="0" shapeId="0" xr:uid="{9DFCC259-57EA-48F0-8369-F1D7134B803B}">
      <text>
        <r>
          <rPr>
            <sz val="9"/>
            <color indexed="81"/>
            <rFont val="Tahoma"/>
            <family val="2"/>
          </rPr>
          <t>Solver found a solution. All constraints and optimality conditions are satisfied.</t>
        </r>
      </text>
    </comment>
    <comment ref="B179" authorId="0" shapeId="0" xr:uid="{7AEFE27E-28DC-41EF-A7A8-0516682551E2}">
      <text>
        <r>
          <rPr>
            <sz val="9"/>
            <color indexed="81"/>
            <rFont val="Tahoma"/>
            <family val="2"/>
          </rPr>
          <t>Solver found a solution. All constraints and optimality conditions are satisfied.</t>
        </r>
      </text>
    </comment>
    <comment ref="B180" authorId="0" shapeId="0" xr:uid="{7E19DDFA-C761-47F6-B5CD-E430C1E7B1FE}">
      <text>
        <r>
          <rPr>
            <sz val="9"/>
            <color indexed="81"/>
            <rFont val="Tahoma"/>
            <family val="2"/>
          </rPr>
          <t>Solver found a solution. All constraints and optimality conditions are satisfied.</t>
        </r>
      </text>
    </comment>
    <comment ref="B181" authorId="0" shapeId="0" xr:uid="{09F7EC98-4795-4264-9129-868D04D65554}">
      <text>
        <r>
          <rPr>
            <sz val="9"/>
            <color indexed="81"/>
            <rFont val="Tahoma"/>
            <family val="2"/>
          </rPr>
          <t>Solver found a solution. All constraints and optimality conditions are satisfied.</t>
        </r>
      </text>
    </comment>
    <comment ref="B182" authorId="0" shapeId="0" xr:uid="{940CBFDD-1DE6-46EB-9D0E-4ADED605D258}">
      <text>
        <r>
          <rPr>
            <sz val="9"/>
            <color indexed="81"/>
            <rFont val="Tahoma"/>
            <family val="2"/>
          </rPr>
          <t>Solver found a solution. All constraints and optimality conditions are satisfied.</t>
        </r>
      </text>
    </comment>
    <comment ref="B183" authorId="0" shapeId="0" xr:uid="{CB42A495-BD56-46B8-9BD1-4B2ED4A500B4}">
      <text>
        <r>
          <rPr>
            <sz val="9"/>
            <color indexed="81"/>
            <rFont val="Tahoma"/>
            <family val="2"/>
          </rPr>
          <t>Solver found a solution. All constraints and optimality conditions are satisfied.</t>
        </r>
      </text>
    </comment>
    <comment ref="B184" authorId="0" shapeId="0" xr:uid="{433B40BE-F6DF-4E64-9FAC-66430B9D8D6E}">
      <text>
        <r>
          <rPr>
            <sz val="9"/>
            <color indexed="81"/>
            <rFont val="Tahoma"/>
            <family val="2"/>
          </rPr>
          <t>Solver found a solution. All constraints and optimality conditions are satisfied.</t>
        </r>
      </text>
    </comment>
    <comment ref="B185" authorId="0" shapeId="0" xr:uid="{B742E9F3-BB16-4AAC-BC82-DF245781D9C7}">
      <text>
        <r>
          <rPr>
            <sz val="9"/>
            <color indexed="81"/>
            <rFont val="Tahoma"/>
            <family val="2"/>
          </rPr>
          <t>Solver found a solution. All constraints and optimality conditions are satisfied.</t>
        </r>
      </text>
    </comment>
    <comment ref="B186" authorId="0" shapeId="0" xr:uid="{2CC821DF-D626-4742-82B6-A66309A7F383}">
      <text>
        <r>
          <rPr>
            <sz val="9"/>
            <color indexed="81"/>
            <rFont val="Tahoma"/>
            <family val="2"/>
          </rPr>
          <t>Solver found a solution. All constraints and optimality conditions are satisfied.</t>
        </r>
      </text>
    </comment>
    <comment ref="B187" authorId="0" shapeId="0" xr:uid="{891DEC4D-2D8A-4B9A-A396-7167CF2948B3}">
      <text>
        <r>
          <rPr>
            <sz val="9"/>
            <color indexed="81"/>
            <rFont val="Tahoma"/>
            <family val="2"/>
          </rPr>
          <t>Solver found a solution. All constraints and optimality conditions are satisfied.</t>
        </r>
      </text>
    </comment>
    <comment ref="B188" authorId="0" shapeId="0" xr:uid="{C11E0ED9-1668-4CE5-8A3D-E0A495942CCB}">
      <text>
        <r>
          <rPr>
            <sz val="9"/>
            <color indexed="81"/>
            <rFont val="Tahoma"/>
            <family val="2"/>
          </rPr>
          <t>Solver found a solution. All constraints and optimality conditions are satisfied.</t>
        </r>
      </text>
    </comment>
    <comment ref="B189" authorId="0" shapeId="0" xr:uid="{9B55CC45-8DB4-4CCA-B125-A1DCBEF7D7BF}">
      <text>
        <r>
          <rPr>
            <sz val="9"/>
            <color indexed="81"/>
            <rFont val="Tahoma"/>
            <family val="2"/>
          </rPr>
          <t>Solver found a solution. All constraints and optimality conditions are satisfied.</t>
        </r>
      </text>
    </comment>
    <comment ref="B190" authorId="0" shapeId="0" xr:uid="{7D011256-BF11-4188-8807-3182B50A1B48}">
      <text>
        <r>
          <rPr>
            <sz val="9"/>
            <color indexed="81"/>
            <rFont val="Tahoma"/>
            <family val="2"/>
          </rPr>
          <t>Solver found a solution. All constraints and optimality conditions are satisfied.</t>
        </r>
      </text>
    </comment>
    <comment ref="B191" authorId="0" shapeId="0" xr:uid="{E8F5E6A5-8940-45C4-9575-EA6FD49E1B6A}">
      <text>
        <r>
          <rPr>
            <sz val="9"/>
            <color indexed="81"/>
            <rFont val="Tahoma"/>
            <family val="2"/>
          </rPr>
          <t>Solver found a solution. All constraints and optimality conditions are satisfied.</t>
        </r>
      </text>
    </comment>
    <comment ref="B192" authorId="0" shapeId="0" xr:uid="{3621419F-A122-4D9D-B863-5C695170B07F}">
      <text>
        <r>
          <rPr>
            <sz val="9"/>
            <color indexed="81"/>
            <rFont val="Tahoma"/>
            <family val="2"/>
          </rPr>
          <t>Solver found a solution. All constraints and optimality conditions are satisfied.</t>
        </r>
      </text>
    </comment>
    <comment ref="B193" authorId="0" shapeId="0" xr:uid="{85194008-BCF5-438F-93C2-8763ECB06A34}">
      <text>
        <r>
          <rPr>
            <sz val="9"/>
            <color indexed="81"/>
            <rFont val="Tahoma"/>
            <family val="2"/>
          </rPr>
          <t>Solver found a solution. All constraints and optimality conditions are satisfied.</t>
        </r>
      </text>
    </comment>
    <comment ref="B194" authorId="0" shapeId="0" xr:uid="{184AB37B-D311-4611-9233-BD5800EC3FF1}">
      <text>
        <r>
          <rPr>
            <sz val="9"/>
            <color indexed="81"/>
            <rFont val="Tahoma"/>
            <family val="2"/>
          </rPr>
          <t>Solver found a solution. All constraints and optimality conditions are satisfied.</t>
        </r>
      </text>
    </comment>
    <comment ref="B195" authorId="0" shapeId="0" xr:uid="{62A82A91-B590-401C-9556-CBA5CCFA1B32}">
      <text>
        <r>
          <rPr>
            <sz val="9"/>
            <color indexed="81"/>
            <rFont val="Tahoma"/>
            <family val="2"/>
          </rPr>
          <t>Solver found a solution. All constraints and optimality conditions are satisfied.</t>
        </r>
      </text>
    </comment>
    <comment ref="B196" authorId="0" shapeId="0" xr:uid="{3407409B-AB6B-4E2D-A707-A64118F7C2B7}">
      <text>
        <r>
          <rPr>
            <sz val="9"/>
            <color indexed="81"/>
            <rFont val="Tahoma"/>
            <family val="2"/>
          </rPr>
          <t>Solver found a solution. All constraints and optimality conditions are satisfied.</t>
        </r>
      </text>
    </comment>
    <comment ref="B197" authorId="0" shapeId="0" xr:uid="{9286F898-5AE7-4BEE-80CF-45D2EF3B528B}">
      <text>
        <r>
          <rPr>
            <sz val="9"/>
            <color indexed="81"/>
            <rFont val="Tahoma"/>
            <family val="2"/>
          </rPr>
          <t>Solver found a solution. All constraints and optimality conditions are satisfied.</t>
        </r>
      </text>
    </comment>
    <comment ref="B198" authorId="0" shapeId="0" xr:uid="{852377A7-E6BC-4D16-A719-1856974003BE}">
      <text>
        <r>
          <rPr>
            <sz val="9"/>
            <color indexed="81"/>
            <rFont val="Tahoma"/>
            <family val="2"/>
          </rPr>
          <t>Solver found a solution. All constraints and optimality conditions are satisfied.</t>
        </r>
      </text>
    </comment>
    <comment ref="B199" authorId="0" shapeId="0" xr:uid="{A1BB3BB8-B7D6-45B7-B783-B3DA7962EE63}">
      <text>
        <r>
          <rPr>
            <sz val="9"/>
            <color indexed="81"/>
            <rFont val="Tahoma"/>
            <family val="2"/>
          </rPr>
          <t>Solver found a solution. All constraints and optimality conditions are satisfied.</t>
        </r>
      </text>
    </comment>
    <comment ref="B200" authorId="0" shapeId="0" xr:uid="{78A00EE1-6D57-4246-9D15-AF39F55C9E4B}">
      <text>
        <r>
          <rPr>
            <sz val="9"/>
            <color indexed="81"/>
            <rFont val="Tahoma"/>
            <family val="2"/>
          </rPr>
          <t>Solver found a solution. All constraints and optimality conditions are satisfied.</t>
        </r>
      </text>
    </comment>
    <comment ref="B201" authorId="0" shapeId="0" xr:uid="{58029860-5F7D-4899-8355-D5BCB380F690}">
      <text>
        <r>
          <rPr>
            <sz val="9"/>
            <color indexed="81"/>
            <rFont val="Tahoma"/>
            <family val="2"/>
          </rPr>
          <t>Solver found a solution. All constraints and optimality conditions are satisfied.</t>
        </r>
      </text>
    </comment>
    <comment ref="B202" authorId="0" shapeId="0" xr:uid="{64B87017-A8F1-4EE4-B8EB-94D1F2B469AA}">
      <text>
        <r>
          <rPr>
            <sz val="9"/>
            <color indexed="81"/>
            <rFont val="Tahoma"/>
            <family val="2"/>
          </rPr>
          <t>Solver found a solution. All constraints and optimality conditions are satisfied.</t>
        </r>
      </text>
    </comment>
    <comment ref="B203" authorId="0" shapeId="0" xr:uid="{983CFE9B-AD3C-4AB1-A8F9-85D2F5515B54}">
      <text>
        <r>
          <rPr>
            <sz val="9"/>
            <color indexed="81"/>
            <rFont val="Tahoma"/>
            <family val="2"/>
          </rPr>
          <t>Solver found a solution. All constraints and optimality conditions are satisfied.</t>
        </r>
      </text>
    </comment>
    <comment ref="B204" authorId="0" shapeId="0" xr:uid="{38250DAC-099D-41FE-8A42-3E5F94006413}">
      <text>
        <r>
          <rPr>
            <sz val="9"/>
            <color indexed="81"/>
            <rFont val="Tahoma"/>
            <family val="2"/>
          </rPr>
          <t>Solver found a solution. All constraints and optimality conditions are satisfied.</t>
        </r>
      </text>
    </comment>
    <comment ref="B205" authorId="0" shapeId="0" xr:uid="{F1EB0DA3-3ABF-40CC-A5A4-D9E787D60D6D}">
      <text>
        <r>
          <rPr>
            <sz val="9"/>
            <color indexed="81"/>
            <rFont val="Tahoma"/>
            <family val="2"/>
          </rPr>
          <t>Solver found a solution. All constraints and optimality conditions are satisfied.</t>
        </r>
      </text>
    </comment>
    <comment ref="B206" authorId="0" shapeId="0" xr:uid="{65FD9C31-01E6-4F66-BEDA-46A2B294AD06}">
      <text>
        <r>
          <rPr>
            <sz val="9"/>
            <color indexed="81"/>
            <rFont val="Tahoma"/>
            <family val="2"/>
          </rPr>
          <t>Solver found a solution. All constraints and optimality conditions are satisfied.</t>
        </r>
      </text>
    </comment>
    <comment ref="B207" authorId="0" shapeId="0" xr:uid="{E180ADF7-FF38-4CAC-B24D-FE4D2467FC30}">
      <text>
        <r>
          <rPr>
            <sz val="9"/>
            <color indexed="81"/>
            <rFont val="Tahoma"/>
            <family val="2"/>
          </rPr>
          <t>Solver found a solution. All constraints and optimality conditions are satisfied.</t>
        </r>
      </text>
    </comment>
    <comment ref="B208" authorId="0" shapeId="0" xr:uid="{7A98B740-7CC2-4AAB-BDB7-BF9871070A1F}">
      <text>
        <r>
          <rPr>
            <sz val="9"/>
            <color indexed="81"/>
            <rFont val="Tahoma"/>
            <family val="2"/>
          </rPr>
          <t>Solver found a solution. All constraints and optimality conditions are satisfied.</t>
        </r>
      </text>
    </comment>
    <comment ref="B209" authorId="0" shapeId="0" xr:uid="{32A29AC7-16E3-4C82-B29E-9C5C16D90E1E}">
      <text>
        <r>
          <rPr>
            <sz val="9"/>
            <color indexed="81"/>
            <rFont val="Tahoma"/>
            <family val="2"/>
          </rPr>
          <t>Solver found a solution. All constraints and optimality conditions are satisfied.</t>
        </r>
      </text>
    </comment>
    <comment ref="B210" authorId="0" shapeId="0" xr:uid="{5ACF16D9-98C0-4F9D-8EF7-29E66934169D}">
      <text>
        <r>
          <rPr>
            <sz val="9"/>
            <color indexed="81"/>
            <rFont val="Tahoma"/>
            <family val="2"/>
          </rPr>
          <t>Solver found a solution. All constraints and optimality conditions are satisfied.</t>
        </r>
      </text>
    </comment>
    <comment ref="B211" authorId="0" shapeId="0" xr:uid="{2D3C34F6-6DCC-4F80-80F3-2964C7F40288}">
      <text>
        <r>
          <rPr>
            <sz val="9"/>
            <color indexed="81"/>
            <rFont val="Tahoma"/>
            <family val="2"/>
          </rPr>
          <t>Solver found a solution. All constraints and optimality conditions are satisfied.</t>
        </r>
      </text>
    </comment>
    <comment ref="B212" authorId="0" shapeId="0" xr:uid="{EB7AA0E3-B029-4739-8BD6-EB1BC20AB0EA}">
      <text>
        <r>
          <rPr>
            <sz val="9"/>
            <color indexed="81"/>
            <rFont val="Tahoma"/>
            <family val="2"/>
          </rPr>
          <t>Solver found a solution. All constraints and optimality conditions are satisfied.</t>
        </r>
      </text>
    </comment>
    <comment ref="B213" authorId="0" shapeId="0" xr:uid="{E8A037FE-7C67-47D6-8CAC-E0628173FF4F}">
      <text>
        <r>
          <rPr>
            <sz val="9"/>
            <color indexed="81"/>
            <rFont val="Tahoma"/>
            <family val="2"/>
          </rPr>
          <t>Solver found a solution. All constraints and optimality conditions are satisfied.</t>
        </r>
      </text>
    </comment>
    <comment ref="B214" authorId="0" shapeId="0" xr:uid="{62326B80-1CE6-413F-8C6E-5613C1308E02}">
      <text>
        <r>
          <rPr>
            <sz val="9"/>
            <color indexed="81"/>
            <rFont val="Tahoma"/>
            <family val="2"/>
          </rPr>
          <t>Solver found a solution. All constraints and optimality conditions are satisfied.</t>
        </r>
      </text>
    </comment>
    <comment ref="B215" authorId="0" shapeId="0" xr:uid="{2ACDE5A9-0B46-4B56-81B1-7F3003BD2999}">
      <text>
        <r>
          <rPr>
            <sz val="9"/>
            <color indexed="81"/>
            <rFont val="Tahoma"/>
            <family val="2"/>
          </rPr>
          <t>Solver found a solution. All constraints and optimality conditions are satisfied.</t>
        </r>
      </text>
    </comment>
    <comment ref="B216" authorId="0" shapeId="0" xr:uid="{F871A5F6-7BA8-4C82-8D38-8191F036EEEA}">
      <text>
        <r>
          <rPr>
            <sz val="9"/>
            <color indexed="81"/>
            <rFont val="Tahoma"/>
            <family val="2"/>
          </rPr>
          <t>Solver found a solution. All constraints and optimality conditions are satisfied.</t>
        </r>
      </text>
    </comment>
    <comment ref="B217" authorId="0" shapeId="0" xr:uid="{5717EEE3-A0CA-408E-AF01-8DF2D1E3CE27}">
      <text>
        <r>
          <rPr>
            <sz val="9"/>
            <color indexed="81"/>
            <rFont val="Tahoma"/>
            <family val="2"/>
          </rPr>
          <t>Solver found a solution. All constraints and optimality conditions are satisfied.</t>
        </r>
      </text>
    </comment>
    <comment ref="B218" authorId="0" shapeId="0" xr:uid="{AC8B59E3-694C-4647-BAB5-D5D6F0BC6BE2}">
      <text>
        <r>
          <rPr>
            <sz val="9"/>
            <color indexed="81"/>
            <rFont val="Tahoma"/>
            <family val="2"/>
          </rPr>
          <t>Solver found a solution. All constraints and optimality conditions are satisfied.</t>
        </r>
      </text>
    </comment>
    <comment ref="B219" authorId="0" shapeId="0" xr:uid="{B1BEBC27-BC32-4000-A306-0F933DB50C70}">
      <text>
        <r>
          <rPr>
            <sz val="9"/>
            <color indexed="81"/>
            <rFont val="Tahoma"/>
            <family val="2"/>
          </rPr>
          <t>Solver found a solution. All constraints and optimality conditions are satisfied.</t>
        </r>
      </text>
    </comment>
    <comment ref="B220" authorId="0" shapeId="0" xr:uid="{FF9E9174-E0E4-41B7-8FBE-67B923EE23A8}">
      <text>
        <r>
          <rPr>
            <sz val="9"/>
            <color indexed="81"/>
            <rFont val="Tahoma"/>
            <family val="2"/>
          </rPr>
          <t>Solver found a solution. All constraints and optimality conditions are satisfied.</t>
        </r>
      </text>
    </comment>
    <comment ref="B221" authorId="0" shapeId="0" xr:uid="{7DC61C8F-0CD7-4C8E-AF4E-750F8A7458E8}">
      <text>
        <r>
          <rPr>
            <sz val="9"/>
            <color indexed="81"/>
            <rFont val="Tahoma"/>
            <family val="2"/>
          </rPr>
          <t>Solver found a solution. All constraints and optimality conditions are satisfied.</t>
        </r>
      </text>
    </comment>
    <comment ref="B222" authorId="0" shapeId="0" xr:uid="{1A1FED90-6AF4-41C4-834F-4FC5318B6600}">
      <text>
        <r>
          <rPr>
            <sz val="9"/>
            <color indexed="81"/>
            <rFont val="Tahoma"/>
            <family val="2"/>
          </rPr>
          <t>Solver found a solution. All constraints and optimality conditions are satisfied.</t>
        </r>
      </text>
    </comment>
    <comment ref="B223" authorId="0" shapeId="0" xr:uid="{39506AF6-FF33-4B97-99A1-EBA4614DB31A}">
      <text>
        <r>
          <rPr>
            <sz val="9"/>
            <color indexed="81"/>
            <rFont val="Tahoma"/>
            <family val="2"/>
          </rPr>
          <t>Solver found a solution. All constraints and optimality conditions are satisfied.</t>
        </r>
      </text>
    </comment>
    <comment ref="B224" authorId="0" shapeId="0" xr:uid="{09E341A5-221A-4AAE-AC83-D98075B8A0B5}">
      <text>
        <r>
          <rPr>
            <sz val="9"/>
            <color indexed="81"/>
            <rFont val="Tahoma"/>
            <family val="2"/>
          </rPr>
          <t>Solver found a solution. All constraints and optimality conditions are satisfied.</t>
        </r>
      </text>
    </comment>
    <comment ref="B225" authorId="0" shapeId="0" xr:uid="{DF7970BA-741E-49FD-A941-95099ECEF63E}">
      <text>
        <r>
          <rPr>
            <sz val="9"/>
            <color indexed="81"/>
            <rFont val="Tahoma"/>
            <family val="2"/>
          </rPr>
          <t>Solver found a solution. All constraints and optimality conditions are satisfied.</t>
        </r>
      </text>
    </comment>
    <comment ref="B226" authorId="0" shapeId="0" xr:uid="{0023E106-622B-4C1C-9D87-CB90ED712785}">
      <text>
        <r>
          <rPr>
            <sz val="9"/>
            <color indexed="81"/>
            <rFont val="Tahoma"/>
            <family val="2"/>
          </rPr>
          <t>Solver found a solution. All constraints and optimality conditions are satisfied.</t>
        </r>
      </text>
    </comment>
    <comment ref="B227" authorId="0" shapeId="0" xr:uid="{5CCCCCAB-1252-4499-A970-1E84B3D40250}">
      <text>
        <r>
          <rPr>
            <sz val="9"/>
            <color indexed="81"/>
            <rFont val="Tahoma"/>
            <family val="2"/>
          </rPr>
          <t>Solver found a solution. All constraints and optimality conditions are satisfied.</t>
        </r>
      </text>
    </comment>
    <comment ref="B228" authorId="0" shapeId="0" xr:uid="{9C301744-0F46-498C-8A33-5F93AB63CBD2}">
      <text>
        <r>
          <rPr>
            <sz val="9"/>
            <color indexed="81"/>
            <rFont val="Tahoma"/>
            <family val="2"/>
          </rPr>
          <t>Solver found a solution. All constraints and optimality conditions are satisfied.</t>
        </r>
      </text>
    </comment>
    <comment ref="B229" authorId="0" shapeId="0" xr:uid="{C78EA727-3617-4D8E-AF8D-D236578E7CE1}">
      <text>
        <r>
          <rPr>
            <sz val="9"/>
            <color indexed="81"/>
            <rFont val="Tahoma"/>
            <family val="2"/>
          </rPr>
          <t>Solver found a solution. All constraints and optimality conditions are satisfied.</t>
        </r>
      </text>
    </comment>
    <comment ref="B230" authorId="0" shapeId="0" xr:uid="{05148AD5-5CD4-4979-BF3D-AB726775299F}">
      <text>
        <r>
          <rPr>
            <sz val="9"/>
            <color indexed="81"/>
            <rFont val="Tahoma"/>
            <family val="2"/>
          </rPr>
          <t>Solver found a solution. All constraints and optimality conditions are satisfied.</t>
        </r>
      </text>
    </comment>
    <comment ref="B231" authorId="0" shapeId="0" xr:uid="{63BAFE37-8A7D-4162-95EA-984622E4CBFE}">
      <text>
        <r>
          <rPr>
            <sz val="9"/>
            <color indexed="81"/>
            <rFont val="Tahoma"/>
            <family val="2"/>
          </rPr>
          <t>Solver found a solution. All constraints and optimality conditions are satisfied.</t>
        </r>
      </text>
    </comment>
    <comment ref="B232" authorId="0" shapeId="0" xr:uid="{52345010-F775-43D2-B033-1AFA3C2B5854}">
      <text>
        <r>
          <rPr>
            <sz val="9"/>
            <color indexed="81"/>
            <rFont val="Tahoma"/>
            <family val="2"/>
          </rPr>
          <t>Solver found a solution. All constraints and optimality conditions are satisfied.</t>
        </r>
      </text>
    </comment>
    <comment ref="B233" authorId="0" shapeId="0" xr:uid="{45327ED2-C76A-4339-9600-CFAB9EB39B15}">
      <text>
        <r>
          <rPr>
            <sz val="9"/>
            <color indexed="81"/>
            <rFont val="Tahoma"/>
            <family val="2"/>
          </rPr>
          <t>Solver found a solution. All constraints and optimality conditions are satisfied.</t>
        </r>
      </text>
    </comment>
    <comment ref="B234" authorId="0" shapeId="0" xr:uid="{000D82C0-0789-4DF3-BE62-D65306F8A8C8}">
      <text>
        <r>
          <rPr>
            <sz val="9"/>
            <color indexed="81"/>
            <rFont val="Tahoma"/>
            <family val="2"/>
          </rPr>
          <t>Solver found a solution. All constraints and optimality conditions are satisfied.</t>
        </r>
      </text>
    </comment>
    <comment ref="B235" authorId="0" shapeId="0" xr:uid="{F6485909-3851-4AA9-BC5F-6EF8B0213B82}">
      <text>
        <r>
          <rPr>
            <sz val="9"/>
            <color indexed="81"/>
            <rFont val="Tahoma"/>
            <family val="2"/>
          </rPr>
          <t>Solver found a solution. All constraints and optimality conditions are satisfied.</t>
        </r>
      </text>
    </comment>
    <comment ref="B236" authorId="0" shapeId="0" xr:uid="{50A61AE5-5158-4748-887B-14D98013C95E}">
      <text>
        <r>
          <rPr>
            <sz val="9"/>
            <color indexed="81"/>
            <rFont val="Tahoma"/>
            <family val="2"/>
          </rPr>
          <t>Solver found a solution. All constraints and optimality conditions are satisfied.</t>
        </r>
      </text>
    </comment>
    <comment ref="B237" authorId="0" shapeId="0" xr:uid="{A10D6892-57D3-4F1F-8F89-AE778104E267}">
      <text>
        <r>
          <rPr>
            <sz val="9"/>
            <color indexed="81"/>
            <rFont val="Tahoma"/>
            <family val="2"/>
          </rPr>
          <t>Solver found a solution. All constraints and optimality conditions are satisfied.</t>
        </r>
      </text>
    </comment>
    <comment ref="B238" authorId="0" shapeId="0" xr:uid="{EF8D0B48-16A5-4DA3-A4A9-7F9EE96C3CEE}">
      <text>
        <r>
          <rPr>
            <sz val="9"/>
            <color indexed="81"/>
            <rFont val="Tahoma"/>
            <family val="2"/>
          </rPr>
          <t>Solver found a solution. All constraints and optimality conditions are satisfied.</t>
        </r>
      </text>
    </comment>
    <comment ref="B239" authorId="0" shapeId="0" xr:uid="{D57460E7-0745-43FE-8FC0-EAB22211D12A}">
      <text>
        <r>
          <rPr>
            <sz val="9"/>
            <color indexed="81"/>
            <rFont val="Tahoma"/>
            <family val="2"/>
          </rPr>
          <t>Solver found a solution. All constraints and optimality conditions are satisfied.</t>
        </r>
      </text>
    </comment>
    <comment ref="B240" authorId="0" shapeId="0" xr:uid="{DFEA5BDA-F2FD-4900-B6C6-3141C3F7E623}">
      <text>
        <r>
          <rPr>
            <sz val="9"/>
            <color indexed="81"/>
            <rFont val="Tahoma"/>
            <family val="2"/>
          </rPr>
          <t>Solver found a solution. All constraints and optimality conditions are satisfied.</t>
        </r>
      </text>
    </comment>
    <comment ref="B241" authorId="0" shapeId="0" xr:uid="{5D8D57CC-5322-42EA-96A5-3677BC04DD31}">
      <text>
        <r>
          <rPr>
            <sz val="9"/>
            <color indexed="81"/>
            <rFont val="Tahoma"/>
            <family val="2"/>
          </rPr>
          <t>Solver found a solution. All constraints and optimality conditions are satisfied.</t>
        </r>
      </text>
    </comment>
    <comment ref="B242" authorId="0" shapeId="0" xr:uid="{CC49BB82-F4B4-4FBB-A5A9-46F5DD5AA4CA}">
      <text>
        <r>
          <rPr>
            <sz val="9"/>
            <color indexed="81"/>
            <rFont val="Tahoma"/>
            <family val="2"/>
          </rPr>
          <t>Solver found a solution. All constraints and optimality conditions are satisfied.</t>
        </r>
      </text>
    </comment>
    <comment ref="B243" authorId="0" shapeId="0" xr:uid="{4CE1CB43-9048-4C1B-A404-E67306F3E234}">
      <text>
        <r>
          <rPr>
            <sz val="9"/>
            <color indexed="81"/>
            <rFont val="Tahoma"/>
            <family val="2"/>
          </rPr>
          <t>Solver found a solution. All constraints and optimality conditions are satisfied.</t>
        </r>
      </text>
    </comment>
    <comment ref="B244" authorId="0" shapeId="0" xr:uid="{3E635011-AACA-4777-AA21-E73B56D3771A}">
      <text>
        <r>
          <rPr>
            <sz val="9"/>
            <color indexed="81"/>
            <rFont val="Tahoma"/>
            <family val="2"/>
          </rPr>
          <t>Solver found a solution. All constraints and optimality conditions are satisfied.</t>
        </r>
      </text>
    </comment>
    <comment ref="B245" authorId="0" shapeId="0" xr:uid="{3B8277F1-13C6-45AE-BFDA-4BBC46212C52}">
      <text>
        <r>
          <rPr>
            <sz val="9"/>
            <color indexed="81"/>
            <rFont val="Tahoma"/>
            <family val="2"/>
          </rPr>
          <t>Solver found a solution. All constraints and optimality conditions are satisfied.</t>
        </r>
      </text>
    </comment>
    <comment ref="B246" authorId="0" shapeId="0" xr:uid="{E33710A6-E878-44E0-8938-348A52E8C64C}">
      <text>
        <r>
          <rPr>
            <sz val="9"/>
            <color indexed="81"/>
            <rFont val="Tahoma"/>
            <family val="2"/>
          </rPr>
          <t>Solver found a solution. All constraints and optimality conditions are satisfied.</t>
        </r>
      </text>
    </comment>
    <comment ref="B247" authorId="0" shapeId="0" xr:uid="{2C39F3F7-CEF7-4AA0-A0D8-DD8051B530CA}">
      <text>
        <r>
          <rPr>
            <sz val="9"/>
            <color indexed="81"/>
            <rFont val="Tahoma"/>
            <family val="2"/>
          </rPr>
          <t>Solver found a solution. All constraints and optimality conditions are satisfied.</t>
        </r>
      </text>
    </comment>
    <comment ref="B248" authorId="0" shapeId="0" xr:uid="{F5C61086-9C0F-47F4-B355-B3FF12951A32}">
      <text>
        <r>
          <rPr>
            <sz val="9"/>
            <color indexed="81"/>
            <rFont val="Tahoma"/>
            <family val="2"/>
          </rPr>
          <t>Solver found a solution. All constraints and optimality conditions are satisfied.</t>
        </r>
      </text>
    </comment>
    <comment ref="B249" authorId="0" shapeId="0" xr:uid="{D42CE620-509E-4DF0-8288-8317763630B4}">
      <text>
        <r>
          <rPr>
            <sz val="9"/>
            <color indexed="81"/>
            <rFont val="Tahoma"/>
            <family val="2"/>
          </rPr>
          <t>Solver found a solution. All constraints and optimality conditions are satisfied.</t>
        </r>
      </text>
    </comment>
    <comment ref="B250" authorId="0" shapeId="0" xr:uid="{59848487-EABA-4AF4-8F16-167729E97B8F}">
      <text>
        <r>
          <rPr>
            <sz val="9"/>
            <color indexed="81"/>
            <rFont val="Tahoma"/>
            <family val="2"/>
          </rPr>
          <t>Solver found a solution. All constraints and optimality conditions are satisfied.</t>
        </r>
      </text>
    </comment>
    <comment ref="B251" authorId="0" shapeId="0" xr:uid="{BD4A812D-539D-404F-BD0E-0A5BD61490F9}">
      <text>
        <r>
          <rPr>
            <sz val="9"/>
            <color indexed="81"/>
            <rFont val="Tahoma"/>
            <family val="2"/>
          </rPr>
          <t>Solver found a solution. All constraints and optimality conditions are satisfied.</t>
        </r>
      </text>
    </comment>
    <comment ref="B252" authorId="0" shapeId="0" xr:uid="{47A8DD7A-7714-4726-A1AF-B36C88365525}">
      <text>
        <r>
          <rPr>
            <sz val="9"/>
            <color indexed="81"/>
            <rFont val="Tahoma"/>
            <family val="2"/>
          </rPr>
          <t>Solver found a solution. All constraints and optimality conditions are satisfied.</t>
        </r>
      </text>
    </comment>
    <comment ref="B253" authorId="0" shapeId="0" xr:uid="{21EABF00-F69F-4477-9772-DA5F9CD8983E}">
      <text>
        <r>
          <rPr>
            <sz val="9"/>
            <color indexed="81"/>
            <rFont val="Tahoma"/>
            <family val="2"/>
          </rPr>
          <t>Solver found a solution. All constraints and optimality conditions are satisfied.</t>
        </r>
      </text>
    </comment>
    <comment ref="B254" authorId="0" shapeId="0" xr:uid="{8DFBF87C-BCD1-4957-8FC5-D5CC85F16BE9}">
      <text>
        <r>
          <rPr>
            <sz val="9"/>
            <color indexed="81"/>
            <rFont val="Tahoma"/>
            <family val="2"/>
          </rPr>
          <t>Solver found a solution. All constraints and optimality conditions are satisfied.</t>
        </r>
      </text>
    </comment>
    <comment ref="B255" authorId="0" shapeId="0" xr:uid="{9C890E98-AD97-4854-977E-45E896B4D4BF}">
      <text>
        <r>
          <rPr>
            <sz val="9"/>
            <color indexed="81"/>
            <rFont val="Tahoma"/>
            <family val="2"/>
          </rPr>
          <t>Solver found a solution. All constraints and optimality conditions are satisfied.</t>
        </r>
      </text>
    </comment>
    <comment ref="B256" authorId="0" shapeId="0" xr:uid="{26F79D0B-8A4C-40E4-9235-174F2D76369E}">
      <text>
        <r>
          <rPr>
            <sz val="9"/>
            <color indexed="81"/>
            <rFont val="Tahoma"/>
            <family val="2"/>
          </rPr>
          <t>Solver found a solution. All constraints and optimality conditions are satisfied.</t>
        </r>
      </text>
    </comment>
    <comment ref="B257" authorId="0" shapeId="0" xr:uid="{A696106D-B844-439C-940A-C7A08E4B796E}">
      <text>
        <r>
          <rPr>
            <sz val="9"/>
            <color indexed="81"/>
            <rFont val="Tahoma"/>
            <family val="2"/>
          </rPr>
          <t>Solver found a solution. All constraints and optimality conditions are satisfied.</t>
        </r>
      </text>
    </comment>
    <comment ref="B258" authorId="0" shapeId="0" xr:uid="{8935357F-2B05-48F4-87EF-7F2FC93F59CB}">
      <text>
        <r>
          <rPr>
            <sz val="9"/>
            <color indexed="81"/>
            <rFont val="Tahoma"/>
            <family val="2"/>
          </rPr>
          <t>Solver found a solution. All constraints and optimality conditions are satisfied.</t>
        </r>
      </text>
    </comment>
    <comment ref="B259" authorId="0" shapeId="0" xr:uid="{E9C903E2-61BC-4CA5-9F00-038472E9AAD5}">
      <text>
        <r>
          <rPr>
            <sz val="9"/>
            <color indexed="81"/>
            <rFont val="Tahoma"/>
            <family val="2"/>
          </rPr>
          <t>Solver found a solution. All constraints and optimality conditions are satisfied.</t>
        </r>
      </text>
    </comment>
    <comment ref="B260" authorId="0" shapeId="0" xr:uid="{D0D09F60-3ED7-4D6E-A1FB-546DA82BD272}">
      <text>
        <r>
          <rPr>
            <sz val="9"/>
            <color indexed="81"/>
            <rFont val="Tahoma"/>
            <family val="2"/>
          </rPr>
          <t>Solver found a solution. All constraints and optimality conditions are satisfied.</t>
        </r>
      </text>
    </comment>
    <comment ref="B261" authorId="0" shapeId="0" xr:uid="{DF32E1AA-CB31-4B25-B8ED-FCAE12886697}">
      <text>
        <r>
          <rPr>
            <sz val="9"/>
            <color indexed="81"/>
            <rFont val="Tahoma"/>
            <family val="2"/>
          </rPr>
          <t>Solver found a solution. All constraints and optimality conditions are satisfied.</t>
        </r>
      </text>
    </comment>
    <comment ref="B262" authorId="0" shapeId="0" xr:uid="{6CCD3258-F5AB-48AA-AB13-14ACAC57EDCB}">
      <text>
        <r>
          <rPr>
            <sz val="9"/>
            <color indexed="81"/>
            <rFont val="Tahoma"/>
            <family val="2"/>
          </rPr>
          <t>Solver found a solution. All constraints and optimality conditions are satisfied.</t>
        </r>
      </text>
    </comment>
    <comment ref="B263" authorId="0" shapeId="0" xr:uid="{80A294CE-AE46-4733-8056-1B98E6DEF503}">
      <text>
        <r>
          <rPr>
            <sz val="9"/>
            <color indexed="81"/>
            <rFont val="Tahoma"/>
            <family val="2"/>
          </rPr>
          <t>Solver found a solution. All constraints and optimality conditions are satisfied.</t>
        </r>
      </text>
    </comment>
    <comment ref="B264" authorId="0" shapeId="0" xr:uid="{022B87B3-7A65-413E-B4FE-91288F4C93DA}">
      <text>
        <r>
          <rPr>
            <sz val="9"/>
            <color indexed="81"/>
            <rFont val="Tahoma"/>
            <family val="2"/>
          </rPr>
          <t>Solver found a solution. All constraints and optimality conditions are satisfied.</t>
        </r>
      </text>
    </comment>
    <comment ref="B265" authorId="0" shapeId="0" xr:uid="{58507485-1768-430C-8555-E94B8E405AB2}">
      <text>
        <r>
          <rPr>
            <sz val="9"/>
            <color indexed="81"/>
            <rFont val="Tahoma"/>
            <family val="2"/>
          </rPr>
          <t>Solver found a solution. All constraints and optimality conditions are satisfied.</t>
        </r>
      </text>
    </comment>
    <comment ref="B266" authorId="0" shapeId="0" xr:uid="{0489A79A-1A3C-4A53-BCF6-F286B159666F}">
      <text>
        <r>
          <rPr>
            <sz val="9"/>
            <color indexed="81"/>
            <rFont val="Tahoma"/>
            <family val="2"/>
          </rPr>
          <t>Solver found a solution. All constraints and optimality conditions are satisfied.</t>
        </r>
      </text>
    </comment>
    <comment ref="B267" authorId="0" shapeId="0" xr:uid="{256D65A4-7D2F-4980-ABF0-F82E6399CB14}">
      <text>
        <r>
          <rPr>
            <sz val="9"/>
            <color indexed="81"/>
            <rFont val="Tahoma"/>
            <family val="2"/>
          </rPr>
          <t>Solver found a solution. All constraints and optimality conditions are satisfied.</t>
        </r>
      </text>
    </comment>
    <comment ref="B268" authorId="0" shapeId="0" xr:uid="{33C090FA-5CA6-4720-9F5E-6B7026ABA533}">
      <text>
        <r>
          <rPr>
            <sz val="9"/>
            <color indexed="81"/>
            <rFont val="Tahoma"/>
            <family val="2"/>
          </rPr>
          <t>Solver found a solution. All constraints and optimality conditions are satisfied.</t>
        </r>
      </text>
    </comment>
    <comment ref="B269" authorId="0" shapeId="0" xr:uid="{395593DC-BD21-438A-A5D1-884D208A430D}">
      <text>
        <r>
          <rPr>
            <sz val="9"/>
            <color indexed="81"/>
            <rFont val="Tahoma"/>
            <family val="2"/>
          </rPr>
          <t>Solver found a solution. All constraints and optimality conditions are satisfied.</t>
        </r>
      </text>
    </comment>
    <comment ref="B270" authorId="0" shapeId="0" xr:uid="{CB10BCA1-F9C7-401E-B97D-AF9F455D532D}">
      <text>
        <r>
          <rPr>
            <sz val="9"/>
            <color indexed="81"/>
            <rFont val="Tahoma"/>
            <family val="2"/>
          </rPr>
          <t>Solver found a solution. All constraints and optimality conditions are satisfied.</t>
        </r>
      </text>
    </comment>
    <comment ref="B271" authorId="0" shapeId="0" xr:uid="{C1D0BCC7-BCBC-4EFD-BA4A-9ADD74D7F118}">
      <text>
        <r>
          <rPr>
            <sz val="9"/>
            <color indexed="81"/>
            <rFont val="Tahoma"/>
            <family val="2"/>
          </rPr>
          <t>Solver found a solution. All constraints and optimality conditions are satisfied.</t>
        </r>
      </text>
    </comment>
    <comment ref="B272" authorId="0" shapeId="0" xr:uid="{57A85952-B0A9-47AC-8794-D0FFC860F9E1}">
      <text>
        <r>
          <rPr>
            <sz val="9"/>
            <color indexed="81"/>
            <rFont val="Tahoma"/>
            <family val="2"/>
          </rPr>
          <t>Solver found a solution. All constraints and optimality conditions are satisfied.</t>
        </r>
      </text>
    </comment>
    <comment ref="B273" authorId="0" shapeId="0" xr:uid="{9B0C63DD-47AD-43A6-A51A-AF36986829E2}">
      <text>
        <r>
          <rPr>
            <sz val="9"/>
            <color indexed="81"/>
            <rFont val="Tahoma"/>
            <family val="2"/>
          </rPr>
          <t>Solver found a solution. All constraints and optimality conditions are satisfied.</t>
        </r>
      </text>
    </comment>
    <comment ref="B274" authorId="0" shapeId="0" xr:uid="{A33888D0-1E25-45D3-8283-48E6EAE9C0A1}">
      <text>
        <r>
          <rPr>
            <sz val="9"/>
            <color indexed="81"/>
            <rFont val="Tahoma"/>
            <family val="2"/>
          </rPr>
          <t>Solver found a solution. All constraints and optimality conditions are satisfied.</t>
        </r>
      </text>
    </comment>
    <comment ref="B275" authorId="0" shapeId="0" xr:uid="{BA2AE3E1-9A52-4654-BDA4-F7A81DB414EB}">
      <text>
        <r>
          <rPr>
            <sz val="9"/>
            <color indexed="81"/>
            <rFont val="Tahoma"/>
            <family val="2"/>
          </rPr>
          <t>Solver found a solution. All constraints and optimality conditions are satisfied.</t>
        </r>
      </text>
    </comment>
    <comment ref="B276" authorId="0" shapeId="0" xr:uid="{D6F063D4-8433-41DA-9B77-8AA22A47DDEA}">
      <text>
        <r>
          <rPr>
            <sz val="9"/>
            <color indexed="81"/>
            <rFont val="Tahoma"/>
            <family val="2"/>
          </rPr>
          <t>Solver found a solution. All constraints and optimality conditions are satisfied.</t>
        </r>
      </text>
    </comment>
    <comment ref="B277" authorId="0" shapeId="0" xr:uid="{863057EA-EE9C-4999-A4C2-72DA08B7D6B3}">
      <text>
        <r>
          <rPr>
            <sz val="9"/>
            <color indexed="81"/>
            <rFont val="Tahoma"/>
            <family val="2"/>
          </rPr>
          <t>Solver found a solution. All constraints and optimality conditions are satisfied.</t>
        </r>
      </text>
    </comment>
    <comment ref="B278" authorId="0" shapeId="0" xr:uid="{70DDC8DD-A370-42E7-9ED0-B22ADFD2A58C}">
      <text>
        <r>
          <rPr>
            <sz val="9"/>
            <color indexed="81"/>
            <rFont val="Tahoma"/>
            <family val="2"/>
          </rPr>
          <t>Solver found a solution. All constraints and optimality conditions are satisfied.</t>
        </r>
      </text>
    </comment>
    <comment ref="B279" authorId="0" shapeId="0" xr:uid="{6C0DD337-5890-4066-897F-C048A4150CD2}">
      <text>
        <r>
          <rPr>
            <sz val="9"/>
            <color indexed="81"/>
            <rFont val="Tahoma"/>
            <family val="2"/>
          </rPr>
          <t>Solver found a solution. All constraints and optimality conditions are satisfied.</t>
        </r>
      </text>
    </comment>
    <comment ref="B280" authorId="0" shapeId="0" xr:uid="{789D31A2-051F-4C8A-BD85-A0C78DE398E8}">
      <text>
        <r>
          <rPr>
            <sz val="9"/>
            <color indexed="81"/>
            <rFont val="Tahoma"/>
            <family val="2"/>
          </rPr>
          <t>Solver found a solution. All constraints and optimality conditions are satisfied.</t>
        </r>
      </text>
    </comment>
    <comment ref="B281" authorId="0" shapeId="0" xr:uid="{CEAE02B1-D92A-441E-8B78-D34067E84840}">
      <text>
        <r>
          <rPr>
            <sz val="9"/>
            <color indexed="81"/>
            <rFont val="Tahoma"/>
            <family val="2"/>
          </rPr>
          <t>Solver found a solution. All constraints and optimality conditions are satisfied.</t>
        </r>
      </text>
    </comment>
    <comment ref="B282" authorId="0" shapeId="0" xr:uid="{FF9114E4-63C4-4C42-9DE9-5C64D6F16473}">
      <text>
        <r>
          <rPr>
            <sz val="9"/>
            <color indexed="81"/>
            <rFont val="Tahoma"/>
            <family val="2"/>
          </rPr>
          <t>Solver found a solution. All constraints and optimality conditions are satisfied.</t>
        </r>
      </text>
    </comment>
    <comment ref="B283" authorId="0" shapeId="0" xr:uid="{D8953B21-5A52-4DB3-B336-CA37B22CA56A}">
      <text>
        <r>
          <rPr>
            <sz val="9"/>
            <color indexed="81"/>
            <rFont val="Tahoma"/>
            <family val="2"/>
          </rPr>
          <t>Solver found a solution. All constraints and optimality conditions are satisfied.</t>
        </r>
      </text>
    </comment>
    <comment ref="B284" authorId="0" shapeId="0" xr:uid="{05A47E9B-DCB0-4A8E-BE93-B64B8454BDD2}">
      <text>
        <r>
          <rPr>
            <sz val="9"/>
            <color indexed="81"/>
            <rFont val="Tahoma"/>
            <family val="2"/>
          </rPr>
          <t>Solver found a solution. All constraints and optimality conditions are satisfied.</t>
        </r>
      </text>
    </comment>
    <comment ref="B285" authorId="0" shapeId="0" xr:uid="{D7BE56A4-5B3A-463A-A755-0363D8C6B730}">
      <text>
        <r>
          <rPr>
            <sz val="9"/>
            <color indexed="81"/>
            <rFont val="Tahoma"/>
            <family val="2"/>
          </rPr>
          <t>Solver found a solution. All constraints and optimality conditions are satisfied.</t>
        </r>
      </text>
    </comment>
    <comment ref="B286" authorId="0" shapeId="0" xr:uid="{F7057F12-4D8A-42B7-AB4E-CFA7EEC893A3}">
      <text>
        <r>
          <rPr>
            <sz val="9"/>
            <color indexed="81"/>
            <rFont val="Tahoma"/>
            <family val="2"/>
          </rPr>
          <t>Solver found a solution. All constraints and optimality conditions are satisfied.</t>
        </r>
      </text>
    </comment>
    <comment ref="B287" authorId="0" shapeId="0" xr:uid="{9464E48D-35BF-4E9D-B6D6-26329E9AEF5D}">
      <text>
        <r>
          <rPr>
            <sz val="9"/>
            <color indexed="81"/>
            <rFont val="Tahoma"/>
            <family val="2"/>
          </rPr>
          <t>Solver found a solution. All constraints and optimality conditions are satisfied.</t>
        </r>
      </text>
    </comment>
    <comment ref="B288" authorId="0" shapeId="0" xr:uid="{AE104149-694B-4F57-B45E-E4F507AC8EB2}">
      <text>
        <r>
          <rPr>
            <sz val="9"/>
            <color indexed="81"/>
            <rFont val="Tahoma"/>
            <family val="2"/>
          </rPr>
          <t>Solver found a solution. All constraints and optimality conditions are satisfied.</t>
        </r>
      </text>
    </comment>
    <comment ref="B289" authorId="0" shapeId="0" xr:uid="{9B858A3E-2B3B-46A7-8182-A58F3E07B442}">
      <text>
        <r>
          <rPr>
            <sz val="9"/>
            <color indexed="81"/>
            <rFont val="Tahoma"/>
            <family val="2"/>
          </rPr>
          <t>Solver found a solution. All constraints and optimality conditions are satisfied.</t>
        </r>
      </text>
    </comment>
    <comment ref="B290" authorId="0" shapeId="0" xr:uid="{9DDFE085-FFB7-4E95-95F4-7D4DA21F2DCA}">
      <text>
        <r>
          <rPr>
            <sz val="9"/>
            <color indexed="81"/>
            <rFont val="Tahoma"/>
            <family val="2"/>
          </rPr>
          <t>Solver found a solution. All constraints and optimality conditions are satisfied.</t>
        </r>
      </text>
    </comment>
    <comment ref="B291" authorId="0" shapeId="0" xr:uid="{9513375A-37BE-4968-8426-D1536A2E8CFC}">
      <text>
        <r>
          <rPr>
            <sz val="9"/>
            <color indexed="81"/>
            <rFont val="Tahoma"/>
            <family val="2"/>
          </rPr>
          <t>Solver found a solution. All constraints and optimality conditions are satisfied.</t>
        </r>
      </text>
    </comment>
    <comment ref="B292" authorId="0" shapeId="0" xr:uid="{AF74314E-1013-4133-BF65-B4CC80CA0F86}">
      <text>
        <r>
          <rPr>
            <sz val="9"/>
            <color indexed="81"/>
            <rFont val="Tahoma"/>
            <family val="2"/>
          </rPr>
          <t>Solver found a solution. All constraints and optimality conditions are satisfied.</t>
        </r>
      </text>
    </comment>
    <comment ref="B293" authorId="0" shapeId="0" xr:uid="{841D4ED9-AE64-4D0D-9F14-558094852A59}">
      <text>
        <r>
          <rPr>
            <sz val="9"/>
            <color indexed="81"/>
            <rFont val="Tahoma"/>
            <family val="2"/>
          </rPr>
          <t>Solver found a solution. All constraints and optimality conditions are satisfied.</t>
        </r>
      </text>
    </comment>
    <comment ref="B294" authorId="0" shapeId="0" xr:uid="{7A3BFA5B-C94E-4E6A-B29A-25C7780AFE2D}">
      <text>
        <r>
          <rPr>
            <sz val="9"/>
            <color indexed="81"/>
            <rFont val="Tahoma"/>
            <family val="2"/>
          </rPr>
          <t>Solver found a solution. All constraints and optimality conditions are satisfied.</t>
        </r>
      </text>
    </comment>
    <comment ref="B295" authorId="0" shapeId="0" xr:uid="{7C91613A-D10E-43CC-9C4F-BCF534F19024}">
      <text>
        <r>
          <rPr>
            <sz val="9"/>
            <color indexed="81"/>
            <rFont val="Tahoma"/>
            <family val="2"/>
          </rPr>
          <t>Solver found a solution. All constraints and optimality conditions are satisfied.</t>
        </r>
      </text>
    </comment>
    <comment ref="B296" authorId="0" shapeId="0" xr:uid="{8AED9159-BEF1-4496-BBDA-31E5CFA7D187}">
      <text>
        <r>
          <rPr>
            <sz val="9"/>
            <color indexed="81"/>
            <rFont val="Tahoma"/>
            <family val="2"/>
          </rPr>
          <t>Solver found a solution. All constraints and optimality conditions are satisfied.</t>
        </r>
      </text>
    </comment>
    <comment ref="B297" authorId="0" shapeId="0" xr:uid="{152C6F85-2608-4C3F-A5DE-69F583620839}">
      <text>
        <r>
          <rPr>
            <sz val="9"/>
            <color indexed="81"/>
            <rFont val="Tahoma"/>
            <family val="2"/>
          </rPr>
          <t>Solver found a solution. All constraints and optimality conditions are satisfied.</t>
        </r>
      </text>
    </comment>
    <comment ref="B298" authorId="0" shapeId="0" xr:uid="{ED09250A-694D-4F53-B852-ECA70096BBFB}">
      <text>
        <r>
          <rPr>
            <sz val="9"/>
            <color indexed="81"/>
            <rFont val="Tahoma"/>
            <family val="2"/>
          </rPr>
          <t>Solver found a solution. All constraints and optimality conditions are satisfied.</t>
        </r>
      </text>
    </comment>
    <comment ref="B299" authorId="0" shapeId="0" xr:uid="{1EBC6F65-6AFF-4B97-B04E-47FE4CC3DBC4}">
      <text>
        <r>
          <rPr>
            <sz val="9"/>
            <color indexed="81"/>
            <rFont val="Tahoma"/>
            <family val="2"/>
          </rPr>
          <t>Solver found a solution. All constraints and optimality conditions are satisfied.</t>
        </r>
      </text>
    </comment>
    <comment ref="B300" authorId="0" shapeId="0" xr:uid="{DCEEB6A1-3507-4319-96BF-6D39C0EBC491}">
      <text>
        <r>
          <rPr>
            <sz val="9"/>
            <color indexed="81"/>
            <rFont val="Tahoma"/>
            <family val="2"/>
          </rPr>
          <t>Solver found a solution. All constraints and optimality conditions are satisfied.</t>
        </r>
      </text>
    </comment>
    <comment ref="B301" authorId="0" shapeId="0" xr:uid="{ADF59B40-711E-4E85-A8E2-9EA10DDF5CD0}">
      <text>
        <r>
          <rPr>
            <sz val="9"/>
            <color indexed="81"/>
            <rFont val="Tahoma"/>
            <family val="2"/>
          </rPr>
          <t>Solver found a solution. All constraints and optimality conditions are satisfied.</t>
        </r>
      </text>
    </comment>
    <comment ref="B302" authorId="0" shapeId="0" xr:uid="{FAACA809-C655-45DB-A583-B72AD9A12EEB}">
      <text>
        <r>
          <rPr>
            <sz val="9"/>
            <color indexed="81"/>
            <rFont val="Tahoma"/>
            <family val="2"/>
          </rPr>
          <t>Solver found a solution. All constraints and optimality conditions are satisfied.</t>
        </r>
      </text>
    </comment>
    <comment ref="B303" authorId="0" shapeId="0" xr:uid="{459E721C-2201-47A4-AA5F-7B38E57DDEE8}">
      <text>
        <r>
          <rPr>
            <sz val="9"/>
            <color indexed="81"/>
            <rFont val="Tahoma"/>
            <family val="2"/>
          </rPr>
          <t>Solver found a solution. All constraints and optimality conditions are satisfied.</t>
        </r>
      </text>
    </comment>
    <comment ref="B304" authorId="0" shapeId="0" xr:uid="{DB54988E-1F71-4E51-991E-61C394B15D24}">
      <text>
        <r>
          <rPr>
            <sz val="9"/>
            <color indexed="81"/>
            <rFont val="Tahoma"/>
            <family val="2"/>
          </rPr>
          <t>Solver found a solution. All constraints and optimality conditions are satisfied.</t>
        </r>
      </text>
    </comment>
    <comment ref="B305" authorId="0" shapeId="0" xr:uid="{410F5FA9-E27E-4BC9-B0D6-89F24D381347}">
      <text>
        <r>
          <rPr>
            <sz val="9"/>
            <color indexed="81"/>
            <rFont val="Tahoma"/>
            <family val="2"/>
          </rPr>
          <t>Solver found a solution. All constraints and optimality conditions are satisfied.</t>
        </r>
      </text>
    </comment>
    <comment ref="B306" authorId="0" shapeId="0" xr:uid="{BF37B63E-613F-47D0-BF5A-79A27610D31A}">
      <text>
        <r>
          <rPr>
            <sz val="9"/>
            <color indexed="81"/>
            <rFont val="Tahoma"/>
            <family val="2"/>
          </rPr>
          <t>Solver found a solution. All constraints and optimality conditions are satisfied.</t>
        </r>
      </text>
    </comment>
    <comment ref="B307" authorId="0" shapeId="0" xr:uid="{9785A5E4-AB84-44F1-978F-2059383F38DA}">
      <text>
        <r>
          <rPr>
            <sz val="9"/>
            <color indexed="81"/>
            <rFont val="Tahoma"/>
            <family val="2"/>
          </rPr>
          <t>Solver found a solution. All constraints and optimality conditions are satisfied.</t>
        </r>
      </text>
    </comment>
    <comment ref="B308" authorId="0" shapeId="0" xr:uid="{C559A51B-18EA-4E15-82F1-EC7F6EC233DC}">
      <text>
        <r>
          <rPr>
            <sz val="9"/>
            <color indexed="81"/>
            <rFont val="Tahoma"/>
            <family val="2"/>
          </rPr>
          <t>Solver found a solution. All constraints and optimality conditions are satisfied.</t>
        </r>
      </text>
    </comment>
    <comment ref="B309" authorId="0" shapeId="0" xr:uid="{B8D076CB-F346-4489-BE97-C1A29A21C6FF}">
      <text>
        <r>
          <rPr>
            <sz val="9"/>
            <color indexed="81"/>
            <rFont val="Tahoma"/>
            <family val="2"/>
          </rPr>
          <t>Solver found a solution. All constraints and optimality conditions are satisfied.</t>
        </r>
      </text>
    </comment>
    <comment ref="B310" authorId="0" shapeId="0" xr:uid="{D371329B-1A13-4431-910E-BD8BBEAE22C0}">
      <text>
        <r>
          <rPr>
            <sz val="9"/>
            <color indexed="81"/>
            <rFont val="Tahoma"/>
            <family val="2"/>
          </rPr>
          <t>Solver found a solution. All constraints and optimality conditions are satisfied.</t>
        </r>
      </text>
    </comment>
    <comment ref="B311" authorId="0" shapeId="0" xr:uid="{4994B719-53DE-42E4-818C-889A99590872}">
      <text>
        <r>
          <rPr>
            <sz val="9"/>
            <color indexed="81"/>
            <rFont val="Tahoma"/>
            <family val="2"/>
          </rPr>
          <t>Solver found a solution. All constraints and optimality conditions are satisfied.</t>
        </r>
      </text>
    </comment>
    <comment ref="B312" authorId="0" shapeId="0" xr:uid="{43678F1A-D580-4A42-9D1A-4C84FDA08AFD}">
      <text>
        <r>
          <rPr>
            <sz val="9"/>
            <color indexed="81"/>
            <rFont val="Tahoma"/>
            <family val="2"/>
          </rPr>
          <t>Solver found a solution. All constraints and optimality conditions are satisfied.</t>
        </r>
      </text>
    </comment>
    <comment ref="B313" authorId="0" shapeId="0" xr:uid="{B635252E-6140-49AA-99AE-436158863026}">
      <text>
        <r>
          <rPr>
            <sz val="9"/>
            <color indexed="81"/>
            <rFont val="Tahoma"/>
            <family val="2"/>
          </rPr>
          <t>Solver found a solution. All constraints and optimality conditions are satisfied.</t>
        </r>
      </text>
    </comment>
    <comment ref="B314" authorId="0" shapeId="0" xr:uid="{4C3E8D41-B7FB-48DB-B672-FB8A05CD8698}">
      <text>
        <r>
          <rPr>
            <sz val="9"/>
            <color indexed="81"/>
            <rFont val="Tahoma"/>
            <family val="2"/>
          </rPr>
          <t>Solver found a solution. All constraints and optimality conditions are satisfied.</t>
        </r>
      </text>
    </comment>
    <comment ref="B315" authorId="0" shapeId="0" xr:uid="{39D01D69-2DFE-41C1-A8A6-93D0EE98C724}">
      <text>
        <r>
          <rPr>
            <sz val="9"/>
            <color indexed="81"/>
            <rFont val="Tahoma"/>
            <family val="2"/>
          </rPr>
          <t>Solver found a solution. All constraints and optimality conditions are satisfied.</t>
        </r>
      </text>
    </comment>
    <comment ref="B316" authorId="0" shapeId="0" xr:uid="{F3AF21D4-7089-4F3A-A749-65DD63AEB272}">
      <text>
        <r>
          <rPr>
            <sz val="9"/>
            <color indexed="81"/>
            <rFont val="Tahoma"/>
            <family val="2"/>
          </rPr>
          <t>Solver found a solution. All constraints and optimality conditions are satisfied.</t>
        </r>
      </text>
    </comment>
    <comment ref="B317" authorId="0" shapeId="0" xr:uid="{2F5DD506-16E4-4DCB-803B-1C76EF4BF658}">
      <text>
        <r>
          <rPr>
            <sz val="9"/>
            <color indexed="81"/>
            <rFont val="Tahoma"/>
            <family val="2"/>
          </rPr>
          <t>Solver found a solution. All constraints and optimality conditions are satisfied.</t>
        </r>
      </text>
    </comment>
    <comment ref="B318" authorId="0" shapeId="0" xr:uid="{14F23F26-10B7-4EDF-96DB-58EC6D6EEBDB}">
      <text>
        <r>
          <rPr>
            <sz val="9"/>
            <color indexed="81"/>
            <rFont val="Tahoma"/>
            <family val="2"/>
          </rPr>
          <t>Solver found a solution. All constraints and optimality conditions are satisfied.</t>
        </r>
      </text>
    </comment>
    <comment ref="B319" authorId="0" shapeId="0" xr:uid="{814F2B15-91D2-4FFF-9557-7B43E447B803}">
      <text>
        <r>
          <rPr>
            <sz val="9"/>
            <color indexed="81"/>
            <rFont val="Tahoma"/>
            <family val="2"/>
          </rPr>
          <t>Solver found a solution. All constraints and optimality conditions are satisfied.</t>
        </r>
      </text>
    </comment>
    <comment ref="B320" authorId="0" shapeId="0" xr:uid="{0C89AD2C-2E51-4C45-AC20-182C24DF6538}">
      <text>
        <r>
          <rPr>
            <sz val="9"/>
            <color indexed="81"/>
            <rFont val="Tahoma"/>
            <family val="2"/>
          </rPr>
          <t>Solver found a solution. All constraints and optimality conditions are satisfied.</t>
        </r>
      </text>
    </comment>
    <comment ref="B321" authorId="0" shapeId="0" xr:uid="{4CB4A51F-9586-43D4-98AD-885415902904}">
      <text>
        <r>
          <rPr>
            <sz val="9"/>
            <color indexed="81"/>
            <rFont val="Tahoma"/>
            <family val="2"/>
          </rPr>
          <t>Solver found a solution. All constraints and optimality conditions are satisfied.</t>
        </r>
      </text>
    </comment>
    <comment ref="B322" authorId="0" shapeId="0" xr:uid="{AC8BB8A7-69A6-4324-8B5A-FD0B46857B3B}">
      <text>
        <r>
          <rPr>
            <sz val="9"/>
            <color indexed="81"/>
            <rFont val="Tahoma"/>
            <family val="2"/>
          </rPr>
          <t>Solver found a solution. All constraints and optimality conditions are satisfied.</t>
        </r>
      </text>
    </comment>
    <comment ref="B323" authorId="0" shapeId="0" xr:uid="{96807D54-1847-48F5-8461-FAA3E0283868}">
      <text>
        <r>
          <rPr>
            <sz val="9"/>
            <color indexed="81"/>
            <rFont val="Tahoma"/>
            <family val="2"/>
          </rPr>
          <t>Solver found a solution. All constraints and optimality conditions are satisfied.</t>
        </r>
      </text>
    </comment>
    <comment ref="B324" authorId="0" shapeId="0" xr:uid="{65268295-F7A4-4AF7-AA26-2D7B5B8A35C3}">
      <text>
        <r>
          <rPr>
            <sz val="9"/>
            <color indexed="81"/>
            <rFont val="Tahoma"/>
            <family val="2"/>
          </rPr>
          <t>Solver found a solution. All constraints and optimality conditions are satisfied.</t>
        </r>
      </text>
    </comment>
    <comment ref="B325" authorId="0" shapeId="0" xr:uid="{A6192809-2B3E-42D3-B057-9034FAEB87E1}">
      <text>
        <r>
          <rPr>
            <sz val="9"/>
            <color indexed="81"/>
            <rFont val="Tahoma"/>
            <family val="2"/>
          </rPr>
          <t>Solver found a solution. All constraints and optimality conditions are satisfied.</t>
        </r>
      </text>
    </comment>
    <comment ref="B326" authorId="0" shapeId="0" xr:uid="{23FBBF5B-94F4-4A28-9A4B-CF3BFCAE4D64}">
      <text>
        <r>
          <rPr>
            <sz val="9"/>
            <color indexed="81"/>
            <rFont val="Tahoma"/>
            <family val="2"/>
          </rPr>
          <t>Solver found a solution. All constraints and optimality conditions are satisfied.</t>
        </r>
      </text>
    </comment>
    <comment ref="B327" authorId="0" shapeId="0" xr:uid="{6CE88157-4332-4B1E-978D-39708FCC4363}">
      <text>
        <r>
          <rPr>
            <sz val="9"/>
            <color indexed="81"/>
            <rFont val="Tahoma"/>
            <family val="2"/>
          </rPr>
          <t>Solver found a solution. All constraints and optimality conditions are satisfied.</t>
        </r>
      </text>
    </comment>
    <comment ref="B328" authorId="0" shapeId="0" xr:uid="{F90443DD-75B8-4B0F-9DAD-800502701599}">
      <text>
        <r>
          <rPr>
            <sz val="9"/>
            <color indexed="81"/>
            <rFont val="Tahoma"/>
            <family val="2"/>
          </rPr>
          <t>Solver found a solution. All constraints and optimality conditions are satisfied.</t>
        </r>
      </text>
    </comment>
    <comment ref="B329" authorId="0" shapeId="0" xr:uid="{EF5712F1-2751-45FF-9A63-CE173F3E2882}">
      <text>
        <r>
          <rPr>
            <sz val="9"/>
            <color indexed="81"/>
            <rFont val="Tahoma"/>
            <family val="2"/>
          </rPr>
          <t>Solver found a solution. All constraints and optimality conditions are satisfied.</t>
        </r>
      </text>
    </comment>
    <comment ref="B330" authorId="0" shapeId="0" xr:uid="{2AA8A7F0-C698-4CF6-80E1-1B46EC257B92}">
      <text>
        <r>
          <rPr>
            <sz val="9"/>
            <color indexed="81"/>
            <rFont val="Tahoma"/>
            <family val="2"/>
          </rPr>
          <t>Solver found a solution. All constraints and optimality conditions are satisfied.</t>
        </r>
      </text>
    </comment>
    <comment ref="B331" authorId="0" shapeId="0" xr:uid="{86B5D4A8-98B3-4595-93EF-AC5A3317ACA5}">
      <text>
        <r>
          <rPr>
            <sz val="9"/>
            <color indexed="81"/>
            <rFont val="Tahoma"/>
            <family val="2"/>
          </rPr>
          <t>Solver found a solution. All constraints and optimality conditions are satisfied.</t>
        </r>
      </text>
    </comment>
    <comment ref="B332" authorId="0" shapeId="0" xr:uid="{71D329EC-16A5-47F6-A2F1-99682C570F74}">
      <text>
        <r>
          <rPr>
            <sz val="9"/>
            <color indexed="81"/>
            <rFont val="Tahoma"/>
            <family val="2"/>
          </rPr>
          <t>Solver found a solution. All constraints and optimality conditions are satisfied.</t>
        </r>
      </text>
    </comment>
    <comment ref="B333" authorId="0" shapeId="0" xr:uid="{F8FF17DF-7A8C-434E-B6F0-15DBB8602762}">
      <text>
        <r>
          <rPr>
            <sz val="9"/>
            <color indexed="81"/>
            <rFont val="Tahoma"/>
            <family val="2"/>
          </rPr>
          <t>Solver found a solution. All constraints and optimality conditions are satisfied.</t>
        </r>
      </text>
    </comment>
    <comment ref="B334" authorId="0" shapeId="0" xr:uid="{34D7A56A-09EA-423B-9F5F-A2E01A3C0177}">
      <text>
        <r>
          <rPr>
            <sz val="9"/>
            <color indexed="81"/>
            <rFont val="Tahoma"/>
            <family val="2"/>
          </rPr>
          <t>Solver found a solution. All constraints and optimality conditions are satisfied.</t>
        </r>
      </text>
    </comment>
    <comment ref="B335" authorId="0" shapeId="0" xr:uid="{01429542-2CAE-4336-81FE-3531F109C773}">
      <text>
        <r>
          <rPr>
            <sz val="9"/>
            <color indexed="81"/>
            <rFont val="Tahoma"/>
            <family val="2"/>
          </rPr>
          <t>Solver found a solution. All constraints and optimality conditions are satisfied.</t>
        </r>
      </text>
    </comment>
    <comment ref="B336" authorId="0" shapeId="0" xr:uid="{A41521B2-DD0C-4EB7-A5B1-2252821A5F34}">
      <text>
        <r>
          <rPr>
            <sz val="9"/>
            <color indexed="81"/>
            <rFont val="Tahoma"/>
            <family val="2"/>
          </rPr>
          <t>Solver found a solution. All constraints and optimality conditions are satisfied.</t>
        </r>
      </text>
    </comment>
    <comment ref="B337" authorId="0" shapeId="0" xr:uid="{3556E24B-9AC5-40C0-8D5D-CB5629DA0AA7}">
      <text>
        <r>
          <rPr>
            <sz val="9"/>
            <color indexed="81"/>
            <rFont val="Tahoma"/>
            <family val="2"/>
          </rPr>
          <t>Solver found a solution. All constraints and optimality conditions are satisfied.</t>
        </r>
      </text>
    </comment>
    <comment ref="B338" authorId="0" shapeId="0" xr:uid="{89FF8C90-C450-42A5-8F03-0815E8EFAFE3}">
      <text>
        <r>
          <rPr>
            <sz val="9"/>
            <color indexed="81"/>
            <rFont val="Tahoma"/>
            <family val="2"/>
          </rPr>
          <t>Solver found a solution. All constraints and optimality conditions are satisfied.</t>
        </r>
      </text>
    </comment>
    <comment ref="B339" authorId="0" shapeId="0" xr:uid="{525A658E-6D6E-480E-804D-12125D5D7E88}">
      <text>
        <r>
          <rPr>
            <sz val="9"/>
            <color indexed="81"/>
            <rFont val="Tahoma"/>
            <family val="2"/>
          </rPr>
          <t>Solver found a solution. All constraints and optimality conditions are satisfied.</t>
        </r>
      </text>
    </comment>
    <comment ref="B340" authorId="0" shapeId="0" xr:uid="{4A9BCF43-0AA3-45E7-84DD-F14F48C40FF1}">
      <text>
        <r>
          <rPr>
            <sz val="9"/>
            <color indexed="81"/>
            <rFont val="Tahoma"/>
            <family val="2"/>
          </rPr>
          <t>Solver found a solution. All constraints and optimality conditions are satisfied.</t>
        </r>
      </text>
    </comment>
    <comment ref="B341" authorId="0" shapeId="0" xr:uid="{3276D3ED-5013-4C5C-B591-09E44726E6BB}">
      <text>
        <r>
          <rPr>
            <sz val="9"/>
            <color indexed="81"/>
            <rFont val="Tahoma"/>
            <family val="2"/>
          </rPr>
          <t>Solver found a solution. All constraints and optimality conditions are satisfied.</t>
        </r>
      </text>
    </comment>
    <comment ref="B342" authorId="0" shapeId="0" xr:uid="{799680D9-4566-4BC9-97A0-863AFBC08E80}">
      <text>
        <r>
          <rPr>
            <sz val="9"/>
            <color indexed="81"/>
            <rFont val="Tahoma"/>
            <family val="2"/>
          </rPr>
          <t>Solver found a solution. All constraints and optimality conditions are satisfied.</t>
        </r>
      </text>
    </comment>
    <comment ref="B343" authorId="0" shapeId="0" xr:uid="{AC82BA12-0D08-439C-80FE-2F409CBE6416}">
      <text>
        <r>
          <rPr>
            <sz val="9"/>
            <color indexed="81"/>
            <rFont val="Tahoma"/>
            <family val="2"/>
          </rPr>
          <t>Solver found a solution. All constraints and optimality conditions are satisfied.</t>
        </r>
      </text>
    </comment>
    <comment ref="B344" authorId="0" shapeId="0" xr:uid="{E567E642-406C-417D-8B10-58C2AAD6BCBD}">
      <text>
        <r>
          <rPr>
            <sz val="9"/>
            <color indexed="81"/>
            <rFont val="Tahoma"/>
            <family val="2"/>
          </rPr>
          <t>Solver found a solution. All constraints and optimality conditions are satisfied.</t>
        </r>
      </text>
    </comment>
    <comment ref="B345" authorId="0" shapeId="0" xr:uid="{59A4E697-DE87-4DF9-AD7C-AEF445C086C8}">
      <text>
        <r>
          <rPr>
            <sz val="9"/>
            <color indexed="81"/>
            <rFont val="Tahoma"/>
            <family val="2"/>
          </rPr>
          <t>Solver found a solution. All constraints and optimality conditions are satisfied.</t>
        </r>
      </text>
    </comment>
    <comment ref="B346" authorId="0" shapeId="0" xr:uid="{B92F8B98-B5F0-4B27-B8A3-D35AD25F0142}">
      <text>
        <r>
          <rPr>
            <sz val="9"/>
            <color indexed="81"/>
            <rFont val="Tahoma"/>
            <family val="2"/>
          </rPr>
          <t>Solver found a solution. All constraints and optimality conditions are satisfied.</t>
        </r>
      </text>
    </comment>
    <comment ref="B347" authorId="0" shapeId="0" xr:uid="{6DF935E0-51BE-4E5B-84CC-51E850AE2F86}">
      <text>
        <r>
          <rPr>
            <sz val="9"/>
            <color indexed="81"/>
            <rFont val="Tahoma"/>
            <family val="2"/>
          </rPr>
          <t>Solver found a solution. All constraints and optimality conditions are satisfied.</t>
        </r>
      </text>
    </comment>
    <comment ref="B348" authorId="0" shapeId="0" xr:uid="{DE3B5451-7A48-4EAD-8957-23F45789C689}">
      <text>
        <r>
          <rPr>
            <sz val="9"/>
            <color indexed="81"/>
            <rFont val="Tahoma"/>
            <family val="2"/>
          </rPr>
          <t>Solver found a solution. All constraints and optimality conditions are satisfied.</t>
        </r>
      </text>
    </comment>
    <comment ref="B349" authorId="0" shapeId="0" xr:uid="{B308A360-F469-4072-86EA-9471B161A134}">
      <text>
        <r>
          <rPr>
            <sz val="9"/>
            <color indexed="81"/>
            <rFont val="Tahoma"/>
            <family val="2"/>
          </rPr>
          <t>Solver found a solution. All constraints and optimality conditions are satisfied.</t>
        </r>
      </text>
    </comment>
    <comment ref="B350" authorId="0" shapeId="0" xr:uid="{0CA7824F-3D67-4769-A702-11ECCF15B386}">
      <text>
        <r>
          <rPr>
            <sz val="9"/>
            <color indexed="81"/>
            <rFont val="Tahoma"/>
            <family val="2"/>
          </rPr>
          <t>Solver found a solution. All constraints and optimality conditions are satisfied.</t>
        </r>
      </text>
    </comment>
    <comment ref="B351" authorId="0" shapeId="0" xr:uid="{1FBAA792-2368-4616-8F3E-63AF712C25B2}">
      <text>
        <r>
          <rPr>
            <sz val="9"/>
            <color indexed="81"/>
            <rFont val="Tahoma"/>
            <family val="2"/>
          </rPr>
          <t>Solver found a solution. All constraints and optimality conditions are satisfied.</t>
        </r>
      </text>
    </comment>
    <comment ref="B352" authorId="0" shapeId="0" xr:uid="{4B3FE58F-D4A4-4FE1-BB49-F13C7712D4EC}">
      <text>
        <r>
          <rPr>
            <sz val="9"/>
            <color indexed="81"/>
            <rFont val="Tahoma"/>
            <family val="2"/>
          </rPr>
          <t>Solver found a solution. All constraints and optimality conditions are satisfied.</t>
        </r>
      </text>
    </comment>
    <comment ref="B353" authorId="0" shapeId="0" xr:uid="{3379E98D-A9FD-4544-BAAB-C3C36EFB0CA7}">
      <text>
        <r>
          <rPr>
            <sz val="9"/>
            <color indexed="81"/>
            <rFont val="Tahoma"/>
            <family val="2"/>
          </rPr>
          <t>Solver found a solution. All constraints and optimality conditions are satisfied.</t>
        </r>
      </text>
    </comment>
    <comment ref="B354" authorId="0" shapeId="0" xr:uid="{2D9ED07C-6951-4853-96FC-808B5225AFA6}">
      <text>
        <r>
          <rPr>
            <sz val="9"/>
            <color indexed="81"/>
            <rFont val="Tahoma"/>
            <family val="2"/>
          </rPr>
          <t>Solver found a solution. All constraints and optimality conditions are satisfied.</t>
        </r>
      </text>
    </comment>
    <comment ref="B355" authorId="0" shapeId="0" xr:uid="{473CFE0B-EC5D-4D65-9E69-5CF0324956F4}">
      <text>
        <r>
          <rPr>
            <sz val="9"/>
            <color indexed="81"/>
            <rFont val="Tahoma"/>
            <family val="2"/>
          </rPr>
          <t>Solver found a solution. All constraints and optimality conditions are satisfied.</t>
        </r>
      </text>
    </comment>
    <comment ref="B356" authorId="0" shapeId="0" xr:uid="{F482E934-BBA2-4880-964E-9C25CDA99BFE}">
      <text>
        <r>
          <rPr>
            <sz val="9"/>
            <color indexed="81"/>
            <rFont val="Tahoma"/>
            <family val="2"/>
          </rPr>
          <t>Solver found a solution. All constraints and optimality conditions are satisfied.</t>
        </r>
      </text>
    </comment>
    <comment ref="B357" authorId="0" shapeId="0" xr:uid="{042CA0DB-E204-4B76-8EF5-3615D8B68D5F}">
      <text>
        <r>
          <rPr>
            <sz val="9"/>
            <color indexed="81"/>
            <rFont val="Tahoma"/>
            <family val="2"/>
          </rPr>
          <t>Solver found a solution. All constraints and optimality conditions are satisfied.</t>
        </r>
      </text>
    </comment>
    <comment ref="B358" authorId="0" shapeId="0" xr:uid="{2541F326-6DB7-4573-ACF1-6EF8639FD74A}">
      <text>
        <r>
          <rPr>
            <sz val="9"/>
            <color indexed="81"/>
            <rFont val="Tahoma"/>
            <family val="2"/>
          </rPr>
          <t>Solver found a solution. All constraints and optimality conditions are satisfied.</t>
        </r>
      </text>
    </comment>
    <comment ref="B359" authorId="0" shapeId="0" xr:uid="{7B16C710-FD9F-4C0E-93F8-4165F4CE21A5}">
      <text>
        <r>
          <rPr>
            <sz val="9"/>
            <color indexed="81"/>
            <rFont val="Tahoma"/>
            <family val="2"/>
          </rPr>
          <t>Solver found a solution. All constraints and optimality conditions are satisfied.</t>
        </r>
      </text>
    </comment>
    <comment ref="B360" authorId="0" shapeId="0" xr:uid="{3BAD70FB-3F2A-458B-9C4F-CC272625AD07}">
      <text>
        <r>
          <rPr>
            <sz val="9"/>
            <color indexed="81"/>
            <rFont val="Tahoma"/>
            <family val="2"/>
          </rPr>
          <t>Solver found a solution. All constraints and optimality conditions are satisfied.</t>
        </r>
      </text>
    </comment>
    <comment ref="B361" authorId="0" shapeId="0" xr:uid="{181D57F8-A49D-47E9-8794-90A57BAA48AD}">
      <text>
        <r>
          <rPr>
            <sz val="9"/>
            <color indexed="81"/>
            <rFont val="Tahoma"/>
            <family val="2"/>
          </rPr>
          <t>Solver found a solution. All constraints and optimality conditions are satisfied.</t>
        </r>
      </text>
    </comment>
    <comment ref="B362" authorId="0" shapeId="0" xr:uid="{4516481C-76B7-406B-8F78-10C54E52D92F}">
      <text>
        <r>
          <rPr>
            <sz val="9"/>
            <color indexed="81"/>
            <rFont val="Tahoma"/>
            <family val="2"/>
          </rPr>
          <t>Solver found a solution. All constraints and optimality conditions are satisfied.</t>
        </r>
      </text>
    </comment>
    <comment ref="B363" authorId="0" shapeId="0" xr:uid="{4AE3E3EB-29E8-4BA3-885F-0EEA36F6B564}">
      <text>
        <r>
          <rPr>
            <sz val="9"/>
            <color indexed="81"/>
            <rFont val="Tahoma"/>
            <family val="2"/>
          </rPr>
          <t>Solver found a solution. All constraints and optimality conditions are satisfied.</t>
        </r>
      </text>
    </comment>
    <comment ref="B364" authorId="0" shapeId="0" xr:uid="{90C51F6B-7372-4730-9594-BF261BC5F3B6}">
      <text>
        <r>
          <rPr>
            <sz val="9"/>
            <color indexed="81"/>
            <rFont val="Tahoma"/>
            <family val="2"/>
          </rPr>
          <t>Solver found a solution. All constraints and optimality conditions are satisfied.</t>
        </r>
      </text>
    </comment>
    <comment ref="B365" authorId="0" shapeId="0" xr:uid="{5F69302F-AF17-44A6-A9EA-4BECE0BB7843}">
      <text>
        <r>
          <rPr>
            <sz val="9"/>
            <color indexed="81"/>
            <rFont val="Tahoma"/>
            <family val="2"/>
          </rPr>
          <t>Solver found a solution. All constraints and optimality conditions are satisfied.</t>
        </r>
      </text>
    </comment>
    <comment ref="B366" authorId="0" shapeId="0" xr:uid="{1255F1D4-C773-4E15-86C7-09FA100DCC7B}">
      <text>
        <r>
          <rPr>
            <sz val="9"/>
            <color indexed="81"/>
            <rFont val="Tahoma"/>
            <family val="2"/>
          </rPr>
          <t>Solver found a solution. All constraints and optimality conditions are satisfied.</t>
        </r>
      </text>
    </comment>
    <comment ref="B367" authorId="0" shapeId="0" xr:uid="{5707665E-6122-4978-8231-38104DC53986}">
      <text>
        <r>
          <rPr>
            <sz val="9"/>
            <color indexed="81"/>
            <rFont val="Tahoma"/>
            <family val="2"/>
          </rPr>
          <t>Solver found a solution. All constraints and optimality conditions are satisfied.</t>
        </r>
      </text>
    </comment>
    <comment ref="B368" authorId="0" shapeId="0" xr:uid="{AC38A2D1-CBA7-4987-82BE-AA6158280BA1}">
      <text>
        <r>
          <rPr>
            <sz val="9"/>
            <color indexed="81"/>
            <rFont val="Tahoma"/>
            <family val="2"/>
          </rPr>
          <t>Solver found a solution. All constraints and optimality conditions are satisfied.</t>
        </r>
      </text>
    </comment>
    <comment ref="B369" authorId="0" shapeId="0" xr:uid="{ADB7CC62-46A6-4290-804F-1653BC3C53CE}">
      <text>
        <r>
          <rPr>
            <sz val="9"/>
            <color indexed="81"/>
            <rFont val="Tahoma"/>
            <family val="2"/>
          </rPr>
          <t>Solver found a solution. All constraints and optimality conditions are satisfied.</t>
        </r>
      </text>
    </comment>
    <comment ref="B370" authorId="0" shapeId="0" xr:uid="{C2B38890-536D-4B5D-A28F-386B419B85F6}">
      <text>
        <r>
          <rPr>
            <sz val="9"/>
            <color indexed="81"/>
            <rFont val="Tahoma"/>
            <family val="2"/>
          </rPr>
          <t>Solver found a solution. All constraints and optimality conditions are satisfied.</t>
        </r>
      </text>
    </comment>
    <comment ref="B371" authorId="0" shapeId="0" xr:uid="{4CE870CF-5DC6-4F74-8D9F-5BC7BD5CDEC1}">
      <text>
        <r>
          <rPr>
            <sz val="9"/>
            <color indexed="81"/>
            <rFont val="Tahoma"/>
            <family val="2"/>
          </rPr>
          <t>Solver found a solution. All constraints and optimality conditions are satisfied.</t>
        </r>
      </text>
    </comment>
    <comment ref="B372" authorId="0" shapeId="0" xr:uid="{A1FE0D2C-A852-4E15-BCA0-54848EFEA895}">
      <text>
        <r>
          <rPr>
            <sz val="9"/>
            <color indexed="81"/>
            <rFont val="Tahoma"/>
            <family val="2"/>
          </rPr>
          <t>Solver found a solution. All constraints and optimality conditions are satisfied.</t>
        </r>
      </text>
    </comment>
    <comment ref="B373" authorId="0" shapeId="0" xr:uid="{A9417C94-0257-4D9A-A46D-0E08D006FA20}">
      <text>
        <r>
          <rPr>
            <sz val="9"/>
            <color indexed="81"/>
            <rFont val="Tahoma"/>
            <family val="2"/>
          </rPr>
          <t>Solver found a solution. All constraints and optimality conditions are satisfied.</t>
        </r>
      </text>
    </comment>
    <comment ref="B374" authorId="0" shapeId="0" xr:uid="{29C7240D-46EC-40FD-99F2-111BB33A7C07}">
      <text>
        <r>
          <rPr>
            <sz val="9"/>
            <color indexed="81"/>
            <rFont val="Tahoma"/>
            <family val="2"/>
          </rPr>
          <t>Solver found a solution. All constraints and optimality conditions are satisfied.</t>
        </r>
      </text>
    </comment>
    <comment ref="B375" authorId="0" shapeId="0" xr:uid="{F6B3B07C-5289-49B8-A507-7FEDC0CE8B42}">
      <text>
        <r>
          <rPr>
            <sz val="9"/>
            <color indexed="81"/>
            <rFont val="Tahoma"/>
            <family val="2"/>
          </rPr>
          <t>Solver found a solution. All constraints and optimality conditions are satisfied.</t>
        </r>
      </text>
    </comment>
    <comment ref="B376" authorId="0" shapeId="0" xr:uid="{5956741D-DA6E-403A-9B41-BFB97B33C812}">
      <text>
        <r>
          <rPr>
            <sz val="9"/>
            <color indexed="81"/>
            <rFont val="Tahoma"/>
            <family val="2"/>
          </rPr>
          <t>Solver found a solution. All constraints and optimality conditions are satisfied.</t>
        </r>
      </text>
    </comment>
    <comment ref="B377" authorId="0" shapeId="0" xr:uid="{6BA52C40-CB2F-44E7-8B90-6F9764F420D8}">
      <text>
        <r>
          <rPr>
            <sz val="9"/>
            <color indexed="81"/>
            <rFont val="Tahoma"/>
            <family val="2"/>
          </rPr>
          <t>Solver found a solution. All constraints and optimality conditions are satisfied.</t>
        </r>
      </text>
    </comment>
    <comment ref="B378" authorId="0" shapeId="0" xr:uid="{078034FD-ADD4-4262-963E-440330F8F1E0}">
      <text>
        <r>
          <rPr>
            <sz val="9"/>
            <color indexed="81"/>
            <rFont val="Tahoma"/>
            <family val="2"/>
          </rPr>
          <t>Solver found a solution. All constraints and optimality conditions are satisfied.</t>
        </r>
      </text>
    </comment>
    <comment ref="B379" authorId="0" shapeId="0" xr:uid="{EE483A4E-2AB5-4538-9F44-029D39FA0CE4}">
      <text>
        <r>
          <rPr>
            <sz val="9"/>
            <color indexed="81"/>
            <rFont val="Tahoma"/>
            <family val="2"/>
          </rPr>
          <t>Solver found a solution. All constraints and optimality conditions are satisfied.</t>
        </r>
      </text>
    </comment>
    <comment ref="B380" authorId="0" shapeId="0" xr:uid="{1B1FBD42-9F25-476C-A369-D69AEF0F56DD}">
      <text>
        <r>
          <rPr>
            <sz val="9"/>
            <color indexed="81"/>
            <rFont val="Tahoma"/>
            <family val="2"/>
          </rPr>
          <t>Solver found a solution. All constraints and optimality conditions are satisfied.</t>
        </r>
      </text>
    </comment>
    <comment ref="B381" authorId="0" shapeId="0" xr:uid="{7879A7A0-28A4-42A1-8FA4-92C520FC5377}">
      <text>
        <r>
          <rPr>
            <sz val="9"/>
            <color indexed="81"/>
            <rFont val="Tahoma"/>
            <family val="2"/>
          </rPr>
          <t>Solver found a solution. All constraints and optimality conditions are satisfied.</t>
        </r>
      </text>
    </comment>
    <comment ref="B382" authorId="0" shapeId="0" xr:uid="{3A97C970-C8DC-4D3B-BE46-0B1274AA879F}">
      <text>
        <r>
          <rPr>
            <sz val="9"/>
            <color indexed="81"/>
            <rFont val="Tahoma"/>
            <family val="2"/>
          </rPr>
          <t>Solver found a solution. All constraints and optimality conditions are satisfied.</t>
        </r>
      </text>
    </comment>
    <comment ref="B383" authorId="0" shapeId="0" xr:uid="{87280BB1-E3CB-4F72-A0A1-38DB9F6F59AE}">
      <text>
        <r>
          <rPr>
            <sz val="9"/>
            <color indexed="81"/>
            <rFont val="Tahoma"/>
            <family val="2"/>
          </rPr>
          <t>Solver found a solution. All constraints and optimality conditions are satisfied.</t>
        </r>
      </text>
    </comment>
    <comment ref="B384" authorId="0" shapeId="0" xr:uid="{AB1E8071-129B-4B47-9EDE-3136980D7098}">
      <text>
        <r>
          <rPr>
            <sz val="9"/>
            <color indexed="81"/>
            <rFont val="Tahoma"/>
            <family val="2"/>
          </rPr>
          <t>Solver found a solution. All constraints and optimality conditions are satisfied.</t>
        </r>
      </text>
    </comment>
    <comment ref="B385" authorId="0" shapeId="0" xr:uid="{838B607F-4C1E-46D1-9307-BB7E2E433F0B}">
      <text>
        <r>
          <rPr>
            <sz val="9"/>
            <color indexed="81"/>
            <rFont val="Tahoma"/>
            <family val="2"/>
          </rPr>
          <t>Solver found a solution. All constraints and optimality conditions are satisfied.</t>
        </r>
      </text>
    </comment>
    <comment ref="B386" authorId="0" shapeId="0" xr:uid="{9C2D0DDB-D74A-4B1C-A0B5-AA75B6FAD091}">
      <text>
        <r>
          <rPr>
            <sz val="9"/>
            <color indexed="81"/>
            <rFont val="Tahoma"/>
            <family val="2"/>
          </rPr>
          <t>Solver found a solution. All constraints and optimality conditions are satisfied.</t>
        </r>
      </text>
    </comment>
    <comment ref="B387" authorId="0" shapeId="0" xr:uid="{C5604B43-254A-4CDB-9572-B308F4C1D25F}">
      <text>
        <r>
          <rPr>
            <sz val="9"/>
            <color indexed="81"/>
            <rFont val="Tahoma"/>
            <family val="2"/>
          </rPr>
          <t>Solver found a solution. All constraints and optimality conditions are satisfied.</t>
        </r>
      </text>
    </comment>
    <comment ref="B388" authorId="0" shapeId="0" xr:uid="{C2FD9405-49ED-4261-987A-0113F599F579}">
      <text>
        <r>
          <rPr>
            <sz val="9"/>
            <color indexed="81"/>
            <rFont val="Tahoma"/>
            <family val="2"/>
          </rPr>
          <t>Solver found a solution. All constraints and optimality conditions are satisfied.</t>
        </r>
      </text>
    </comment>
    <comment ref="B389" authorId="0" shapeId="0" xr:uid="{D57C4B56-2611-4CCC-83E4-6ABB47812404}">
      <text>
        <r>
          <rPr>
            <sz val="9"/>
            <color indexed="81"/>
            <rFont val="Tahoma"/>
            <family val="2"/>
          </rPr>
          <t>Solver found a solution. All constraints and optimality conditions are satisfied.</t>
        </r>
      </text>
    </comment>
    <comment ref="B390" authorId="0" shapeId="0" xr:uid="{674E42B0-E050-4A4D-A72C-06069CA82AEF}">
      <text>
        <r>
          <rPr>
            <sz val="9"/>
            <color indexed="81"/>
            <rFont val="Tahoma"/>
            <family val="2"/>
          </rPr>
          <t>Solver found a solution. All constraints and optimality conditions are satisfied.</t>
        </r>
      </text>
    </comment>
    <comment ref="B391" authorId="0" shapeId="0" xr:uid="{080699BC-7BC7-45CB-82C9-7C437B94B07D}">
      <text>
        <r>
          <rPr>
            <sz val="9"/>
            <color indexed="81"/>
            <rFont val="Tahoma"/>
            <family val="2"/>
          </rPr>
          <t>Solver found a solution. All constraints and optimality conditions are satisfied.</t>
        </r>
      </text>
    </comment>
    <comment ref="B392" authorId="0" shapeId="0" xr:uid="{C7AF981D-31A9-4D1F-96BD-128E4E947814}">
      <text>
        <r>
          <rPr>
            <sz val="9"/>
            <color indexed="81"/>
            <rFont val="Tahoma"/>
            <family val="2"/>
          </rPr>
          <t>Solver found a solution. All constraints and optimality conditions are satisfied.</t>
        </r>
      </text>
    </comment>
    <comment ref="B393" authorId="0" shapeId="0" xr:uid="{119BDD50-D247-4658-B6FD-09DDEF036CEA}">
      <text>
        <r>
          <rPr>
            <sz val="9"/>
            <color indexed="81"/>
            <rFont val="Tahoma"/>
            <family val="2"/>
          </rPr>
          <t>Solver found a solution. All constraints and optimality conditions are satisfied.</t>
        </r>
      </text>
    </comment>
    <comment ref="B394" authorId="0" shapeId="0" xr:uid="{EE708871-D8CD-4F06-9DA3-7EAA302DE04C}">
      <text>
        <r>
          <rPr>
            <sz val="9"/>
            <color indexed="81"/>
            <rFont val="Tahoma"/>
            <family val="2"/>
          </rPr>
          <t>Solver found a solution. All constraints and optimality conditions are satisfied.</t>
        </r>
      </text>
    </comment>
    <comment ref="B395" authorId="0" shapeId="0" xr:uid="{32B02CEB-AD87-4246-ADB4-D6982113144A}">
      <text>
        <r>
          <rPr>
            <sz val="9"/>
            <color indexed="81"/>
            <rFont val="Tahoma"/>
            <family val="2"/>
          </rPr>
          <t>Solver found a solution. All constraints and optimality conditions are satisfied.</t>
        </r>
      </text>
    </comment>
    <comment ref="B396" authorId="0" shapeId="0" xr:uid="{C1921221-366E-4FE1-8FBD-CC4A4D2723C9}">
      <text>
        <r>
          <rPr>
            <sz val="9"/>
            <color indexed="81"/>
            <rFont val="Tahoma"/>
            <family val="2"/>
          </rPr>
          <t>Solver found a solution. All constraints and optimality conditions are satisfied.</t>
        </r>
      </text>
    </comment>
    <comment ref="B397" authorId="0" shapeId="0" xr:uid="{2D37963B-986D-42B2-BFEF-84734EE1AAB1}">
      <text>
        <r>
          <rPr>
            <sz val="9"/>
            <color indexed="81"/>
            <rFont val="Tahoma"/>
            <family val="2"/>
          </rPr>
          <t>Solver found a solution. All constraints and optimality conditions are satisfied.</t>
        </r>
      </text>
    </comment>
    <comment ref="B398" authorId="0" shapeId="0" xr:uid="{DC1B8ED0-30FA-4ADF-8041-2685BF8B2961}">
      <text>
        <r>
          <rPr>
            <sz val="9"/>
            <color indexed="81"/>
            <rFont val="Tahoma"/>
            <family val="2"/>
          </rPr>
          <t>Solver found a solution. All constraints and optimality conditions are satisfied.</t>
        </r>
      </text>
    </comment>
    <comment ref="B399" authorId="0" shapeId="0" xr:uid="{FC5EC0CA-B2B6-4BE8-8679-EE0F459AEBAC}">
      <text>
        <r>
          <rPr>
            <sz val="9"/>
            <color indexed="81"/>
            <rFont val="Tahoma"/>
            <family val="2"/>
          </rPr>
          <t>Solver found a solution. All constraints and optimality conditions are satisfied.</t>
        </r>
      </text>
    </comment>
    <comment ref="B400" authorId="0" shapeId="0" xr:uid="{0B333073-B2E3-4107-A2EC-5AABEB02B3D5}">
      <text>
        <r>
          <rPr>
            <sz val="9"/>
            <color indexed="81"/>
            <rFont val="Tahoma"/>
            <family val="2"/>
          </rPr>
          <t>Solver found a solution. All constraints and optimality conditions are satisfied.</t>
        </r>
      </text>
    </comment>
    <comment ref="B401" authorId="0" shapeId="0" xr:uid="{3E8D80BD-06A3-4B66-9B4A-74D16B1DC677}">
      <text>
        <r>
          <rPr>
            <sz val="9"/>
            <color indexed="81"/>
            <rFont val="Tahoma"/>
            <family val="2"/>
          </rPr>
          <t>Solver found a solution. All constraints and optimality conditions are satisfied.</t>
        </r>
      </text>
    </comment>
    <comment ref="B402" authorId="0" shapeId="0" xr:uid="{5985056B-B88D-43BD-9DD7-FA6295FC5E43}">
      <text>
        <r>
          <rPr>
            <sz val="9"/>
            <color indexed="81"/>
            <rFont val="Tahoma"/>
            <family val="2"/>
          </rPr>
          <t>Solver found a solution. All constraints and optimality conditions are satisfied.</t>
        </r>
      </text>
    </comment>
    <comment ref="B403" authorId="0" shapeId="0" xr:uid="{EF24F4FD-B3CB-4824-8E86-6E1DFDCB33B3}">
      <text>
        <r>
          <rPr>
            <sz val="9"/>
            <color indexed="81"/>
            <rFont val="Tahoma"/>
            <family val="2"/>
          </rPr>
          <t>Solver found a solution. All constraints and optimality conditions are satisfied.</t>
        </r>
      </text>
    </comment>
    <comment ref="B404" authorId="0" shapeId="0" xr:uid="{020DDBDA-E414-48B9-9A5B-696A3DCE3EA8}">
      <text>
        <r>
          <rPr>
            <sz val="9"/>
            <color indexed="81"/>
            <rFont val="Tahoma"/>
            <family val="2"/>
          </rPr>
          <t>Solver found a solution. All constraints and optimality conditions are satisfied.</t>
        </r>
      </text>
    </comment>
    <comment ref="B405" authorId="0" shapeId="0" xr:uid="{6D2AE0A1-7C1F-4266-9FF6-04218AD87B02}">
      <text>
        <r>
          <rPr>
            <sz val="9"/>
            <color indexed="81"/>
            <rFont val="Tahoma"/>
            <family val="2"/>
          </rPr>
          <t>Solver found a solution. All constraints and optimality conditions are satisfied.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Chelsea Alford</author>
  </authors>
  <commentList>
    <comment ref="B5" authorId="0" shapeId="0" xr:uid="{BE31DA50-E36E-43B6-9A1C-233101FE31E6}">
      <text>
        <r>
          <rPr>
            <sz val="9"/>
            <color indexed="81"/>
            <rFont val="Tahoma"/>
            <family val="2"/>
          </rPr>
          <t>Solver found a solution. All constraints and optimality conditions are satisfied.</t>
        </r>
      </text>
    </comment>
    <comment ref="B6" authorId="0" shapeId="0" xr:uid="{1A8AB6DB-9394-4088-AD05-DB8B888CAA64}">
      <text>
        <r>
          <rPr>
            <sz val="9"/>
            <color indexed="81"/>
            <rFont val="Tahoma"/>
            <family val="2"/>
          </rPr>
          <t>Solver found a solution. All constraints and optimality conditions are satisfied.</t>
        </r>
      </text>
    </comment>
    <comment ref="B7" authorId="0" shapeId="0" xr:uid="{F022A19D-E709-4399-BF9B-06AEB493C3C6}">
      <text>
        <r>
          <rPr>
            <sz val="9"/>
            <color indexed="81"/>
            <rFont val="Tahoma"/>
            <family val="2"/>
          </rPr>
          <t>Solver found a solution. All constraints and optimality conditions are satisfied.</t>
        </r>
      </text>
    </comment>
    <comment ref="B8" authorId="0" shapeId="0" xr:uid="{6BE8A057-DE21-4A3E-9D4E-AEAFB72BDD83}">
      <text>
        <r>
          <rPr>
            <sz val="9"/>
            <color indexed="81"/>
            <rFont val="Tahoma"/>
            <family val="2"/>
          </rPr>
          <t>Solver found a solution. All constraints and optimality conditions are satisfied.</t>
        </r>
      </text>
    </comment>
    <comment ref="B9" authorId="0" shapeId="0" xr:uid="{1E603D1B-EDF8-41B6-AB19-B0BB915373ED}">
      <text>
        <r>
          <rPr>
            <sz val="9"/>
            <color indexed="81"/>
            <rFont val="Tahoma"/>
            <family val="2"/>
          </rPr>
          <t>Solver found a solution. All constraints and optimality conditions are satisfied.</t>
        </r>
      </text>
    </comment>
    <comment ref="B10" authorId="0" shapeId="0" xr:uid="{9ED57565-E385-401F-9A18-2C1F1BE5A52A}">
      <text>
        <r>
          <rPr>
            <sz val="9"/>
            <color indexed="81"/>
            <rFont val="Tahoma"/>
            <family val="2"/>
          </rPr>
          <t>Solver found a solution. All constraints and optimality conditions are satisfied.</t>
        </r>
      </text>
    </comment>
    <comment ref="B11" authorId="0" shapeId="0" xr:uid="{60E6C990-587D-468C-8CE7-67A5854BE86E}">
      <text>
        <r>
          <rPr>
            <sz val="9"/>
            <color indexed="81"/>
            <rFont val="Tahoma"/>
            <family val="2"/>
          </rPr>
          <t>Solver found a solution. All constraints and optimality conditions are satisfied.</t>
        </r>
      </text>
    </comment>
    <comment ref="B12" authorId="0" shapeId="0" xr:uid="{2B4BB24A-C1A9-4338-9F31-5B70B2C721D9}">
      <text>
        <r>
          <rPr>
            <sz val="9"/>
            <color indexed="81"/>
            <rFont val="Tahoma"/>
            <family val="2"/>
          </rPr>
          <t>Solver found a solution. All constraints and optimality conditions are satisfied.</t>
        </r>
      </text>
    </comment>
    <comment ref="B13" authorId="0" shapeId="0" xr:uid="{1352AB15-725A-4E76-964D-CC1A358556FF}">
      <text>
        <r>
          <rPr>
            <sz val="9"/>
            <color indexed="81"/>
            <rFont val="Tahoma"/>
            <family val="2"/>
          </rPr>
          <t>Solver found a solution. All constraints and optimality conditions are satisfied.</t>
        </r>
      </text>
    </comment>
    <comment ref="B14" authorId="0" shapeId="0" xr:uid="{EAC75966-6210-4711-B1BB-029EB5D04580}">
      <text>
        <r>
          <rPr>
            <sz val="9"/>
            <color indexed="81"/>
            <rFont val="Tahoma"/>
            <family val="2"/>
          </rPr>
          <t>Solver found a solution. All constraints and optimality conditions are satisfied.</t>
        </r>
      </text>
    </comment>
    <comment ref="B15" authorId="0" shapeId="0" xr:uid="{C6EC3344-6E54-4430-A2C6-5E7872461D59}">
      <text>
        <r>
          <rPr>
            <sz val="9"/>
            <color indexed="81"/>
            <rFont val="Tahoma"/>
            <family val="2"/>
          </rPr>
          <t>Solver found a solution. All constraints and optimality conditions are satisfied.</t>
        </r>
      </text>
    </comment>
    <comment ref="B16" authorId="0" shapeId="0" xr:uid="{FF0C46BE-3D68-4E63-8350-D697562C9FCF}">
      <text>
        <r>
          <rPr>
            <sz val="9"/>
            <color indexed="81"/>
            <rFont val="Tahoma"/>
            <family val="2"/>
          </rPr>
          <t>Solver found a solution. All constraints and optimality conditions are satisfied.</t>
        </r>
      </text>
    </comment>
    <comment ref="B17" authorId="0" shapeId="0" xr:uid="{82F2795E-FB14-4463-AFEB-982BEF40453C}">
      <text>
        <r>
          <rPr>
            <sz val="9"/>
            <color indexed="81"/>
            <rFont val="Tahoma"/>
            <family val="2"/>
          </rPr>
          <t>Solver found a solution. All constraints and optimality conditions are satisfied.</t>
        </r>
      </text>
    </comment>
    <comment ref="B18" authorId="0" shapeId="0" xr:uid="{1FA4A4F1-0811-4063-B11A-7A43A02D3D7E}">
      <text>
        <r>
          <rPr>
            <sz val="9"/>
            <color indexed="81"/>
            <rFont val="Tahoma"/>
            <family val="2"/>
          </rPr>
          <t>Solver found a solution. All constraints and optimality conditions are satisfied.</t>
        </r>
      </text>
    </comment>
    <comment ref="B19" authorId="0" shapeId="0" xr:uid="{4F8AE9A7-F51A-49A4-8B3B-8531E3492693}">
      <text>
        <r>
          <rPr>
            <sz val="9"/>
            <color indexed="81"/>
            <rFont val="Tahoma"/>
            <family val="2"/>
          </rPr>
          <t>Solver found a solution. All constraints and optimality conditions are satisfied.</t>
        </r>
      </text>
    </comment>
    <comment ref="B20" authorId="0" shapeId="0" xr:uid="{4A1219D5-38B7-41CE-944C-65E433807D0A}">
      <text>
        <r>
          <rPr>
            <sz val="9"/>
            <color indexed="81"/>
            <rFont val="Tahoma"/>
            <family val="2"/>
          </rPr>
          <t>Solver found a solution. All constraints and optimality conditions are satisfied.</t>
        </r>
      </text>
    </comment>
    <comment ref="B21" authorId="0" shapeId="0" xr:uid="{A1BB0E2A-DA18-4339-B4E3-0916DF866660}">
      <text>
        <r>
          <rPr>
            <sz val="9"/>
            <color indexed="81"/>
            <rFont val="Tahoma"/>
            <family val="2"/>
          </rPr>
          <t>Solver found a solution. All constraints and optimality conditions are satisfied.</t>
        </r>
      </text>
    </comment>
    <comment ref="B22" authorId="0" shapeId="0" xr:uid="{EE40F8AD-91F2-4CD8-BC0D-63B33ECD182B}">
      <text>
        <r>
          <rPr>
            <sz val="9"/>
            <color indexed="81"/>
            <rFont val="Tahoma"/>
            <family val="2"/>
          </rPr>
          <t>Solver found a solution. All constraints and optimality conditions are satisfied.</t>
        </r>
      </text>
    </comment>
    <comment ref="B23" authorId="0" shapeId="0" xr:uid="{EF075D0F-686C-4320-BA34-E3C06DBCE549}">
      <text>
        <r>
          <rPr>
            <sz val="9"/>
            <color indexed="81"/>
            <rFont val="Tahoma"/>
            <family val="2"/>
          </rPr>
          <t>Solver found a solution. All constraints and optimality conditions are satisfied.</t>
        </r>
      </text>
    </comment>
    <comment ref="B24" authorId="0" shapeId="0" xr:uid="{F339EC55-B8E4-4183-9450-6909A9D44D4D}">
      <text>
        <r>
          <rPr>
            <sz val="9"/>
            <color indexed="81"/>
            <rFont val="Tahoma"/>
            <family val="2"/>
          </rPr>
          <t>Solver found a solution. All constraints and optimality conditions are satisfied.</t>
        </r>
      </text>
    </comment>
    <comment ref="B25" authorId="0" shapeId="0" xr:uid="{C7FB511F-6373-4C69-BFB8-A0BFB45E6C0F}">
      <text>
        <r>
          <rPr>
            <sz val="9"/>
            <color indexed="81"/>
            <rFont val="Tahoma"/>
            <family val="2"/>
          </rPr>
          <t>Solver found a solution. All constraints and optimality conditions are satisfied.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Chelsea Alford</author>
  </authors>
  <commentList>
    <comment ref="B5" authorId="0" shapeId="0" xr:uid="{D5645E00-1372-4D4C-B130-16FDB53DD336}">
      <text>
        <r>
          <rPr>
            <sz val="9"/>
            <color indexed="81"/>
            <rFont val="Tahoma"/>
            <family val="2"/>
          </rPr>
          <t>Solver found a solution. All constraints and optimality conditions are satisfied.</t>
        </r>
      </text>
    </comment>
    <comment ref="C5" authorId="0" shapeId="0" xr:uid="{A56910A5-3D91-4E16-897C-4F870E4D0986}">
      <text>
        <r>
          <rPr>
            <sz val="9"/>
            <color indexed="81"/>
            <rFont val="Tahoma"/>
            <family val="2"/>
          </rPr>
          <t>Solver found a solution. All constraints and optimality conditions are satisfied.</t>
        </r>
      </text>
    </comment>
    <comment ref="D5" authorId="0" shapeId="0" xr:uid="{0920ECB9-EB51-4CE5-9045-86F9C6E6C331}">
      <text>
        <r>
          <rPr>
            <sz val="9"/>
            <color indexed="81"/>
            <rFont val="Tahoma"/>
            <family val="2"/>
          </rPr>
          <t>Solver found a solution. All constraints and optimality conditions are satisfied.</t>
        </r>
      </text>
    </comment>
    <comment ref="E5" authorId="0" shapeId="0" xr:uid="{F854757C-02B4-4A12-B3CF-43B3A4051035}">
      <text>
        <r>
          <rPr>
            <sz val="9"/>
            <color indexed="81"/>
            <rFont val="Tahoma"/>
            <family val="2"/>
          </rPr>
          <t>Solver found a solution. All constraints and optimality conditions are satisfied.</t>
        </r>
      </text>
    </comment>
    <comment ref="F5" authorId="0" shapeId="0" xr:uid="{E5935911-EE14-4725-B98C-E42E7C1A0C26}">
      <text>
        <r>
          <rPr>
            <sz val="9"/>
            <color indexed="81"/>
            <rFont val="Tahoma"/>
            <family val="2"/>
          </rPr>
          <t>Solver found a solution. All constraints and optimality conditions are satisfied.</t>
        </r>
      </text>
    </comment>
    <comment ref="G5" authorId="0" shapeId="0" xr:uid="{9B05E4F1-E975-4938-A491-8DC9B594E15C}">
      <text>
        <r>
          <rPr>
            <sz val="9"/>
            <color indexed="81"/>
            <rFont val="Tahoma"/>
            <family val="2"/>
          </rPr>
          <t>Solver found a solution. All constraints and optimality conditions are satisfied.</t>
        </r>
      </text>
    </comment>
    <comment ref="H5" authorId="0" shapeId="0" xr:uid="{61746CE0-32FD-4294-881C-ED7E3772BB0F}">
      <text>
        <r>
          <rPr>
            <sz val="9"/>
            <color indexed="81"/>
            <rFont val="Tahoma"/>
            <family val="2"/>
          </rPr>
          <t>Solver found a solution. All constraints and optimality conditions are satisfied.</t>
        </r>
      </text>
    </comment>
    <comment ref="I5" authorId="0" shapeId="0" xr:uid="{8978006F-F599-4B12-8B5D-242ACCBBDFCD}">
      <text>
        <r>
          <rPr>
            <sz val="9"/>
            <color indexed="81"/>
            <rFont val="Tahoma"/>
            <family val="2"/>
          </rPr>
          <t>Solver found a solution. All constraints and optimality conditions are satisfied.</t>
        </r>
      </text>
    </comment>
    <comment ref="J5" authorId="0" shapeId="0" xr:uid="{60182F1C-B773-4842-80FC-CDC0E2E1887D}">
      <text>
        <r>
          <rPr>
            <sz val="9"/>
            <color indexed="81"/>
            <rFont val="Tahoma"/>
            <family val="2"/>
          </rPr>
          <t>Solver found a solution. All constraints and optimality conditions are satisfied.</t>
        </r>
      </text>
    </comment>
    <comment ref="K5" authorId="0" shapeId="0" xr:uid="{E98A6CC5-5D2A-467A-A895-57F4C676F7B9}">
      <text>
        <r>
          <rPr>
            <sz val="9"/>
            <color indexed="81"/>
            <rFont val="Tahoma"/>
            <family val="2"/>
          </rPr>
          <t>Solver found a solution. All constraints and optimality conditions are satisfied.</t>
        </r>
      </text>
    </comment>
    <comment ref="L5" authorId="0" shapeId="0" xr:uid="{77A67103-8687-48BB-970F-0997C8FA35A1}">
      <text>
        <r>
          <rPr>
            <sz val="9"/>
            <color indexed="81"/>
            <rFont val="Tahoma"/>
            <family val="2"/>
          </rPr>
          <t>Solver found a solution. All constraints and optimality conditions are satisfied.</t>
        </r>
      </text>
    </comment>
    <comment ref="B6" authorId="0" shapeId="0" xr:uid="{AFA7D36E-4E6E-4B5B-9B3B-EA1AF857AA8F}">
      <text>
        <r>
          <rPr>
            <sz val="9"/>
            <color indexed="81"/>
            <rFont val="Tahoma"/>
            <family val="2"/>
          </rPr>
          <t>Solver found a solution. All constraints and optimality conditions are satisfied.</t>
        </r>
      </text>
    </comment>
    <comment ref="C6" authorId="0" shapeId="0" xr:uid="{5D71D0D0-6F8E-4A3B-8AA1-5EE1EA0EED58}">
      <text>
        <r>
          <rPr>
            <sz val="9"/>
            <color indexed="81"/>
            <rFont val="Tahoma"/>
            <family val="2"/>
          </rPr>
          <t>Solver found a solution. All constraints and optimality conditions are satisfied.</t>
        </r>
      </text>
    </comment>
    <comment ref="D6" authorId="0" shapeId="0" xr:uid="{EC851C2A-910E-49C5-A6F1-5013C0C9F94B}">
      <text>
        <r>
          <rPr>
            <sz val="9"/>
            <color indexed="81"/>
            <rFont val="Tahoma"/>
            <family val="2"/>
          </rPr>
          <t>Solver found a solution. All constraints and optimality conditions are satisfied.</t>
        </r>
      </text>
    </comment>
    <comment ref="E6" authorId="0" shapeId="0" xr:uid="{86C3949E-7941-4BDF-9794-66712EB0416B}">
      <text>
        <r>
          <rPr>
            <sz val="9"/>
            <color indexed="81"/>
            <rFont val="Tahoma"/>
            <family val="2"/>
          </rPr>
          <t>Solver found a solution. All constraints and optimality conditions are satisfied.</t>
        </r>
      </text>
    </comment>
    <comment ref="F6" authorId="0" shapeId="0" xr:uid="{C41BFFCA-5BA5-4DEA-BB89-8A765C3C81D8}">
      <text>
        <r>
          <rPr>
            <sz val="9"/>
            <color indexed="81"/>
            <rFont val="Tahoma"/>
            <family val="2"/>
          </rPr>
          <t>Solver found a solution. All constraints and optimality conditions are satisfied.</t>
        </r>
      </text>
    </comment>
    <comment ref="G6" authorId="0" shapeId="0" xr:uid="{319B9E70-4A55-4F20-BEA7-8DC6C4E3730F}">
      <text>
        <r>
          <rPr>
            <sz val="9"/>
            <color indexed="81"/>
            <rFont val="Tahoma"/>
            <family val="2"/>
          </rPr>
          <t>Solver found a solution. All constraints and optimality conditions are satisfied.</t>
        </r>
      </text>
    </comment>
    <comment ref="H6" authorId="0" shapeId="0" xr:uid="{33D874C9-7443-4B58-AF11-1483AA334EBB}">
      <text>
        <r>
          <rPr>
            <sz val="9"/>
            <color indexed="81"/>
            <rFont val="Tahoma"/>
            <family val="2"/>
          </rPr>
          <t>Solver found a solution. All constraints and optimality conditions are satisfied.</t>
        </r>
      </text>
    </comment>
    <comment ref="I6" authorId="0" shapeId="0" xr:uid="{2D567327-1E72-4396-B4F5-BD217137629C}">
      <text>
        <r>
          <rPr>
            <sz val="9"/>
            <color indexed="81"/>
            <rFont val="Tahoma"/>
            <family val="2"/>
          </rPr>
          <t>Solver found a solution. All constraints and optimality conditions are satisfied.</t>
        </r>
      </text>
    </comment>
    <comment ref="J6" authorId="0" shapeId="0" xr:uid="{24D4FAA0-8F64-4929-A745-68990F9B7E77}">
      <text>
        <r>
          <rPr>
            <sz val="9"/>
            <color indexed="81"/>
            <rFont val="Tahoma"/>
            <family val="2"/>
          </rPr>
          <t>Solver found a solution. All constraints and optimality conditions are satisfied.</t>
        </r>
      </text>
    </comment>
    <comment ref="K6" authorId="0" shapeId="0" xr:uid="{35444B85-EC78-4BA9-BA26-69FBC4C0ACE5}">
      <text>
        <r>
          <rPr>
            <sz val="9"/>
            <color indexed="81"/>
            <rFont val="Tahoma"/>
            <family val="2"/>
          </rPr>
          <t>Solver found a solution. All constraints and optimality conditions are satisfied.</t>
        </r>
      </text>
    </comment>
    <comment ref="L6" authorId="0" shapeId="0" xr:uid="{FC835F55-1473-49AB-A24F-53407DCCAF2D}">
      <text>
        <r>
          <rPr>
            <sz val="9"/>
            <color indexed="81"/>
            <rFont val="Tahoma"/>
            <family val="2"/>
          </rPr>
          <t>Solver found a solution. All constraints and optimality conditions are satisfied.</t>
        </r>
      </text>
    </comment>
    <comment ref="B7" authorId="0" shapeId="0" xr:uid="{0CC80E92-64B9-4282-9438-770E00018CD5}">
      <text>
        <r>
          <rPr>
            <sz val="9"/>
            <color indexed="81"/>
            <rFont val="Tahoma"/>
            <family val="2"/>
          </rPr>
          <t>Solver found a solution. All constraints and optimality conditions are satisfied.</t>
        </r>
      </text>
    </comment>
    <comment ref="C7" authorId="0" shapeId="0" xr:uid="{9B92B014-3A2A-4EB7-A086-CA71377D8AE4}">
      <text>
        <r>
          <rPr>
            <sz val="9"/>
            <color indexed="81"/>
            <rFont val="Tahoma"/>
            <family val="2"/>
          </rPr>
          <t>Solver found a solution. All constraints and optimality conditions are satisfied.</t>
        </r>
      </text>
    </comment>
    <comment ref="D7" authorId="0" shapeId="0" xr:uid="{9FCF3CCD-2AEA-4DCE-8DB5-887B303941EB}">
      <text>
        <r>
          <rPr>
            <sz val="9"/>
            <color indexed="81"/>
            <rFont val="Tahoma"/>
            <family val="2"/>
          </rPr>
          <t>Solver found a solution. All constraints and optimality conditions are satisfied.</t>
        </r>
      </text>
    </comment>
    <comment ref="E7" authorId="0" shapeId="0" xr:uid="{ABD5F540-DB8B-4320-97D0-45CFD4B4A27F}">
      <text>
        <r>
          <rPr>
            <sz val="9"/>
            <color indexed="81"/>
            <rFont val="Tahoma"/>
            <family val="2"/>
          </rPr>
          <t>Solver found a solution. All constraints and optimality conditions are satisfied.</t>
        </r>
      </text>
    </comment>
    <comment ref="F7" authorId="0" shapeId="0" xr:uid="{94253C89-53C2-440A-9080-633FBD0A2961}">
      <text>
        <r>
          <rPr>
            <sz val="9"/>
            <color indexed="81"/>
            <rFont val="Tahoma"/>
            <family val="2"/>
          </rPr>
          <t>Solver found a solution. All constraints and optimality conditions are satisfied.</t>
        </r>
      </text>
    </comment>
    <comment ref="G7" authorId="0" shapeId="0" xr:uid="{CE31216C-4FB3-4BD0-B75A-C50B43DF8589}">
      <text>
        <r>
          <rPr>
            <sz val="9"/>
            <color indexed="81"/>
            <rFont val="Tahoma"/>
            <family val="2"/>
          </rPr>
          <t>Solver found a solution. All constraints and optimality conditions are satisfied.</t>
        </r>
      </text>
    </comment>
    <comment ref="H7" authorId="0" shapeId="0" xr:uid="{96C73217-EE35-4757-B5D9-8D8742803C3E}">
      <text>
        <r>
          <rPr>
            <sz val="9"/>
            <color indexed="81"/>
            <rFont val="Tahoma"/>
            <family val="2"/>
          </rPr>
          <t>Solver found a solution. All constraints and optimality conditions are satisfied.</t>
        </r>
      </text>
    </comment>
    <comment ref="I7" authorId="0" shapeId="0" xr:uid="{A43F358F-C09A-4298-9F55-9E5FB6C8B29F}">
      <text>
        <r>
          <rPr>
            <sz val="9"/>
            <color indexed="81"/>
            <rFont val="Tahoma"/>
            <family val="2"/>
          </rPr>
          <t>Solver found a solution. All constraints and optimality conditions are satisfied.</t>
        </r>
      </text>
    </comment>
    <comment ref="J7" authorId="0" shapeId="0" xr:uid="{35F35FE5-38E9-4C52-BB5B-98B82AF74411}">
      <text>
        <r>
          <rPr>
            <sz val="9"/>
            <color indexed="81"/>
            <rFont val="Tahoma"/>
            <family val="2"/>
          </rPr>
          <t>Solver found a solution. All constraints and optimality conditions are satisfied.</t>
        </r>
      </text>
    </comment>
    <comment ref="K7" authorId="0" shapeId="0" xr:uid="{E3597C23-9F28-4ADC-A2B4-FC343BD5C528}">
      <text>
        <r>
          <rPr>
            <sz val="9"/>
            <color indexed="81"/>
            <rFont val="Tahoma"/>
            <family val="2"/>
          </rPr>
          <t>Solver found a solution. All constraints and optimality conditions are satisfied.</t>
        </r>
      </text>
    </comment>
    <comment ref="L7" authorId="0" shapeId="0" xr:uid="{64761D11-C945-4183-B6E6-EE7B4E8E1465}">
      <text>
        <r>
          <rPr>
            <sz val="9"/>
            <color indexed="81"/>
            <rFont val="Tahoma"/>
            <family val="2"/>
          </rPr>
          <t>Solver found a solution. All constraints and optimality conditions are satisfied.</t>
        </r>
      </text>
    </comment>
    <comment ref="B8" authorId="0" shapeId="0" xr:uid="{547B72A7-6201-4DD4-ADB3-3B4AF73E2AF2}">
      <text>
        <r>
          <rPr>
            <sz val="9"/>
            <color indexed="81"/>
            <rFont val="Tahoma"/>
            <family val="2"/>
          </rPr>
          <t>Solver found a solution. All constraints and optimality conditions are satisfied.</t>
        </r>
      </text>
    </comment>
    <comment ref="C8" authorId="0" shapeId="0" xr:uid="{5EA7C43B-67A0-4D5B-A822-2177E313BAAF}">
      <text>
        <r>
          <rPr>
            <sz val="9"/>
            <color indexed="81"/>
            <rFont val="Tahoma"/>
            <family val="2"/>
          </rPr>
          <t>Solver found a solution. All constraints and optimality conditions are satisfied.</t>
        </r>
      </text>
    </comment>
    <comment ref="D8" authorId="0" shapeId="0" xr:uid="{F85ADC77-A705-43BF-A3C0-273834557D17}">
      <text>
        <r>
          <rPr>
            <sz val="9"/>
            <color indexed="81"/>
            <rFont val="Tahoma"/>
            <family val="2"/>
          </rPr>
          <t>Solver found a solution. All constraints and optimality conditions are satisfied.</t>
        </r>
      </text>
    </comment>
    <comment ref="E8" authorId="0" shapeId="0" xr:uid="{6D911AAB-D856-4A28-9106-A2BB32152308}">
      <text>
        <r>
          <rPr>
            <sz val="9"/>
            <color indexed="81"/>
            <rFont val="Tahoma"/>
            <family val="2"/>
          </rPr>
          <t>Solver found a solution. All constraints and optimality conditions are satisfied.</t>
        </r>
      </text>
    </comment>
    <comment ref="F8" authorId="0" shapeId="0" xr:uid="{FE24B20F-EDBC-4E2B-8A92-428D5E57656B}">
      <text>
        <r>
          <rPr>
            <sz val="9"/>
            <color indexed="81"/>
            <rFont val="Tahoma"/>
            <family val="2"/>
          </rPr>
          <t>Solver found a solution. All constraints and optimality conditions are satisfied.</t>
        </r>
      </text>
    </comment>
    <comment ref="G8" authorId="0" shapeId="0" xr:uid="{55DCD127-BF52-4120-9EA2-586B623AACF5}">
      <text>
        <r>
          <rPr>
            <sz val="9"/>
            <color indexed="81"/>
            <rFont val="Tahoma"/>
            <family val="2"/>
          </rPr>
          <t>Solver found a solution. All constraints and optimality conditions are satisfied.</t>
        </r>
      </text>
    </comment>
    <comment ref="H8" authorId="0" shapeId="0" xr:uid="{F3637C58-BE82-4AC6-B645-D86FFED92CE0}">
      <text>
        <r>
          <rPr>
            <sz val="9"/>
            <color indexed="81"/>
            <rFont val="Tahoma"/>
            <family val="2"/>
          </rPr>
          <t>Solver found a solution. All constraints and optimality conditions are satisfied.</t>
        </r>
      </text>
    </comment>
    <comment ref="I8" authorId="0" shapeId="0" xr:uid="{DE12918A-FC7E-4B17-AA9C-7BE29656183A}">
      <text>
        <r>
          <rPr>
            <sz val="9"/>
            <color indexed="81"/>
            <rFont val="Tahoma"/>
            <family val="2"/>
          </rPr>
          <t>Solver found a solution. All constraints and optimality conditions are satisfied.</t>
        </r>
      </text>
    </comment>
    <comment ref="J8" authorId="0" shapeId="0" xr:uid="{59BFC05A-65B0-4752-9F78-0CB924CC735C}">
      <text>
        <r>
          <rPr>
            <sz val="9"/>
            <color indexed="81"/>
            <rFont val="Tahoma"/>
            <family val="2"/>
          </rPr>
          <t>Solver found a solution. All constraints and optimality conditions are satisfied.</t>
        </r>
      </text>
    </comment>
    <comment ref="K8" authorId="0" shapeId="0" xr:uid="{7327EDAE-2A37-47AD-BDDC-D507D04A355C}">
      <text>
        <r>
          <rPr>
            <sz val="9"/>
            <color indexed="81"/>
            <rFont val="Tahoma"/>
            <family val="2"/>
          </rPr>
          <t>Solver found a solution. All constraints and optimality conditions are satisfied.</t>
        </r>
      </text>
    </comment>
    <comment ref="L8" authorId="0" shapeId="0" xr:uid="{CFE4323B-3B8A-4FB7-BDF4-B88E5FAC4FF3}">
      <text>
        <r>
          <rPr>
            <sz val="9"/>
            <color indexed="81"/>
            <rFont val="Tahoma"/>
            <family val="2"/>
          </rPr>
          <t>Solver found a solution. All constraints and optimality conditions are satisfied.</t>
        </r>
      </text>
    </comment>
    <comment ref="B9" authorId="0" shapeId="0" xr:uid="{7BD75BF7-D2F8-47A0-A369-D3824E4B78D6}">
      <text>
        <r>
          <rPr>
            <sz val="9"/>
            <color indexed="81"/>
            <rFont val="Tahoma"/>
            <family val="2"/>
          </rPr>
          <t>Solver found a solution. All constraints and optimality conditions are satisfied.</t>
        </r>
      </text>
    </comment>
    <comment ref="C9" authorId="0" shapeId="0" xr:uid="{159E87CB-45CA-467E-A9FC-FCC967A1E1FD}">
      <text>
        <r>
          <rPr>
            <sz val="9"/>
            <color indexed="81"/>
            <rFont val="Tahoma"/>
            <family val="2"/>
          </rPr>
          <t>Solver found a solution. All constraints and optimality conditions are satisfied.</t>
        </r>
      </text>
    </comment>
    <comment ref="D9" authorId="0" shapeId="0" xr:uid="{F9F3255D-C734-43D4-94B5-BCFAA849082D}">
      <text>
        <r>
          <rPr>
            <sz val="9"/>
            <color indexed="81"/>
            <rFont val="Tahoma"/>
            <family val="2"/>
          </rPr>
          <t>Solver found a solution. All constraints and optimality conditions are satisfied.</t>
        </r>
      </text>
    </comment>
    <comment ref="E9" authorId="0" shapeId="0" xr:uid="{05BCC390-1EF2-4FBE-ADAB-C3CCFD71A408}">
      <text>
        <r>
          <rPr>
            <sz val="9"/>
            <color indexed="81"/>
            <rFont val="Tahoma"/>
            <family val="2"/>
          </rPr>
          <t>Solver found a solution. All constraints and optimality conditions are satisfied.</t>
        </r>
      </text>
    </comment>
    <comment ref="F9" authorId="0" shapeId="0" xr:uid="{5278CDF0-0ED0-461C-8A6F-70E3EB5B4C36}">
      <text>
        <r>
          <rPr>
            <sz val="9"/>
            <color indexed="81"/>
            <rFont val="Tahoma"/>
            <family val="2"/>
          </rPr>
          <t>Solver found a solution. All constraints and optimality conditions are satisfied.</t>
        </r>
      </text>
    </comment>
    <comment ref="G9" authorId="0" shapeId="0" xr:uid="{99085AB0-9014-45C7-862D-51DB1E5D1207}">
      <text>
        <r>
          <rPr>
            <sz val="9"/>
            <color indexed="81"/>
            <rFont val="Tahoma"/>
            <family val="2"/>
          </rPr>
          <t>Solver found a solution. All constraints and optimality conditions are satisfied.</t>
        </r>
      </text>
    </comment>
    <comment ref="H9" authorId="0" shapeId="0" xr:uid="{6D839775-5A10-4893-B955-BB5446EB3D18}">
      <text>
        <r>
          <rPr>
            <sz val="9"/>
            <color indexed="81"/>
            <rFont val="Tahoma"/>
            <family val="2"/>
          </rPr>
          <t>Solver found a solution. All constraints and optimality conditions are satisfied.</t>
        </r>
      </text>
    </comment>
    <comment ref="I9" authorId="0" shapeId="0" xr:uid="{73DBA61D-7213-4A97-B765-D16EE8ACD503}">
      <text>
        <r>
          <rPr>
            <sz val="9"/>
            <color indexed="81"/>
            <rFont val="Tahoma"/>
            <family val="2"/>
          </rPr>
          <t>Solver found a solution. All constraints and optimality conditions are satisfied.</t>
        </r>
      </text>
    </comment>
    <comment ref="J9" authorId="0" shapeId="0" xr:uid="{B8EDC444-B4CF-4243-9BFD-4DDE539901FE}">
      <text>
        <r>
          <rPr>
            <sz val="9"/>
            <color indexed="81"/>
            <rFont val="Tahoma"/>
            <family val="2"/>
          </rPr>
          <t>Solver found a solution. All constraints and optimality conditions are satisfied.</t>
        </r>
      </text>
    </comment>
    <comment ref="K9" authorId="0" shapeId="0" xr:uid="{803119C4-890C-42D0-AB9C-73E3574522A4}">
      <text>
        <r>
          <rPr>
            <sz val="9"/>
            <color indexed="81"/>
            <rFont val="Tahoma"/>
            <family val="2"/>
          </rPr>
          <t>Solver found a solution. All constraints and optimality conditions are satisfied.</t>
        </r>
      </text>
    </comment>
    <comment ref="L9" authorId="0" shapeId="0" xr:uid="{E1B401D7-03AD-475B-A45E-973309EB8B79}">
      <text>
        <r>
          <rPr>
            <sz val="9"/>
            <color indexed="81"/>
            <rFont val="Tahoma"/>
            <family val="2"/>
          </rPr>
          <t>Solver found a solution. All constraints and optimality conditions are satisfied.</t>
        </r>
      </text>
    </comment>
    <comment ref="B10" authorId="0" shapeId="0" xr:uid="{16E9E278-C821-47F3-958A-A946244EEC1F}">
      <text>
        <r>
          <rPr>
            <sz val="9"/>
            <color indexed="81"/>
            <rFont val="Tahoma"/>
            <family val="2"/>
          </rPr>
          <t>Solver found a solution. All constraints and optimality conditions are satisfied.</t>
        </r>
      </text>
    </comment>
    <comment ref="C10" authorId="0" shapeId="0" xr:uid="{C87F98DF-854D-4CE4-A2FE-26D2A730AB96}">
      <text>
        <r>
          <rPr>
            <sz val="9"/>
            <color indexed="81"/>
            <rFont val="Tahoma"/>
            <family val="2"/>
          </rPr>
          <t>Solver found a solution. All constraints and optimality conditions are satisfied.</t>
        </r>
      </text>
    </comment>
    <comment ref="D10" authorId="0" shapeId="0" xr:uid="{891BB1B7-7DEB-419B-AED1-1C16A00237AA}">
      <text>
        <r>
          <rPr>
            <sz val="9"/>
            <color indexed="81"/>
            <rFont val="Tahoma"/>
            <family val="2"/>
          </rPr>
          <t>Solver found a solution. All constraints and optimality conditions are satisfied.</t>
        </r>
      </text>
    </comment>
    <comment ref="E10" authorId="0" shapeId="0" xr:uid="{8285EA17-A68D-472E-A1EC-22F1A093300C}">
      <text>
        <r>
          <rPr>
            <sz val="9"/>
            <color indexed="81"/>
            <rFont val="Tahoma"/>
            <family val="2"/>
          </rPr>
          <t>Solver found a solution. All constraints and optimality conditions are satisfied.</t>
        </r>
      </text>
    </comment>
    <comment ref="F10" authorId="0" shapeId="0" xr:uid="{14F1B307-1C32-4677-8AB8-5340A5AF98D9}">
      <text>
        <r>
          <rPr>
            <sz val="9"/>
            <color indexed="81"/>
            <rFont val="Tahoma"/>
            <family val="2"/>
          </rPr>
          <t>Solver found a solution. All constraints and optimality conditions are satisfied.</t>
        </r>
      </text>
    </comment>
    <comment ref="G10" authorId="0" shapeId="0" xr:uid="{558348A3-1819-4A6C-88B0-8D1F6F8FE12F}">
      <text>
        <r>
          <rPr>
            <sz val="9"/>
            <color indexed="81"/>
            <rFont val="Tahoma"/>
            <family val="2"/>
          </rPr>
          <t>Solver found a solution. All constraints and optimality conditions are satisfied.</t>
        </r>
      </text>
    </comment>
    <comment ref="H10" authorId="0" shapeId="0" xr:uid="{B18609C8-63F2-4CB3-BDB3-EA80B4D7E84A}">
      <text>
        <r>
          <rPr>
            <sz val="9"/>
            <color indexed="81"/>
            <rFont val="Tahoma"/>
            <family val="2"/>
          </rPr>
          <t>Solver found a solution. All constraints and optimality conditions are satisfied.</t>
        </r>
      </text>
    </comment>
    <comment ref="I10" authorId="0" shapeId="0" xr:uid="{714ACFC0-BEA6-423B-8CFC-C57A56105446}">
      <text>
        <r>
          <rPr>
            <sz val="9"/>
            <color indexed="81"/>
            <rFont val="Tahoma"/>
            <family val="2"/>
          </rPr>
          <t>Solver found a solution. All constraints and optimality conditions are satisfied.</t>
        </r>
      </text>
    </comment>
    <comment ref="J10" authorId="0" shapeId="0" xr:uid="{B29F1F3D-4C3F-43A8-A32E-65C0EA4A1A70}">
      <text>
        <r>
          <rPr>
            <sz val="9"/>
            <color indexed="81"/>
            <rFont val="Tahoma"/>
            <family val="2"/>
          </rPr>
          <t>Solver found a solution. All constraints and optimality conditions are satisfied.</t>
        </r>
      </text>
    </comment>
    <comment ref="K10" authorId="0" shapeId="0" xr:uid="{EC9545D6-11DC-415F-AC9F-ABFCFBF9FDC6}">
      <text>
        <r>
          <rPr>
            <sz val="9"/>
            <color indexed="81"/>
            <rFont val="Tahoma"/>
            <family val="2"/>
          </rPr>
          <t>Solver found a solution. All constraints and optimality conditions are satisfied.</t>
        </r>
      </text>
    </comment>
    <comment ref="L10" authorId="0" shapeId="0" xr:uid="{0A54EF7E-78B4-42D8-A3A9-F29206676A16}">
      <text>
        <r>
          <rPr>
            <sz val="9"/>
            <color indexed="81"/>
            <rFont val="Tahoma"/>
            <family val="2"/>
          </rPr>
          <t>Solver found a solution. All constraints and optimality conditions are satisfied.</t>
        </r>
      </text>
    </comment>
    <comment ref="B11" authorId="0" shapeId="0" xr:uid="{F3AE8B2A-A91B-472A-90D8-9C43A5E05D9E}">
      <text>
        <r>
          <rPr>
            <sz val="9"/>
            <color indexed="81"/>
            <rFont val="Tahoma"/>
            <family val="2"/>
          </rPr>
          <t>Solver found a solution. All constraints and optimality conditions are satisfied.</t>
        </r>
      </text>
    </comment>
    <comment ref="C11" authorId="0" shapeId="0" xr:uid="{94756763-D4E6-4CDA-A317-F2DC7B620625}">
      <text>
        <r>
          <rPr>
            <sz val="9"/>
            <color indexed="81"/>
            <rFont val="Tahoma"/>
            <family val="2"/>
          </rPr>
          <t>Solver found a solution. All constraints and optimality conditions are satisfied.</t>
        </r>
      </text>
    </comment>
    <comment ref="D11" authorId="0" shapeId="0" xr:uid="{D3D7AD7F-6F58-4F3B-8A00-177F6EADA135}">
      <text>
        <r>
          <rPr>
            <sz val="9"/>
            <color indexed="81"/>
            <rFont val="Tahoma"/>
            <family val="2"/>
          </rPr>
          <t>Solver found a solution. All constraints and optimality conditions are satisfied.</t>
        </r>
      </text>
    </comment>
    <comment ref="E11" authorId="0" shapeId="0" xr:uid="{7E8A43F9-7331-449E-AA91-21482756DC5B}">
      <text>
        <r>
          <rPr>
            <sz val="9"/>
            <color indexed="81"/>
            <rFont val="Tahoma"/>
            <family val="2"/>
          </rPr>
          <t>Solver found a solution. All constraints and optimality conditions are satisfied.</t>
        </r>
      </text>
    </comment>
    <comment ref="F11" authorId="0" shapeId="0" xr:uid="{A39568E5-B310-4C62-84FE-DC47552335AE}">
      <text>
        <r>
          <rPr>
            <sz val="9"/>
            <color indexed="81"/>
            <rFont val="Tahoma"/>
            <family val="2"/>
          </rPr>
          <t>Solver found a solution. All constraints and optimality conditions are satisfied.</t>
        </r>
      </text>
    </comment>
    <comment ref="G11" authorId="0" shapeId="0" xr:uid="{52FB6B96-D39F-454F-BEC9-20272186076F}">
      <text>
        <r>
          <rPr>
            <sz val="9"/>
            <color indexed="81"/>
            <rFont val="Tahoma"/>
            <family val="2"/>
          </rPr>
          <t>Solver found a solution. All constraints and optimality conditions are satisfied.</t>
        </r>
      </text>
    </comment>
    <comment ref="H11" authorId="0" shapeId="0" xr:uid="{57D5E432-F316-4F55-AB89-708735B9C0BC}">
      <text>
        <r>
          <rPr>
            <sz val="9"/>
            <color indexed="81"/>
            <rFont val="Tahoma"/>
            <family val="2"/>
          </rPr>
          <t>Solver found a solution. All constraints and optimality conditions are satisfied.</t>
        </r>
      </text>
    </comment>
    <comment ref="I11" authorId="0" shapeId="0" xr:uid="{98EBED14-846F-4A95-A7F8-A7C76F10E29A}">
      <text>
        <r>
          <rPr>
            <sz val="9"/>
            <color indexed="81"/>
            <rFont val="Tahoma"/>
            <family val="2"/>
          </rPr>
          <t>Solver found a solution. All constraints and optimality conditions are satisfied.</t>
        </r>
      </text>
    </comment>
    <comment ref="J11" authorId="0" shapeId="0" xr:uid="{A3A83825-22DD-4BCE-9EDB-040D1F5EF208}">
      <text>
        <r>
          <rPr>
            <sz val="9"/>
            <color indexed="81"/>
            <rFont val="Tahoma"/>
            <family val="2"/>
          </rPr>
          <t>Solver found a solution. All constraints and optimality conditions are satisfied.</t>
        </r>
      </text>
    </comment>
    <comment ref="K11" authorId="0" shapeId="0" xr:uid="{447293C6-F862-4AE6-8C03-E80351769D3B}">
      <text>
        <r>
          <rPr>
            <sz val="9"/>
            <color indexed="81"/>
            <rFont val="Tahoma"/>
            <family val="2"/>
          </rPr>
          <t>Solver found a solution. All constraints and optimality conditions are satisfied.</t>
        </r>
      </text>
    </comment>
    <comment ref="L11" authorId="0" shapeId="0" xr:uid="{396502A4-1478-406E-A0D6-5C4D59E0B557}">
      <text>
        <r>
          <rPr>
            <sz val="9"/>
            <color indexed="81"/>
            <rFont val="Tahoma"/>
            <family val="2"/>
          </rPr>
          <t>Solver found a solution. All constraints and optimality conditions are satisfied.</t>
        </r>
      </text>
    </comment>
    <comment ref="B12" authorId="0" shapeId="0" xr:uid="{E16BCD43-AA07-4BB3-A354-40F5CFECD25D}">
      <text>
        <r>
          <rPr>
            <sz val="9"/>
            <color indexed="81"/>
            <rFont val="Tahoma"/>
            <family val="2"/>
          </rPr>
          <t>Solver found a solution. All constraints and optimality conditions are satisfied.</t>
        </r>
      </text>
    </comment>
    <comment ref="C12" authorId="0" shapeId="0" xr:uid="{E4DB7DA2-E714-47CD-B312-A9CEA151B5DD}">
      <text>
        <r>
          <rPr>
            <sz val="9"/>
            <color indexed="81"/>
            <rFont val="Tahoma"/>
            <family val="2"/>
          </rPr>
          <t>Solver found a solution. All constraints and optimality conditions are satisfied.</t>
        </r>
      </text>
    </comment>
    <comment ref="D12" authorId="0" shapeId="0" xr:uid="{707A8ED3-9DD8-4879-8B81-A61EFC515FCC}">
      <text>
        <r>
          <rPr>
            <sz val="9"/>
            <color indexed="81"/>
            <rFont val="Tahoma"/>
            <family val="2"/>
          </rPr>
          <t>Solver found a solution. All constraints and optimality conditions are satisfied.</t>
        </r>
      </text>
    </comment>
    <comment ref="E12" authorId="0" shapeId="0" xr:uid="{39DFE47E-4C4A-4C08-A21D-F2C0CE5D9E86}">
      <text>
        <r>
          <rPr>
            <sz val="9"/>
            <color indexed="81"/>
            <rFont val="Tahoma"/>
            <family val="2"/>
          </rPr>
          <t>Solver found a solution. All constraints and optimality conditions are satisfied.</t>
        </r>
      </text>
    </comment>
    <comment ref="F12" authorId="0" shapeId="0" xr:uid="{6781475A-91D6-425C-96BD-D8FC60EB4D14}">
      <text>
        <r>
          <rPr>
            <sz val="9"/>
            <color indexed="81"/>
            <rFont val="Tahoma"/>
            <family val="2"/>
          </rPr>
          <t>Solver found a solution. All constraints and optimality conditions are satisfied.</t>
        </r>
      </text>
    </comment>
    <comment ref="G12" authorId="0" shapeId="0" xr:uid="{F9FDEBDC-D737-4BB5-9830-33DF44ECD822}">
      <text>
        <r>
          <rPr>
            <sz val="9"/>
            <color indexed="81"/>
            <rFont val="Tahoma"/>
            <family val="2"/>
          </rPr>
          <t>Solver found a solution. All constraints and optimality conditions are satisfied.</t>
        </r>
      </text>
    </comment>
    <comment ref="H12" authorId="0" shapeId="0" xr:uid="{35E36D08-ED3F-4FA1-A898-3A2FA855AF66}">
      <text>
        <r>
          <rPr>
            <sz val="9"/>
            <color indexed="81"/>
            <rFont val="Tahoma"/>
            <family val="2"/>
          </rPr>
          <t>Solver found a solution. All constraints and optimality conditions are satisfied.</t>
        </r>
      </text>
    </comment>
    <comment ref="I12" authorId="0" shapeId="0" xr:uid="{C2B9C833-9C3B-45B3-B8D3-35303344861D}">
      <text>
        <r>
          <rPr>
            <sz val="9"/>
            <color indexed="81"/>
            <rFont val="Tahoma"/>
            <family val="2"/>
          </rPr>
          <t>Solver found a solution. All constraints and optimality conditions are satisfied.</t>
        </r>
      </text>
    </comment>
    <comment ref="J12" authorId="0" shapeId="0" xr:uid="{DD5672A1-E7E0-4E00-8C57-0AEA21D084A4}">
      <text>
        <r>
          <rPr>
            <sz val="9"/>
            <color indexed="81"/>
            <rFont val="Tahoma"/>
            <family val="2"/>
          </rPr>
          <t>Solver found a solution. All constraints and optimality conditions are satisfied.</t>
        </r>
      </text>
    </comment>
    <comment ref="K12" authorId="0" shapeId="0" xr:uid="{4963D9CC-CDB9-4C04-B30E-A07C8EFF14E8}">
      <text>
        <r>
          <rPr>
            <sz val="9"/>
            <color indexed="81"/>
            <rFont val="Tahoma"/>
            <family val="2"/>
          </rPr>
          <t>Solver found a solution. All constraints and optimality conditions are satisfied.</t>
        </r>
      </text>
    </comment>
    <comment ref="L12" authorId="0" shapeId="0" xr:uid="{4897E744-B59D-4B2D-ADDC-1F992CCEEE36}">
      <text>
        <r>
          <rPr>
            <sz val="9"/>
            <color indexed="81"/>
            <rFont val="Tahoma"/>
            <family val="2"/>
          </rPr>
          <t>Solver found a solution. All constraints and optimality conditions are satisfied.</t>
        </r>
      </text>
    </comment>
    <comment ref="B13" authorId="0" shapeId="0" xr:uid="{DFC40E06-1C2E-448E-AC4D-F507FC955622}">
      <text>
        <r>
          <rPr>
            <sz val="9"/>
            <color indexed="81"/>
            <rFont val="Tahoma"/>
            <family val="2"/>
          </rPr>
          <t>Solver found a solution. All constraints and optimality conditions are satisfied.</t>
        </r>
      </text>
    </comment>
    <comment ref="C13" authorId="0" shapeId="0" xr:uid="{4F4B7B6A-585C-47E8-A3C5-E65D3E9998AA}">
      <text>
        <r>
          <rPr>
            <sz val="9"/>
            <color indexed="81"/>
            <rFont val="Tahoma"/>
            <family val="2"/>
          </rPr>
          <t>Solver found a solution. All constraints and optimality conditions are satisfied.</t>
        </r>
      </text>
    </comment>
    <comment ref="D13" authorId="0" shapeId="0" xr:uid="{98B84731-8BF5-4EAE-82BE-3940FB14527C}">
      <text>
        <r>
          <rPr>
            <sz val="9"/>
            <color indexed="81"/>
            <rFont val="Tahoma"/>
            <family val="2"/>
          </rPr>
          <t>Solver found a solution. All constraints and optimality conditions are satisfied.</t>
        </r>
      </text>
    </comment>
    <comment ref="E13" authorId="0" shapeId="0" xr:uid="{B7746221-D217-4353-880A-73029F0ECC71}">
      <text>
        <r>
          <rPr>
            <sz val="9"/>
            <color indexed="81"/>
            <rFont val="Tahoma"/>
            <family val="2"/>
          </rPr>
          <t>Solver found a solution. All constraints and optimality conditions are satisfied.</t>
        </r>
      </text>
    </comment>
    <comment ref="F13" authorId="0" shapeId="0" xr:uid="{6727438D-36A2-43DA-BE2B-A78D983AB64B}">
      <text>
        <r>
          <rPr>
            <sz val="9"/>
            <color indexed="81"/>
            <rFont val="Tahoma"/>
            <family val="2"/>
          </rPr>
          <t>Solver found a solution. All constraints and optimality conditions are satisfied.</t>
        </r>
      </text>
    </comment>
    <comment ref="G13" authorId="0" shapeId="0" xr:uid="{376A3244-A203-4F38-ADBD-94BF9B9AC1D6}">
      <text>
        <r>
          <rPr>
            <sz val="9"/>
            <color indexed="81"/>
            <rFont val="Tahoma"/>
            <family val="2"/>
          </rPr>
          <t>Solver found a solution. All constraints and optimality conditions are satisfied.</t>
        </r>
      </text>
    </comment>
    <comment ref="H13" authorId="0" shapeId="0" xr:uid="{54F409E2-690C-45F0-9EB2-A7FADC4AD872}">
      <text>
        <r>
          <rPr>
            <sz val="9"/>
            <color indexed="81"/>
            <rFont val="Tahoma"/>
            <family val="2"/>
          </rPr>
          <t>Solver found a solution. All constraints and optimality conditions are satisfied.</t>
        </r>
      </text>
    </comment>
    <comment ref="I13" authorId="0" shapeId="0" xr:uid="{8E1C9F57-05E2-4029-8782-C8A08B6046E4}">
      <text>
        <r>
          <rPr>
            <sz val="9"/>
            <color indexed="81"/>
            <rFont val="Tahoma"/>
            <family val="2"/>
          </rPr>
          <t>Solver found a solution. All constraints and optimality conditions are satisfied.</t>
        </r>
      </text>
    </comment>
    <comment ref="J13" authorId="0" shapeId="0" xr:uid="{8B77A4EE-CDA0-4549-B040-167D19C1E6BE}">
      <text>
        <r>
          <rPr>
            <sz val="9"/>
            <color indexed="81"/>
            <rFont val="Tahoma"/>
            <family val="2"/>
          </rPr>
          <t>Solver found a solution. All constraints and optimality conditions are satisfied.</t>
        </r>
      </text>
    </comment>
    <comment ref="K13" authorId="0" shapeId="0" xr:uid="{612EFC8D-C884-4CBC-AB89-831499314DBC}">
      <text>
        <r>
          <rPr>
            <sz val="9"/>
            <color indexed="81"/>
            <rFont val="Tahoma"/>
            <family val="2"/>
          </rPr>
          <t>Solver found a solution. All constraints and optimality conditions are satisfied.</t>
        </r>
      </text>
    </comment>
    <comment ref="L13" authorId="0" shapeId="0" xr:uid="{65E2583E-B6AA-48D7-BD25-3FAE86D00295}">
      <text>
        <r>
          <rPr>
            <sz val="9"/>
            <color indexed="81"/>
            <rFont val="Tahoma"/>
            <family val="2"/>
          </rPr>
          <t>Solver found a solution. All constraints and optimality conditions are satisfied.</t>
        </r>
      </text>
    </comment>
    <comment ref="B14" authorId="0" shapeId="0" xr:uid="{2BEEEAAD-0431-441A-87BF-6B62397579EC}">
      <text>
        <r>
          <rPr>
            <sz val="9"/>
            <color indexed="81"/>
            <rFont val="Tahoma"/>
            <family val="2"/>
          </rPr>
          <t>Solver found a solution. All constraints and optimality conditions are satisfied.</t>
        </r>
      </text>
    </comment>
    <comment ref="C14" authorId="0" shapeId="0" xr:uid="{9DCE40B6-C7A4-4BEA-B5A0-6AD516352159}">
      <text>
        <r>
          <rPr>
            <sz val="9"/>
            <color indexed="81"/>
            <rFont val="Tahoma"/>
            <family val="2"/>
          </rPr>
          <t>Solver found a solution. All constraints and optimality conditions are satisfied.</t>
        </r>
      </text>
    </comment>
    <comment ref="D14" authorId="0" shapeId="0" xr:uid="{1F3765A3-5FD5-4710-8242-942E371F34DD}">
      <text>
        <r>
          <rPr>
            <sz val="9"/>
            <color indexed="81"/>
            <rFont val="Tahoma"/>
            <family val="2"/>
          </rPr>
          <t>Solver found a solution. All constraints and optimality conditions are satisfied.</t>
        </r>
      </text>
    </comment>
    <comment ref="E14" authorId="0" shapeId="0" xr:uid="{012969AB-35C8-4AAB-B323-A4C692AD5321}">
      <text>
        <r>
          <rPr>
            <sz val="9"/>
            <color indexed="81"/>
            <rFont val="Tahoma"/>
            <family val="2"/>
          </rPr>
          <t>Solver found a solution. All constraints and optimality conditions are satisfied.</t>
        </r>
      </text>
    </comment>
    <comment ref="F14" authorId="0" shapeId="0" xr:uid="{0D8474BF-7DB0-4773-81B6-2F904783BAA5}">
      <text>
        <r>
          <rPr>
            <sz val="9"/>
            <color indexed="81"/>
            <rFont val="Tahoma"/>
            <family val="2"/>
          </rPr>
          <t>Solver found a solution. All constraints and optimality conditions are satisfied.</t>
        </r>
      </text>
    </comment>
    <comment ref="G14" authorId="0" shapeId="0" xr:uid="{8C96CD70-8F8B-466C-A2AC-F550E67A10DB}">
      <text>
        <r>
          <rPr>
            <sz val="9"/>
            <color indexed="81"/>
            <rFont val="Tahoma"/>
            <family val="2"/>
          </rPr>
          <t>Solver found a solution. All constraints and optimality conditions are satisfied.</t>
        </r>
      </text>
    </comment>
    <comment ref="H14" authorId="0" shapeId="0" xr:uid="{7CD3559E-F6A6-4C20-B9C3-5981B2E6E8C0}">
      <text>
        <r>
          <rPr>
            <sz val="9"/>
            <color indexed="81"/>
            <rFont val="Tahoma"/>
            <family val="2"/>
          </rPr>
          <t>Solver found a solution. All constraints and optimality conditions are satisfied.</t>
        </r>
      </text>
    </comment>
    <comment ref="I14" authorId="0" shapeId="0" xr:uid="{C57F6222-4498-489A-8F05-FC74045167E0}">
      <text>
        <r>
          <rPr>
            <sz val="9"/>
            <color indexed="81"/>
            <rFont val="Tahoma"/>
            <family val="2"/>
          </rPr>
          <t>Solver found a solution. All constraints and optimality conditions are satisfied.</t>
        </r>
      </text>
    </comment>
    <comment ref="J14" authorId="0" shapeId="0" xr:uid="{80862663-A1AA-49BC-9C02-C00F5E34E42A}">
      <text>
        <r>
          <rPr>
            <sz val="9"/>
            <color indexed="81"/>
            <rFont val="Tahoma"/>
            <family val="2"/>
          </rPr>
          <t>Solver found a solution. All constraints and optimality conditions are satisfied.</t>
        </r>
      </text>
    </comment>
    <comment ref="K14" authorId="0" shapeId="0" xr:uid="{E826FF7B-7FA5-44C5-B2DC-8A276AA433FB}">
      <text>
        <r>
          <rPr>
            <sz val="9"/>
            <color indexed="81"/>
            <rFont val="Tahoma"/>
            <family val="2"/>
          </rPr>
          <t>Solver found a solution. All constraints and optimality conditions are satisfied.</t>
        </r>
      </text>
    </comment>
    <comment ref="L14" authorId="0" shapeId="0" xr:uid="{E93431E0-D3B0-4363-B89E-51CE3F6DA973}">
      <text>
        <r>
          <rPr>
            <sz val="9"/>
            <color indexed="81"/>
            <rFont val="Tahoma"/>
            <family val="2"/>
          </rPr>
          <t>Solver found a solution. All constraints and optimality conditions are satisfied.</t>
        </r>
      </text>
    </comment>
    <comment ref="B15" authorId="0" shapeId="0" xr:uid="{42C2A9CA-F71B-445C-8E73-2A7F90E77E88}">
      <text>
        <r>
          <rPr>
            <sz val="9"/>
            <color indexed="81"/>
            <rFont val="Tahoma"/>
            <family val="2"/>
          </rPr>
          <t>Solver found a solution. All constraints and optimality conditions are satisfied.</t>
        </r>
      </text>
    </comment>
    <comment ref="C15" authorId="0" shapeId="0" xr:uid="{F8568840-4DF1-44E6-991A-299149C8FF7E}">
      <text>
        <r>
          <rPr>
            <sz val="9"/>
            <color indexed="81"/>
            <rFont val="Tahoma"/>
            <family val="2"/>
          </rPr>
          <t>Solver found a solution. All constraints and optimality conditions are satisfied.</t>
        </r>
      </text>
    </comment>
    <comment ref="D15" authorId="0" shapeId="0" xr:uid="{48A27D3D-C40F-4DF1-B3B0-1124E3EF84AA}">
      <text>
        <r>
          <rPr>
            <sz val="9"/>
            <color indexed="81"/>
            <rFont val="Tahoma"/>
            <family val="2"/>
          </rPr>
          <t>Solver found a solution. All constraints and optimality conditions are satisfied.</t>
        </r>
      </text>
    </comment>
    <comment ref="E15" authorId="0" shapeId="0" xr:uid="{04C91120-539E-4C1E-8ECB-6C6A7067EE75}">
      <text>
        <r>
          <rPr>
            <sz val="9"/>
            <color indexed="81"/>
            <rFont val="Tahoma"/>
            <family val="2"/>
          </rPr>
          <t>Solver found a solution. All constraints and optimality conditions are satisfied.</t>
        </r>
      </text>
    </comment>
    <comment ref="F15" authorId="0" shapeId="0" xr:uid="{F3858F1F-14C3-4077-9E9F-736C8321B74D}">
      <text>
        <r>
          <rPr>
            <sz val="9"/>
            <color indexed="81"/>
            <rFont val="Tahoma"/>
            <family val="2"/>
          </rPr>
          <t>Solver found a solution. All constraints and optimality conditions are satisfied.</t>
        </r>
      </text>
    </comment>
    <comment ref="G15" authorId="0" shapeId="0" xr:uid="{86C9C279-5A2F-4AE1-BD00-7FE36BB90BF0}">
      <text>
        <r>
          <rPr>
            <sz val="9"/>
            <color indexed="81"/>
            <rFont val="Tahoma"/>
            <family val="2"/>
          </rPr>
          <t>Solver found a solution. All constraints and optimality conditions are satisfied.</t>
        </r>
      </text>
    </comment>
    <comment ref="H15" authorId="0" shapeId="0" xr:uid="{FDDC25CE-45C6-478C-A721-0A37BC6C2235}">
      <text>
        <r>
          <rPr>
            <sz val="9"/>
            <color indexed="81"/>
            <rFont val="Tahoma"/>
            <family val="2"/>
          </rPr>
          <t>Solver found a solution. All constraints and optimality conditions are satisfied.</t>
        </r>
      </text>
    </comment>
    <comment ref="I15" authorId="0" shapeId="0" xr:uid="{9C8C75CD-04C3-4003-9B88-B094BC230421}">
      <text>
        <r>
          <rPr>
            <sz val="9"/>
            <color indexed="81"/>
            <rFont val="Tahoma"/>
            <family val="2"/>
          </rPr>
          <t>Solver found a solution. All constraints and optimality conditions are satisfied.</t>
        </r>
      </text>
    </comment>
    <comment ref="J15" authorId="0" shapeId="0" xr:uid="{8965BCFA-E9E4-49BB-B99A-25E666AE1458}">
      <text>
        <r>
          <rPr>
            <sz val="9"/>
            <color indexed="81"/>
            <rFont val="Tahoma"/>
            <family val="2"/>
          </rPr>
          <t>Solver found a solution. All constraints and optimality conditions are satisfied.</t>
        </r>
      </text>
    </comment>
    <comment ref="K15" authorId="0" shapeId="0" xr:uid="{F39DF8B9-872F-485B-9A3F-9784E560E59A}">
      <text>
        <r>
          <rPr>
            <sz val="9"/>
            <color indexed="81"/>
            <rFont val="Tahoma"/>
            <family val="2"/>
          </rPr>
          <t>Solver found a solution. All constraints and optimality conditions are satisfied.</t>
        </r>
      </text>
    </comment>
    <comment ref="L15" authorId="0" shapeId="0" xr:uid="{F1350B05-D688-4E44-8FC3-15BDEA57F765}">
      <text>
        <r>
          <rPr>
            <sz val="9"/>
            <color indexed="81"/>
            <rFont val="Tahoma"/>
            <family val="2"/>
          </rPr>
          <t>Solver found a solution. All constraints and optimality conditions are satisfied.</t>
        </r>
      </text>
    </comment>
    <comment ref="B16" authorId="0" shapeId="0" xr:uid="{EF7E454B-C27F-4EF0-BC61-7A55FF855E60}">
      <text>
        <r>
          <rPr>
            <sz val="9"/>
            <color indexed="81"/>
            <rFont val="Tahoma"/>
            <family val="2"/>
          </rPr>
          <t>Solver found a solution. All constraints and optimality conditions are satisfied.</t>
        </r>
      </text>
    </comment>
    <comment ref="C16" authorId="0" shapeId="0" xr:uid="{E295EFA6-C4DA-453C-89E5-200BAEF121BD}">
      <text>
        <r>
          <rPr>
            <sz val="9"/>
            <color indexed="81"/>
            <rFont val="Tahoma"/>
            <family val="2"/>
          </rPr>
          <t>Solver found a solution. All constraints and optimality conditions are satisfied.</t>
        </r>
      </text>
    </comment>
    <comment ref="D16" authorId="0" shapeId="0" xr:uid="{D58D2F9A-E50A-4657-A636-213094B7A98C}">
      <text>
        <r>
          <rPr>
            <sz val="9"/>
            <color indexed="81"/>
            <rFont val="Tahoma"/>
            <family val="2"/>
          </rPr>
          <t>Solver found a solution. All constraints and optimality conditions are satisfied.</t>
        </r>
      </text>
    </comment>
    <comment ref="E16" authorId="0" shapeId="0" xr:uid="{A24D403B-2ADB-4F04-A825-74F181BB2758}">
      <text>
        <r>
          <rPr>
            <sz val="9"/>
            <color indexed="81"/>
            <rFont val="Tahoma"/>
            <family val="2"/>
          </rPr>
          <t>Solver found a solution. All constraints and optimality conditions are satisfied.</t>
        </r>
      </text>
    </comment>
    <comment ref="F16" authorId="0" shapeId="0" xr:uid="{D8B9E58A-4CCE-4CC0-A166-1B3E811B1DDC}">
      <text>
        <r>
          <rPr>
            <sz val="9"/>
            <color indexed="81"/>
            <rFont val="Tahoma"/>
            <family val="2"/>
          </rPr>
          <t>Solver found a solution. All constraints and optimality conditions are satisfied.</t>
        </r>
      </text>
    </comment>
    <comment ref="G16" authorId="0" shapeId="0" xr:uid="{0D5521AA-4DF4-468F-B75D-790ABE0C73B5}">
      <text>
        <r>
          <rPr>
            <sz val="9"/>
            <color indexed="81"/>
            <rFont val="Tahoma"/>
            <family val="2"/>
          </rPr>
          <t>Solver found a solution. All constraints and optimality conditions are satisfied.</t>
        </r>
      </text>
    </comment>
    <comment ref="H16" authorId="0" shapeId="0" xr:uid="{A1B0D143-B824-4434-BAAF-0D09EA3AE5EB}">
      <text>
        <r>
          <rPr>
            <sz val="9"/>
            <color indexed="81"/>
            <rFont val="Tahoma"/>
            <family val="2"/>
          </rPr>
          <t>Solver found a solution. All constraints and optimality conditions are satisfied.</t>
        </r>
      </text>
    </comment>
    <comment ref="I16" authorId="0" shapeId="0" xr:uid="{D3DE2E5B-10C4-477B-8275-FDA29DC9D601}">
      <text>
        <r>
          <rPr>
            <sz val="9"/>
            <color indexed="81"/>
            <rFont val="Tahoma"/>
            <family val="2"/>
          </rPr>
          <t>Solver found a solution. All constraints and optimality conditions are satisfied.</t>
        </r>
      </text>
    </comment>
    <comment ref="J16" authorId="0" shapeId="0" xr:uid="{35122189-F637-4A64-8367-B30974E3009B}">
      <text>
        <r>
          <rPr>
            <sz val="9"/>
            <color indexed="81"/>
            <rFont val="Tahoma"/>
            <family val="2"/>
          </rPr>
          <t>Solver found a solution. All constraints and optimality conditions are satisfied.</t>
        </r>
      </text>
    </comment>
    <comment ref="K16" authorId="0" shapeId="0" xr:uid="{50A034A8-E24F-4E63-A513-66856E125E97}">
      <text>
        <r>
          <rPr>
            <sz val="9"/>
            <color indexed="81"/>
            <rFont val="Tahoma"/>
            <family val="2"/>
          </rPr>
          <t>Solver found a solution. All constraints and optimality conditions are satisfied.</t>
        </r>
      </text>
    </comment>
    <comment ref="L16" authorId="0" shapeId="0" xr:uid="{B3DF29D8-0954-4B5B-9452-67B5517FCEE1}">
      <text>
        <r>
          <rPr>
            <sz val="9"/>
            <color indexed="81"/>
            <rFont val="Tahoma"/>
            <family val="2"/>
          </rPr>
          <t>Solver found a solution. All constraints and optimality conditions are satisfied.</t>
        </r>
      </text>
    </comment>
    <comment ref="B17" authorId="0" shapeId="0" xr:uid="{94DB6C77-4B08-42D0-AD3F-4B1F24C452B9}">
      <text>
        <r>
          <rPr>
            <sz val="9"/>
            <color indexed="81"/>
            <rFont val="Tahoma"/>
            <family val="2"/>
          </rPr>
          <t>Solver found a solution. All constraints and optimality conditions are satisfied.</t>
        </r>
      </text>
    </comment>
    <comment ref="C17" authorId="0" shapeId="0" xr:uid="{3B923918-D45C-449D-8F48-3F40CBF87C68}">
      <text>
        <r>
          <rPr>
            <sz val="9"/>
            <color indexed="81"/>
            <rFont val="Tahoma"/>
            <family val="2"/>
          </rPr>
          <t>Solver found a solution. All constraints and optimality conditions are satisfied.</t>
        </r>
      </text>
    </comment>
    <comment ref="D17" authorId="0" shapeId="0" xr:uid="{9C815FEC-8CC7-4E1B-90DA-BF20D2CAF28B}">
      <text>
        <r>
          <rPr>
            <sz val="9"/>
            <color indexed="81"/>
            <rFont val="Tahoma"/>
            <family val="2"/>
          </rPr>
          <t>Solver found a solution. All constraints and optimality conditions are satisfied.</t>
        </r>
      </text>
    </comment>
    <comment ref="E17" authorId="0" shapeId="0" xr:uid="{735D1750-BE94-49CB-ABCB-B9E11ADB2D98}">
      <text>
        <r>
          <rPr>
            <sz val="9"/>
            <color indexed="81"/>
            <rFont val="Tahoma"/>
            <family val="2"/>
          </rPr>
          <t>Solver found a solution. All constraints and optimality conditions are satisfied.</t>
        </r>
      </text>
    </comment>
    <comment ref="F17" authorId="0" shapeId="0" xr:uid="{87B291C2-CF5F-46B3-BE55-524B935B4F9C}">
      <text>
        <r>
          <rPr>
            <sz val="9"/>
            <color indexed="81"/>
            <rFont val="Tahoma"/>
            <family val="2"/>
          </rPr>
          <t>Solver found a solution. All constraints and optimality conditions are satisfied.</t>
        </r>
      </text>
    </comment>
    <comment ref="G17" authorId="0" shapeId="0" xr:uid="{BBD69B5E-331F-4E60-9C4A-B5C2FD790615}">
      <text>
        <r>
          <rPr>
            <sz val="9"/>
            <color indexed="81"/>
            <rFont val="Tahoma"/>
            <family val="2"/>
          </rPr>
          <t>Solver found a solution. All constraints and optimality conditions are satisfied.</t>
        </r>
      </text>
    </comment>
    <comment ref="H17" authorId="0" shapeId="0" xr:uid="{E7A1820D-AFE0-40E7-A663-73EA88360835}">
      <text>
        <r>
          <rPr>
            <sz val="9"/>
            <color indexed="81"/>
            <rFont val="Tahoma"/>
            <family val="2"/>
          </rPr>
          <t>Solver found a solution. All constraints and optimality conditions are satisfied.</t>
        </r>
      </text>
    </comment>
    <comment ref="I17" authorId="0" shapeId="0" xr:uid="{85745BD3-F234-4139-980E-98C19C54746A}">
      <text>
        <r>
          <rPr>
            <sz val="9"/>
            <color indexed="81"/>
            <rFont val="Tahoma"/>
            <family val="2"/>
          </rPr>
          <t>Solver found a solution. All constraints and optimality conditions are satisfied.</t>
        </r>
      </text>
    </comment>
    <comment ref="J17" authorId="0" shapeId="0" xr:uid="{5F968DD1-C860-4A78-B4CD-65CFDEE54075}">
      <text>
        <r>
          <rPr>
            <sz val="9"/>
            <color indexed="81"/>
            <rFont val="Tahoma"/>
            <family val="2"/>
          </rPr>
          <t>Solver found a solution. All constraints and optimality conditions are satisfied.</t>
        </r>
      </text>
    </comment>
    <comment ref="K17" authorId="0" shapeId="0" xr:uid="{75AD425F-3165-4E1A-B1B0-72B67CE97AFB}">
      <text>
        <r>
          <rPr>
            <sz val="9"/>
            <color indexed="81"/>
            <rFont val="Tahoma"/>
            <family val="2"/>
          </rPr>
          <t>Solver found a solution. All constraints and optimality conditions are satisfied.</t>
        </r>
      </text>
    </comment>
    <comment ref="L17" authorId="0" shapeId="0" xr:uid="{775EFCBF-AAD5-4DD9-991E-3E2EDD478EA4}">
      <text>
        <r>
          <rPr>
            <sz val="9"/>
            <color indexed="81"/>
            <rFont val="Tahoma"/>
            <family val="2"/>
          </rPr>
          <t>Solver found a solution. All constraints and optimality conditions are satisfied.</t>
        </r>
      </text>
    </comment>
    <comment ref="B18" authorId="0" shapeId="0" xr:uid="{7B56565D-D59A-4505-965F-CB64BDAA4343}">
      <text>
        <r>
          <rPr>
            <sz val="9"/>
            <color indexed="81"/>
            <rFont val="Tahoma"/>
            <family val="2"/>
          </rPr>
          <t>Solver found a solution. All constraints and optimality conditions are satisfied.</t>
        </r>
      </text>
    </comment>
    <comment ref="C18" authorId="0" shapeId="0" xr:uid="{C330D640-4ED8-457F-9D3F-E385C057B461}">
      <text>
        <r>
          <rPr>
            <sz val="9"/>
            <color indexed="81"/>
            <rFont val="Tahoma"/>
            <family val="2"/>
          </rPr>
          <t>Solver found a solution. All constraints and optimality conditions are satisfied.</t>
        </r>
      </text>
    </comment>
    <comment ref="D18" authorId="0" shapeId="0" xr:uid="{7C0A1628-AEEA-499F-A1B0-8F87A19E1C23}">
      <text>
        <r>
          <rPr>
            <sz val="9"/>
            <color indexed="81"/>
            <rFont val="Tahoma"/>
            <family val="2"/>
          </rPr>
          <t>Solver found a solution. All constraints and optimality conditions are satisfied.</t>
        </r>
      </text>
    </comment>
    <comment ref="E18" authorId="0" shapeId="0" xr:uid="{340555B2-7B51-41D9-8524-FC76980C3615}">
      <text>
        <r>
          <rPr>
            <sz val="9"/>
            <color indexed="81"/>
            <rFont val="Tahoma"/>
            <family val="2"/>
          </rPr>
          <t>Solver found a solution. All constraints and optimality conditions are satisfied.</t>
        </r>
      </text>
    </comment>
    <comment ref="F18" authorId="0" shapeId="0" xr:uid="{C6B6998E-3C67-4276-BC92-9D6D04AC0362}">
      <text>
        <r>
          <rPr>
            <sz val="9"/>
            <color indexed="81"/>
            <rFont val="Tahoma"/>
            <family val="2"/>
          </rPr>
          <t>Solver found a solution. All constraints and optimality conditions are satisfied.</t>
        </r>
      </text>
    </comment>
    <comment ref="G18" authorId="0" shapeId="0" xr:uid="{D5C3E1DC-32B3-494E-B218-96BB204838FF}">
      <text>
        <r>
          <rPr>
            <sz val="9"/>
            <color indexed="81"/>
            <rFont val="Tahoma"/>
            <family val="2"/>
          </rPr>
          <t>Solver found a solution. All constraints and optimality conditions are satisfied.</t>
        </r>
      </text>
    </comment>
    <comment ref="H18" authorId="0" shapeId="0" xr:uid="{2D020BFA-F4FA-4A95-8935-341736F2C084}">
      <text>
        <r>
          <rPr>
            <sz val="9"/>
            <color indexed="81"/>
            <rFont val="Tahoma"/>
            <family val="2"/>
          </rPr>
          <t>Solver found a solution. All constraints and optimality conditions are satisfied.</t>
        </r>
      </text>
    </comment>
    <comment ref="I18" authorId="0" shapeId="0" xr:uid="{4F44AA79-6243-4D62-9FF7-9C7522A0BDA8}">
      <text>
        <r>
          <rPr>
            <sz val="9"/>
            <color indexed="81"/>
            <rFont val="Tahoma"/>
            <family val="2"/>
          </rPr>
          <t>Solver found a solution. All constraints and optimality conditions are satisfied.</t>
        </r>
      </text>
    </comment>
    <comment ref="J18" authorId="0" shapeId="0" xr:uid="{753A19FE-064C-4D0B-B3D1-8B5AE0D0AF87}">
      <text>
        <r>
          <rPr>
            <sz val="9"/>
            <color indexed="81"/>
            <rFont val="Tahoma"/>
            <family val="2"/>
          </rPr>
          <t>Solver found a solution. All constraints and optimality conditions are satisfied.</t>
        </r>
      </text>
    </comment>
    <comment ref="K18" authorId="0" shapeId="0" xr:uid="{19D80BA4-E4B2-43B9-B999-02F8EAC06544}">
      <text>
        <r>
          <rPr>
            <sz val="9"/>
            <color indexed="81"/>
            <rFont val="Tahoma"/>
            <family val="2"/>
          </rPr>
          <t>Solver found a solution. All constraints and optimality conditions are satisfied.</t>
        </r>
      </text>
    </comment>
    <comment ref="L18" authorId="0" shapeId="0" xr:uid="{DEBCF9FD-AF1B-45E9-9C27-78F2466B285A}">
      <text>
        <r>
          <rPr>
            <sz val="9"/>
            <color indexed="81"/>
            <rFont val="Tahoma"/>
            <family val="2"/>
          </rPr>
          <t>Solver found a solution. All constraints and optimality conditions are satisfied.</t>
        </r>
      </text>
    </comment>
    <comment ref="B19" authorId="0" shapeId="0" xr:uid="{96800F19-0716-49F8-8380-53AF358612CD}">
      <text>
        <r>
          <rPr>
            <sz val="9"/>
            <color indexed="81"/>
            <rFont val="Tahoma"/>
            <family val="2"/>
          </rPr>
          <t>Solver found a solution. All constraints and optimality conditions are satisfied.</t>
        </r>
      </text>
    </comment>
    <comment ref="C19" authorId="0" shapeId="0" xr:uid="{9FE24117-7D20-4680-8089-BA22380772BE}">
      <text>
        <r>
          <rPr>
            <sz val="9"/>
            <color indexed="81"/>
            <rFont val="Tahoma"/>
            <family val="2"/>
          </rPr>
          <t>Solver found a solution. All constraints and optimality conditions are satisfied.</t>
        </r>
      </text>
    </comment>
    <comment ref="D19" authorId="0" shapeId="0" xr:uid="{99EBF122-56F2-4307-BC38-B3993701A6AD}">
      <text>
        <r>
          <rPr>
            <sz val="9"/>
            <color indexed="81"/>
            <rFont val="Tahoma"/>
            <family val="2"/>
          </rPr>
          <t>Solver found a solution. All constraints and optimality conditions are satisfied.</t>
        </r>
      </text>
    </comment>
    <comment ref="E19" authorId="0" shapeId="0" xr:uid="{63420B2D-F91D-412E-90CF-700BD0E7CB35}">
      <text>
        <r>
          <rPr>
            <sz val="9"/>
            <color indexed="81"/>
            <rFont val="Tahoma"/>
            <family val="2"/>
          </rPr>
          <t>Solver found a solution. All constraints and optimality conditions are satisfied.</t>
        </r>
      </text>
    </comment>
    <comment ref="F19" authorId="0" shapeId="0" xr:uid="{155AE889-5477-45AD-AF68-DFD0754C7AF9}">
      <text>
        <r>
          <rPr>
            <sz val="9"/>
            <color indexed="81"/>
            <rFont val="Tahoma"/>
            <family val="2"/>
          </rPr>
          <t>Solver found a solution. All constraints and optimality conditions are satisfied.</t>
        </r>
      </text>
    </comment>
    <comment ref="G19" authorId="0" shapeId="0" xr:uid="{7477B750-4E9F-4F56-966F-2D072A889012}">
      <text>
        <r>
          <rPr>
            <sz val="9"/>
            <color indexed="81"/>
            <rFont val="Tahoma"/>
            <family val="2"/>
          </rPr>
          <t>Solver found a solution. All constraints and optimality conditions are satisfied.</t>
        </r>
      </text>
    </comment>
    <comment ref="H19" authorId="0" shapeId="0" xr:uid="{1B44C58C-4371-406F-B26E-458E76AA1E0D}">
      <text>
        <r>
          <rPr>
            <sz val="9"/>
            <color indexed="81"/>
            <rFont val="Tahoma"/>
            <family val="2"/>
          </rPr>
          <t>Solver found a solution. All constraints and optimality conditions are satisfied.</t>
        </r>
      </text>
    </comment>
    <comment ref="I19" authorId="0" shapeId="0" xr:uid="{F7570E07-CE57-408E-A36E-D0A0773DDD76}">
      <text>
        <r>
          <rPr>
            <sz val="9"/>
            <color indexed="81"/>
            <rFont val="Tahoma"/>
            <family val="2"/>
          </rPr>
          <t>Solver found a solution. All constraints and optimality conditions are satisfied.</t>
        </r>
      </text>
    </comment>
    <comment ref="J19" authorId="0" shapeId="0" xr:uid="{DB3F533C-D78A-4217-9E07-51DF5FD8D438}">
      <text>
        <r>
          <rPr>
            <sz val="9"/>
            <color indexed="81"/>
            <rFont val="Tahoma"/>
            <family val="2"/>
          </rPr>
          <t>Solver found a solution. All constraints and optimality conditions are satisfied.</t>
        </r>
      </text>
    </comment>
    <comment ref="K19" authorId="0" shapeId="0" xr:uid="{4F2811E1-3E00-4C66-9882-0F9AAD1B5C5A}">
      <text>
        <r>
          <rPr>
            <sz val="9"/>
            <color indexed="81"/>
            <rFont val="Tahoma"/>
            <family val="2"/>
          </rPr>
          <t>Solver found a solution. All constraints and optimality conditions are satisfied.</t>
        </r>
      </text>
    </comment>
    <comment ref="L19" authorId="0" shapeId="0" xr:uid="{B23D90BF-E60D-48A8-8953-E8A014B62B5D}">
      <text>
        <r>
          <rPr>
            <sz val="9"/>
            <color indexed="81"/>
            <rFont val="Tahoma"/>
            <family val="2"/>
          </rPr>
          <t>Solver found a solution. All constraints and optimality conditions are satisfied.</t>
        </r>
      </text>
    </comment>
    <comment ref="B20" authorId="0" shapeId="0" xr:uid="{E5ACF319-E67A-4487-AA78-D9F9E06DEB0C}">
      <text>
        <r>
          <rPr>
            <sz val="9"/>
            <color indexed="81"/>
            <rFont val="Tahoma"/>
            <family val="2"/>
          </rPr>
          <t>Solver found a solution. All constraints and optimality conditions are satisfied.</t>
        </r>
      </text>
    </comment>
    <comment ref="C20" authorId="0" shapeId="0" xr:uid="{61636E83-C753-4E2E-BD86-6B36DF066D64}">
      <text>
        <r>
          <rPr>
            <sz val="9"/>
            <color indexed="81"/>
            <rFont val="Tahoma"/>
            <family val="2"/>
          </rPr>
          <t>Solver found a solution. All constraints and optimality conditions are satisfied.</t>
        </r>
      </text>
    </comment>
    <comment ref="D20" authorId="0" shapeId="0" xr:uid="{3D2A1D16-ACE6-48A3-8A99-4467A54AE06A}">
      <text>
        <r>
          <rPr>
            <sz val="9"/>
            <color indexed="81"/>
            <rFont val="Tahoma"/>
            <family val="2"/>
          </rPr>
          <t>Solver found a solution. All constraints and optimality conditions are satisfied.</t>
        </r>
      </text>
    </comment>
    <comment ref="E20" authorId="0" shapeId="0" xr:uid="{0BF5D630-7F04-4ED1-AEDE-7B81AE6C17F2}">
      <text>
        <r>
          <rPr>
            <sz val="9"/>
            <color indexed="81"/>
            <rFont val="Tahoma"/>
            <family val="2"/>
          </rPr>
          <t>Solver found a solution. All constraints and optimality conditions are satisfied.</t>
        </r>
      </text>
    </comment>
    <comment ref="F20" authorId="0" shapeId="0" xr:uid="{2295DB22-EB7F-4669-867D-3F5F7C8131F9}">
      <text>
        <r>
          <rPr>
            <sz val="9"/>
            <color indexed="81"/>
            <rFont val="Tahoma"/>
            <family val="2"/>
          </rPr>
          <t>Solver found a solution. All constraints and optimality conditions are satisfied.</t>
        </r>
      </text>
    </comment>
    <comment ref="G20" authorId="0" shapeId="0" xr:uid="{F3717E86-CD69-4B2E-9FC6-438E6F32957F}">
      <text>
        <r>
          <rPr>
            <sz val="9"/>
            <color indexed="81"/>
            <rFont val="Tahoma"/>
            <family val="2"/>
          </rPr>
          <t>Solver found a solution. All constraints and optimality conditions are satisfied.</t>
        </r>
      </text>
    </comment>
    <comment ref="H20" authorId="0" shapeId="0" xr:uid="{9702BFCE-6E66-4A4F-BE82-B60B95A69F5F}">
      <text>
        <r>
          <rPr>
            <sz val="9"/>
            <color indexed="81"/>
            <rFont val="Tahoma"/>
            <family val="2"/>
          </rPr>
          <t>Solver found a solution. All constraints and optimality conditions are satisfied.</t>
        </r>
      </text>
    </comment>
    <comment ref="I20" authorId="0" shapeId="0" xr:uid="{A7AFA304-7EB1-4089-90A3-1CD8C1665C1B}">
      <text>
        <r>
          <rPr>
            <sz val="9"/>
            <color indexed="81"/>
            <rFont val="Tahoma"/>
            <family val="2"/>
          </rPr>
          <t>Solver found a solution. All constraints and optimality conditions are satisfied.</t>
        </r>
      </text>
    </comment>
    <comment ref="J20" authorId="0" shapeId="0" xr:uid="{51E652FB-D649-4DB5-A77F-B15B0DF22789}">
      <text>
        <r>
          <rPr>
            <sz val="9"/>
            <color indexed="81"/>
            <rFont val="Tahoma"/>
            <family val="2"/>
          </rPr>
          <t>Solver found a solution. All constraints and optimality conditions are satisfied.</t>
        </r>
      </text>
    </comment>
    <comment ref="K20" authorId="0" shapeId="0" xr:uid="{F3FB3BFA-9607-4784-92AE-5C690F76E0B2}">
      <text>
        <r>
          <rPr>
            <sz val="9"/>
            <color indexed="81"/>
            <rFont val="Tahoma"/>
            <family val="2"/>
          </rPr>
          <t>Solver found a solution. All constraints and optimality conditions are satisfied.</t>
        </r>
      </text>
    </comment>
    <comment ref="L20" authorId="0" shapeId="0" xr:uid="{0952F4BD-E275-4495-BBEE-2257E0093396}">
      <text>
        <r>
          <rPr>
            <sz val="9"/>
            <color indexed="81"/>
            <rFont val="Tahoma"/>
            <family val="2"/>
          </rPr>
          <t>Solver found a solution. All constraints and optimality conditions are satisfied.</t>
        </r>
      </text>
    </comment>
    <comment ref="B21" authorId="0" shapeId="0" xr:uid="{65D4A0EE-9895-4615-B5A0-40939D945751}">
      <text>
        <r>
          <rPr>
            <sz val="9"/>
            <color indexed="81"/>
            <rFont val="Tahoma"/>
            <family val="2"/>
          </rPr>
          <t>Solver found a solution. All constraints and optimality conditions are satisfied.</t>
        </r>
      </text>
    </comment>
    <comment ref="C21" authorId="0" shapeId="0" xr:uid="{2205079B-9F8F-40E0-BBD5-44DDD3786086}">
      <text>
        <r>
          <rPr>
            <sz val="9"/>
            <color indexed="81"/>
            <rFont val="Tahoma"/>
            <family val="2"/>
          </rPr>
          <t>Solver found a solution. All constraints and optimality conditions are satisfied.</t>
        </r>
      </text>
    </comment>
    <comment ref="D21" authorId="0" shapeId="0" xr:uid="{4911CB80-B47B-4F57-8309-7963026DEB21}">
      <text>
        <r>
          <rPr>
            <sz val="9"/>
            <color indexed="81"/>
            <rFont val="Tahoma"/>
            <family val="2"/>
          </rPr>
          <t>Solver found a solution. All constraints and optimality conditions are satisfied.</t>
        </r>
      </text>
    </comment>
    <comment ref="E21" authorId="0" shapeId="0" xr:uid="{DA733DE7-3FA0-4617-B1E6-1E6F9257C892}">
      <text>
        <r>
          <rPr>
            <sz val="9"/>
            <color indexed="81"/>
            <rFont val="Tahoma"/>
            <family val="2"/>
          </rPr>
          <t>Solver found a solution. All constraints and optimality conditions are satisfied.</t>
        </r>
      </text>
    </comment>
    <comment ref="F21" authorId="0" shapeId="0" xr:uid="{61051BC1-AAC5-4550-BA9B-E687BC274D1B}">
      <text>
        <r>
          <rPr>
            <sz val="9"/>
            <color indexed="81"/>
            <rFont val="Tahoma"/>
            <family val="2"/>
          </rPr>
          <t>Solver found a solution. All constraints and optimality conditions are satisfied.</t>
        </r>
      </text>
    </comment>
    <comment ref="G21" authorId="0" shapeId="0" xr:uid="{3E0E7A91-B881-4A6C-9656-78DD15160FE3}">
      <text>
        <r>
          <rPr>
            <sz val="9"/>
            <color indexed="81"/>
            <rFont val="Tahoma"/>
            <family val="2"/>
          </rPr>
          <t>Solver found a solution. All constraints and optimality conditions are satisfied.</t>
        </r>
      </text>
    </comment>
    <comment ref="H21" authorId="0" shapeId="0" xr:uid="{B4F45210-0913-4492-9FF4-686F54C34842}">
      <text>
        <r>
          <rPr>
            <sz val="9"/>
            <color indexed="81"/>
            <rFont val="Tahoma"/>
            <family val="2"/>
          </rPr>
          <t>Solver found a solution. All constraints and optimality conditions are satisfied.</t>
        </r>
      </text>
    </comment>
    <comment ref="I21" authorId="0" shapeId="0" xr:uid="{A968394A-E8BD-487F-8EF6-CA3B021F0280}">
      <text>
        <r>
          <rPr>
            <sz val="9"/>
            <color indexed="81"/>
            <rFont val="Tahoma"/>
            <family val="2"/>
          </rPr>
          <t>Solver found a solution. All constraints and optimality conditions are satisfied.</t>
        </r>
      </text>
    </comment>
    <comment ref="J21" authorId="0" shapeId="0" xr:uid="{E01E23C5-60ED-43DF-B3A7-3FF59C128F31}">
      <text>
        <r>
          <rPr>
            <sz val="9"/>
            <color indexed="81"/>
            <rFont val="Tahoma"/>
            <family val="2"/>
          </rPr>
          <t>Solver found a solution. All constraints and optimality conditions are satisfied.</t>
        </r>
      </text>
    </comment>
    <comment ref="K21" authorId="0" shapeId="0" xr:uid="{0CFF3950-4C71-4C93-8FD3-EED7D0C62AD9}">
      <text>
        <r>
          <rPr>
            <sz val="9"/>
            <color indexed="81"/>
            <rFont val="Tahoma"/>
            <family val="2"/>
          </rPr>
          <t>Solver found a solution. All constraints and optimality conditions are satisfied.</t>
        </r>
      </text>
    </comment>
    <comment ref="L21" authorId="0" shapeId="0" xr:uid="{F748E720-572E-42E0-A404-6FCE11E11EBB}">
      <text>
        <r>
          <rPr>
            <sz val="9"/>
            <color indexed="81"/>
            <rFont val="Tahoma"/>
            <family val="2"/>
          </rPr>
          <t>Solver found a solution. All constraints and optimality conditions are satisfied.</t>
        </r>
      </text>
    </comment>
    <comment ref="B22" authorId="0" shapeId="0" xr:uid="{B5BA95E4-F12C-480C-8115-7487C544C6DB}">
      <text>
        <r>
          <rPr>
            <sz val="9"/>
            <color indexed="81"/>
            <rFont val="Tahoma"/>
            <family val="2"/>
          </rPr>
          <t>Solver found a solution. All constraints and optimality conditions are satisfied.</t>
        </r>
      </text>
    </comment>
    <comment ref="C22" authorId="0" shapeId="0" xr:uid="{ED1B1034-E0D4-4F6C-AA07-E89FEDFBEE4B}">
      <text>
        <r>
          <rPr>
            <sz val="9"/>
            <color indexed="81"/>
            <rFont val="Tahoma"/>
            <family val="2"/>
          </rPr>
          <t>Solver found a solution. All constraints and optimality conditions are satisfied.</t>
        </r>
      </text>
    </comment>
    <comment ref="D22" authorId="0" shapeId="0" xr:uid="{6AF87299-CBF9-4C30-B088-C8F0C57757FB}">
      <text>
        <r>
          <rPr>
            <sz val="9"/>
            <color indexed="81"/>
            <rFont val="Tahoma"/>
            <family val="2"/>
          </rPr>
          <t>Solver found a solution. All constraints and optimality conditions are satisfied.</t>
        </r>
      </text>
    </comment>
    <comment ref="E22" authorId="0" shapeId="0" xr:uid="{4A033765-D2B3-407B-B5A5-62DE12C3ECDF}">
      <text>
        <r>
          <rPr>
            <sz val="9"/>
            <color indexed="81"/>
            <rFont val="Tahoma"/>
            <family val="2"/>
          </rPr>
          <t>Solver found a solution. All constraints and optimality conditions are satisfied.</t>
        </r>
      </text>
    </comment>
    <comment ref="F22" authorId="0" shapeId="0" xr:uid="{EC6F42BB-625C-4E3A-B27D-7F5E8AEBF22F}">
      <text>
        <r>
          <rPr>
            <sz val="9"/>
            <color indexed="81"/>
            <rFont val="Tahoma"/>
            <family val="2"/>
          </rPr>
          <t>Solver found a solution. All constraints and optimality conditions are satisfied.</t>
        </r>
      </text>
    </comment>
    <comment ref="G22" authorId="0" shapeId="0" xr:uid="{70A7C501-5C31-46E0-8183-5E568672C4B8}">
      <text>
        <r>
          <rPr>
            <sz val="9"/>
            <color indexed="81"/>
            <rFont val="Tahoma"/>
            <family val="2"/>
          </rPr>
          <t>Solver found a solution. All constraints and optimality conditions are satisfied.</t>
        </r>
      </text>
    </comment>
    <comment ref="H22" authorId="0" shapeId="0" xr:uid="{52A0D3B9-ECCC-4D53-8067-1C1667634D2E}">
      <text>
        <r>
          <rPr>
            <sz val="9"/>
            <color indexed="81"/>
            <rFont val="Tahoma"/>
            <family val="2"/>
          </rPr>
          <t>Solver found a solution. All constraints and optimality conditions are satisfied.</t>
        </r>
      </text>
    </comment>
    <comment ref="I22" authorId="0" shapeId="0" xr:uid="{D2118D51-C37E-4FD0-AED6-ACAC086755BA}">
      <text>
        <r>
          <rPr>
            <sz val="9"/>
            <color indexed="81"/>
            <rFont val="Tahoma"/>
            <family val="2"/>
          </rPr>
          <t>Solver found a solution. All constraints and optimality conditions are satisfied.</t>
        </r>
      </text>
    </comment>
    <comment ref="J22" authorId="0" shapeId="0" xr:uid="{7DB262C3-24A4-4C26-96E5-729F79BE0685}">
      <text>
        <r>
          <rPr>
            <sz val="9"/>
            <color indexed="81"/>
            <rFont val="Tahoma"/>
            <family val="2"/>
          </rPr>
          <t>Solver found a solution. All constraints and optimality conditions are satisfied.</t>
        </r>
      </text>
    </comment>
    <comment ref="K22" authorId="0" shapeId="0" xr:uid="{D1372739-BC61-41E4-8813-7D6F58C3C61A}">
      <text>
        <r>
          <rPr>
            <sz val="9"/>
            <color indexed="81"/>
            <rFont val="Tahoma"/>
            <family val="2"/>
          </rPr>
          <t>Solver found a solution. All constraints and optimality conditions are satisfied.</t>
        </r>
      </text>
    </comment>
    <comment ref="L22" authorId="0" shapeId="0" xr:uid="{D29ECA72-42DD-472D-A049-E8A1758CF7F3}">
      <text>
        <r>
          <rPr>
            <sz val="9"/>
            <color indexed="81"/>
            <rFont val="Tahoma"/>
            <family val="2"/>
          </rPr>
          <t>Solver found a solution. All constraints and optimality conditions are satisfied.</t>
        </r>
      </text>
    </comment>
    <comment ref="B23" authorId="0" shapeId="0" xr:uid="{519BB337-63CB-4A14-88A5-2D2D469DBDE2}">
      <text>
        <r>
          <rPr>
            <sz val="9"/>
            <color indexed="81"/>
            <rFont val="Tahoma"/>
            <family val="2"/>
          </rPr>
          <t>Solver found a solution. All constraints and optimality conditions are satisfied.</t>
        </r>
      </text>
    </comment>
    <comment ref="C23" authorId="0" shapeId="0" xr:uid="{CD7CD920-7850-4CB3-B817-4AFE9C2236F9}">
      <text>
        <r>
          <rPr>
            <sz val="9"/>
            <color indexed="81"/>
            <rFont val="Tahoma"/>
            <family val="2"/>
          </rPr>
          <t>Solver found a solution. All constraints and optimality conditions are satisfied.</t>
        </r>
      </text>
    </comment>
    <comment ref="D23" authorId="0" shapeId="0" xr:uid="{AC1A191E-8AA7-4E02-AEFF-106E018160DB}">
      <text>
        <r>
          <rPr>
            <sz val="9"/>
            <color indexed="81"/>
            <rFont val="Tahoma"/>
            <family val="2"/>
          </rPr>
          <t>Solver found a solution. All constraints and optimality conditions are satisfied.</t>
        </r>
      </text>
    </comment>
    <comment ref="E23" authorId="0" shapeId="0" xr:uid="{DAC2E1E9-FFEC-49A7-8640-A0329DDC0641}">
      <text>
        <r>
          <rPr>
            <sz val="9"/>
            <color indexed="81"/>
            <rFont val="Tahoma"/>
            <family val="2"/>
          </rPr>
          <t>Solver found a solution. All constraints and optimality conditions are satisfied.</t>
        </r>
      </text>
    </comment>
    <comment ref="F23" authorId="0" shapeId="0" xr:uid="{5C0CCF33-48A9-4ECD-B7A7-0DB441BD4E8D}">
      <text>
        <r>
          <rPr>
            <sz val="9"/>
            <color indexed="81"/>
            <rFont val="Tahoma"/>
            <family val="2"/>
          </rPr>
          <t>Solver found a solution. All constraints and optimality conditions are satisfied.</t>
        </r>
      </text>
    </comment>
    <comment ref="G23" authorId="0" shapeId="0" xr:uid="{B388BDA6-2DE9-41CF-9285-B6BCC38F7E54}">
      <text>
        <r>
          <rPr>
            <sz val="9"/>
            <color indexed="81"/>
            <rFont val="Tahoma"/>
            <family val="2"/>
          </rPr>
          <t>Solver found a solution. All constraints and optimality conditions are satisfied.</t>
        </r>
      </text>
    </comment>
    <comment ref="H23" authorId="0" shapeId="0" xr:uid="{3F61F07D-2414-4162-8731-C206506BAC8A}">
      <text>
        <r>
          <rPr>
            <sz val="9"/>
            <color indexed="81"/>
            <rFont val="Tahoma"/>
            <family val="2"/>
          </rPr>
          <t>Solver found a solution. All constraints and optimality conditions are satisfied.</t>
        </r>
      </text>
    </comment>
    <comment ref="I23" authorId="0" shapeId="0" xr:uid="{B4E76F89-990E-4C54-AC48-04F2E76C6619}">
      <text>
        <r>
          <rPr>
            <sz val="9"/>
            <color indexed="81"/>
            <rFont val="Tahoma"/>
            <family val="2"/>
          </rPr>
          <t>Solver found a solution. All constraints and optimality conditions are satisfied.</t>
        </r>
      </text>
    </comment>
    <comment ref="J23" authorId="0" shapeId="0" xr:uid="{00A8D689-3B8B-4131-8FE1-AFA660982844}">
      <text>
        <r>
          <rPr>
            <sz val="9"/>
            <color indexed="81"/>
            <rFont val="Tahoma"/>
            <family val="2"/>
          </rPr>
          <t>Solver found a solution. All constraints and optimality conditions are satisfied.</t>
        </r>
      </text>
    </comment>
    <comment ref="K23" authorId="0" shapeId="0" xr:uid="{86BA5AA5-4E03-447A-9190-C43E25125C67}">
      <text>
        <r>
          <rPr>
            <sz val="9"/>
            <color indexed="81"/>
            <rFont val="Tahoma"/>
            <family val="2"/>
          </rPr>
          <t>Solver found a solution. All constraints and optimality conditions are satisfied.</t>
        </r>
      </text>
    </comment>
    <comment ref="L23" authorId="0" shapeId="0" xr:uid="{640EC704-DE09-4274-B9A5-761E07F3E040}">
      <text>
        <r>
          <rPr>
            <sz val="9"/>
            <color indexed="81"/>
            <rFont val="Tahoma"/>
            <family val="2"/>
          </rPr>
          <t>Solver found a solution. All constraints and optimality conditions are satisfied.</t>
        </r>
      </text>
    </comment>
    <comment ref="B24" authorId="0" shapeId="0" xr:uid="{D5BEC4E6-789E-41D5-9AB6-E4079124601A}">
      <text>
        <r>
          <rPr>
            <sz val="9"/>
            <color indexed="81"/>
            <rFont val="Tahoma"/>
            <family val="2"/>
          </rPr>
          <t>Solver found a solution. All constraints and optimality conditions are satisfied.</t>
        </r>
      </text>
    </comment>
    <comment ref="C24" authorId="0" shapeId="0" xr:uid="{374F450B-FB1C-4D91-AFE2-FC3CED84DEFB}">
      <text>
        <r>
          <rPr>
            <sz val="9"/>
            <color indexed="81"/>
            <rFont val="Tahoma"/>
            <family val="2"/>
          </rPr>
          <t>Solver found a solution. All constraints and optimality conditions are satisfied.</t>
        </r>
      </text>
    </comment>
    <comment ref="D24" authorId="0" shapeId="0" xr:uid="{4DAF8CE4-9539-4F89-AA90-5026178A4DD9}">
      <text>
        <r>
          <rPr>
            <sz val="9"/>
            <color indexed="81"/>
            <rFont val="Tahoma"/>
            <family val="2"/>
          </rPr>
          <t>Solver found a solution. All constraints and optimality conditions are satisfied.</t>
        </r>
      </text>
    </comment>
    <comment ref="E24" authorId="0" shapeId="0" xr:uid="{49E7CFD7-C3E3-49D1-9F11-B2D658D19CE7}">
      <text>
        <r>
          <rPr>
            <sz val="9"/>
            <color indexed="81"/>
            <rFont val="Tahoma"/>
            <family val="2"/>
          </rPr>
          <t>Solver found a solution. All constraints and optimality conditions are satisfied.</t>
        </r>
      </text>
    </comment>
    <comment ref="F24" authorId="0" shapeId="0" xr:uid="{ED2DB0B9-38D1-4337-9111-BEB9B9B0CF01}">
      <text>
        <r>
          <rPr>
            <sz val="9"/>
            <color indexed="81"/>
            <rFont val="Tahoma"/>
            <family val="2"/>
          </rPr>
          <t>Solver found a solution. All constraints and optimality conditions are satisfied.</t>
        </r>
      </text>
    </comment>
    <comment ref="G24" authorId="0" shapeId="0" xr:uid="{A6A90A4A-2FDF-4EF3-8FF8-10CC7EDC0170}">
      <text>
        <r>
          <rPr>
            <sz val="9"/>
            <color indexed="81"/>
            <rFont val="Tahoma"/>
            <family val="2"/>
          </rPr>
          <t>Solver found a solution. All constraints and optimality conditions are satisfied.</t>
        </r>
      </text>
    </comment>
    <comment ref="H24" authorId="0" shapeId="0" xr:uid="{CA73AFAC-3CB3-49C3-951F-BCF56703E23E}">
      <text>
        <r>
          <rPr>
            <sz val="9"/>
            <color indexed="81"/>
            <rFont val="Tahoma"/>
            <family val="2"/>
          </rPr>
          <t>Solver found a solution. All constraints and optimality conditions are satisfied.</t>
        </r>
      </text>
    </comment>
    <comment ref="I24" authorId="0" shapeId="0" xr:uid="{17C33FB3-D0C7-4ECA-A117-50798E8D1D57}">
      <text>
        <r>
          <rPr>
            <sz val="9"/>
            <color indexed="81"/>
            <rFont val="Tahoma"/>
            <family val="2"/>
          </rPr>
          <t>Solver found a solution. All constraints and optimality conditions are satisfied.</t>
        </r>
      </text>
    </comment>
    <comment ref="J24" authorId="0" shapeId="0" xr:uid="{177F0828-78B0-462A-A309-D8737B81B81D}">
      <text>
        <r>
          <rPr>
            <sz val="9"/>
            <color indexed="81"/>
            <rFont val="Tahoma"/>
            <family val="2"/>
          </rPr>
          <t>Solver found a solution. All constraints and optimality conditions are satisfied.</t>
        </r>
      </text>
    </comment>
    <comment ref="K24" authorId="0" shapeId="0" xr:uid="{EA6D59B7-9EAA-49DD-9C6A-2D31EA4576D0}">
      <text>
        <r>
          <rPr>
            <sz val="9"/>
            <color indexed="81"/>
            <rFont val="Tahoma"/>
            <family val="2"/>
          </rPr>
          <t>Solver found a solution. All constraints and optimality conditions are satisfied.</t>
        </r>
      </text>
    </comment>
    <comment ref="L24" authorId="0" shapeId="0" xr:uid="{3C60B2F4-C4CB-4585-80F6-FDFDAF4E42F0}">
      <text>
        <r>
          <rPr>
            <sz val="9"/>
            <color indexed="81"/>
            <rFont val="Tahoma"/>
            <family val="2"/>
          </rPr>
          <t>Solver found a solution. All constraints and optimality conditions are satisfied.</t>
        </r>
      </text>
    </comment>
    <comment ref="B25" authorId="0" shapeId="0" xr:uid="{3B25CEB4-6EB9-4994-85DA-F593CB288130}">
      <text>
        <r>
          <rPr>
            <sz val="9"/>
            <color indexed="81"/>
            <rFont val="Tahoma"/>
            <family val="2"/>
          </rPr>
          <t>Solver found a solution. All constraints and optimality conditions are satisfied.</t>
        </r>
      </text>
    </comment>
    <comment ref="C25" authorId="0" shapeId="0" xr:uid="{02C24CE2-4B2F-4E6D-A49F-384BDA38A292}">
      <text>
        <r>
          <rPr>
            <sz val="9"/>
            <color indexed="81"/>
            <rFont val="Tahoma"/>
            <family val="2"/>
          </rPr>
          <t>Solver found a solution. All constraints and optimality conditions are satisfied.</t>
        </r>
      </text>
    </comment>
    <comment ref="D25" authorId="0" shapeId="0" xr:uid="{BF10A42A-02C6-4FD6-B188-2159BFB9D652}">
      <text>
        <r>
          <rPr>
            <sz val="9"/>
            <color indexed="81"/>
            <rFont val="Tahoma"/>
            <family val="2"/>
          </rPr>
          <t>Solver found a solution. All constraints and optimality conditions are satisfied.</t>
        </r>
      </text>
    </comment>
    <comment ref="E25" authorId="0" shapeId="0" xr:uid="{D4C04FC2-2C6B-4CED-A081-CF5D354CA99C}">
      <text>
        <r>
          <rPr>
            <sz val="9"/>
            <color indexed="81"/>
            <rFont val="Tahoma"/>
            <family val="2"/>
          </rPr>
          <t>Solver found a solution. All constraints and optimality conditions are satisfied.</t>
        </r>
      </text>
    </comment>
    <comment ref="F25" authorId="0" shapeId="0" xr:uid="{585AE760-4E36-4253-892C-292F73C27734}">
      <text>
        <r>
          <rPr>
            <sz val="9"/>
            <color indexed="81"/>
            <rFont val="Tahoma"/>
            <family val="2"/>
          </rPr>
          <t>Solver found a solution. All constraints and optimality conditions are satisfied.</t>
        </r>
      </text>
    </comment>
    <comment ref="G25" authorId="0" shapeId="0" xr:uid="{C3BBE1AF-A41B-4C19-AFCE-05099D35FCEF}">
      <text>
        <r>
          <rPr>
            <sz val="9"/>
            <color indexed="81"/>
            <rFont val="Tahoma"/>
            <family val="2"/>
          </rPr>
          <t>Solver found a solution. All constraints and optimality conditions are satisfied.</t>
        </r>
      </text>
    </comment>
    <comment ref="H25" authorId="0" shapeId="0" xr:uid="{31F807D3-E5D9-4274-BE93-7C64FE23D864}">
      <text>
        <r>
          <rPr>
            <sz val="9"/>
            <color indexed="81"/>
            <rFont val="Tahoma"/>
            <family val="2"/>
          </rPr>
          <t>Solver found a solution. All constraints and optimality conditions are satisfied.</t>
        </r>
      </text>
    </comment>
    <comment ref="I25" authorId="0" shapeId="0" xr:uid="{294C78BE-1D14-432B-B928-04069E17EB77}">
      <text>
        <r>
          <rPr>
            <sz val="9"/>
            <color indexed="81"/>
            <rFont val="Tahoma"/>
            <family val="2"/>
          </rPr>
          <t>Solver found a solution. All constraints and optimality conditions are satisfied.</t>
        </r>
      </text>
    </comment>
    <comment ref="J25" authorId="0" shapeId="0" xr:uid="{DA4E976D-7F94-4AAA-BEC0-0D5813554637}">
      <text>
        <r>
          <rPr>
            <sz val="9"/>
            <color indexed="81"/>
            <rFont val="Tahoma"/>
            <family val="2"/>
          </rPr>
          <t>Solver found a solution. All constraints and optimality conditions are satisfied.</t>
        </r>
      </text>
    </comment>
    <comment ref="K25" authorId="0" shapeId="0" xr:uid="{7860573D-1111-43CE-A9FF-15941F1B13EC}">
      <text>
        <r>
          <rPr>
            <sz val="9"/>
            <color indexed="81"/>
            <rFont val="Tahoma"/>
            <family val="2"/>
          </rPr>
          <t>Solver found a solution. All constraints and optimality conditions are satisfied.</t>
        </r>
      </text>
    </comment>
    <comment ref="L25" authorId="0" shapeId="0" xr:uid="{69A5F161-F226-48BA-BBCA-D9BD40291881}">
      <text>
        <r>
          <rPr>
            <sz val="9"/>
            <color indexed="81"/>
            <rFont val="Tahoma"/>
            <family val="2"/>
          </rPr>
          <t>Solver found a solution. All constraints and optimality conditions are satisfied.</t>
        </r>
      </text>
    </comment>
  </commentList>
</comments>
</file>

<file path=xl/sharedStrings.xml><?xml version="1.0" encoding="utf-8"?>
<sst xmlns="http://schemas.openxmlformats.org/spreadsheetml/2006/main" count="2110" uniqueCount="390">
  <si>
    <t>Grupo Nogueira</t>
  </si>
  <si>
    <t>SUGARCANE SUPPLIES</t>
  </si>
  <si>
    <t>Available</t>
  </si>
  <si>
    <t>Cost of Freight to</t>
  </si>
  <si>
    <t>Supplier</t>
  </si>
  <si>
    <t>Quantity</t>
  </si>
  <si>
    <t>Price</t>
  </si>
  <si>
    <t>Londrina</t>
  </si>
  <si>
    <t>Franca</t>
  </si>
  <si>
    <t>(t/month)</t>
  </si>
  <si>
    <t>(R$/t)</t>
  </si>
  <si>
    <t>Maringá</t>
  </si>
  <si>
    <t>Paranavaí</t>
  </si>
  <si>
    <t>Frutal</t>
  </si>
  <si>
    <t>Rancharia</t>
  </si>
  <si>
    <t>Apucarana</t>
  </si>
  <si>
    <t>Bastos</t>
  </si>
  <si>
    <t>Sacramento</t>
  </si>
  <si>
    <t>Iturama</t>
  </si>
  <si>
    <t>PRODUCTION DATA</t>
  </si>
  <si>
    <t>Physical yield loss (% of  sugarcane purchased)</t>
  </si>
  <si>
    <t>Supplier-to-factory transport losses</t>
  </si>
  <si>
    <t>Actual recovery rates (% of  sugarcane delivered)</t>
  </si>
  <si>
    <t>Molasses</t>
  </si>
  <si>
    <t>Sugar</t>
  </si>
  <si>
    <t>Production costs</t>
  </si>
  <si>
    <t>Fixed (R$/month)</t>
  </si>
  <si>
    <t>Production constraints (t/month)</t>
  </si>
  <si>
    <t>Sugarcane refining</t>
  </si>
  <si>
    <t>Purified sugar</t>
  </si>
  <si>
    <t>Operating range (% of capacity)</t>
  </si>
  <si>
    <t>Min</t>
  </si>
  <si>
    <t>Max</t>
  </si>
  <si>
    <t>ETHANOL DISTILLERIES</t>
  </si>
  <si>
    <t>Guaranteed</t>
  </si>
  <si>
    <t>Maximum</t>
  </si>
  <si>
    <t>Cost of Freight from</t>
  </si>
  <si>
    <t>Distillery</t>
  </si>
  <si>
    <t>Capacity</t>
  </si>
  <si>
    <t>Jaú</t>
  </si>
  <si>
    <t>Bariri</t>
  </si>
  <si>
    <t>Cosmópolis</t>
  </si>
  <si>
    <t>Itapira</t>
  </si>
  <si>
    <t>Pirassununga</t>
  </si>
  <si>
    <t>São Carlos</t>
  </si>
  <si>
    <t>Diadema</t>
  </si>
  <si>
    <t>Santa Bárbara d'Oeste</t>
  </si>
  <si>
    <t>Araraquara</t>
  </si>
  <si>
    <t>OPEN MARKET PRICES</t>
  </si>
  <si>
    <t>Commodity</t>
  </si>
  <si>
    <t>Londrina sugar</t>
  </si>
  <si>
    <t>Franca sugar</t>
  </si>
  <si>
    <t>Bagasse</t>
  </si>
  <si>
    <t>Variable (R$/t of  sugarcane)</t>
  </si>
  <si>
    <t>DECISION VARIABLES</t>
  </si>
  <si>
    <t>OBJECTIVE FUNCTION</t>
  </si>
  <si>
    <t>Revenue</t>
  </si>
  <si>
    <t>Cost</t>
  </si>
  <si>
    <t>Profit</t>
  </si>
  <si>
    <t>Optimization Model</t>
  </si>
  <si>
    <t>Minimum</t>
  </si>
  <si>
    <t>Suppliers</t>
  </si>
  <si>
    <t>Customers</t>
  </si>
  <si>
    <t xml:space="preserve">Molasses </t>
  </si>
  <si>
    <t>Transportation Costs</t>
  </si>
  <si>
    <t>Operating Costs</t>
  </si>
  <si>
    <t>Total Cost</t>
  </si>
  <si>
    <t>Purchasing Costs</t>
  </si>
  <si>
    <t>Total</t>
  </si>
  <si>
    <t>Begasse</t>
  </si>
  <si>
    <t>PRODUCTION CAPACITY</t>
  </si>
  <si>
    <t>Worksheet: [Grupa Data.xlsx]Input Data</t>
  </si>
  <si>
    <t>Cell</t>
  </si>
  <si>
    <t>Name</t>
  </si>
  <si>
    <t>Cell Value</t>
  </si>
  <si>
    <t>Formula</t>
  </si>
  <si>
    <t>Status</t>
  </si>
  <si>
    <t>Slack</t>
  </si>
  <si>
    <t>$H$32</t>
  </si>
  <si>
    <t>Lsug</t>
  </si>
  <si>
    <t>Binding</t>
  </si>
  <si>
    <t>$I$32</t>
  </si>
  <si>
    <t>Fsug</t>
  </si>
  <si>
    <t>Not Binding</t>
  </si>
  <si>
    <t>Microsoft Excel 16.0 Answer Report</t>
  </si>
  <si>
    <t>Report Created: 3/19/2021 7:22:39 PM</t>
  </si>
  <si>
    <t>Result: Solver found a solution.  All Constraints and optimality conditions are satisfied.</t>
  </si>
  <si>
    <t>Solver Engine</t>
  </si>
  <si>
    <t>Engine: Simplex LP</t>
  </si>
  <si>
    <t>Solution Time: 0.094 Seconds.</t>
  </si>
  <si>
    <t>Iterations: 40 Subproblems: 0</t>
  </si>
  <si>
    <t>Solver Options</t>
  </si>
  <si>
    <t>Max Time Unlimited,  Iterations Unlimited, Precision 0.000001, Use Automatic Scaling</t>
  </si>
  <si>
    <t>Max Subproblems Unlimited, Max Integer Sols Unlimited, Integer Tolerance 1%, Assume NonNegative</t>
  </si>
  <si>
    <t>Objective Cell (Max)</t>
  </si>
  <si>
    <t>Original Value</t>
  </si>
  <si>
    <t>Final Value</t>
  </si>
  <si>
    <t>Variable Cells</t>
  </si>
  <si>
    <t>Integer</t>
  </si>
  <si>
    <t>Constraints</t>
  </si>
  <si>
    <t>$H$52</t>
  </si>
  <si>
    <t>$H$8</t>
  </si>
  <si>
    <t>S1L</t>
  </si>
  <si>
    <t>Contin</t>
  </si>
  <si>
    <t>$I$8</t>
  </si>
  <si>
    <t>S1F</t>
  </si>
  <si>
    <t>$H$9</t>
  </si>
  <si>
    <t>S2L</t>
  </si>
  <si>
    <t>$I$9</t>
  </si>
  <si>
    <t>S2F</t>
  </si>
  <si>
    <t>$H$10</t>
  </si>
  <si>
    <t>S3L</t>
  </si>
  <si>
    <t>$I$10</t>
  </si>
  <si>
    <t>S3F</t>
  </si>
  <si>
    <t>$H$11</t>
  </si>
  <si>
    <t>S4L</t>
  </si>
  <si>
    <t>$I$11</t>
  </si>
  <si>
    <t>S4F</t>
  </si>
  <si>
    <t>$H$12</t>
  </si>
  <si>
    <t>S5L</t>
  </si>
  <si>
    <t>$I$12</t>
  </si>
  <si>
    <t>S5F</t>
  </si>
  <si>
    <t>$H$13</t>
  </si>
  <si>
    <t>S6L</t>
  </si>
  <si>
    <t>$I$13</t>
  </si>
  <si>
    <t>S6F</t>
  </si>
  <si>
    <t>$H$14</t>
  </si>
  <si>
    <t>S7L</t>
  </si>
  <si>
    <t>$I$14</t>
  </si>
  <si>
    <t>S7F</t>
  </si>
  <si>
    <t>$H$15</t>
  </si>
  <si>
    <t>Iturama Londrina</t>
  </si>
  <si>
    <t>$I$15</t>
  </si>
  <si>
    <t>S8F</t>
  </si>
  <si>
    <t>$H$17</t>
  </si>
  <si>
    <t>D1L</t>
  </si>
  <si>
    <t>$I$17</t>
  </si>
  <si>
    <t>D1F</t>
  </si>
  <si>
    <t>$H$18</t>
  </si>
  <si>
    <t>D2L</t>
  </si>
  <si>
    <t>$I$18</t>
  </si>
  <si>
    <t>D2F</t>
  </si>
  <si>
    <t>$H$19</t>
  </si>
  <si>
    <t>D3L</t>
  </si>
  <si>
    <t>$I$19</t>
  </si>
  <si>
    <t>D3F</t>
  </si>
  <si>
    <t>$H$20</t>
  </si>
  <si>
    <t>D4L</t>
  </si>
  <si>
    <t>$I$20</t>
  </si>
  <si>
    <t>D4F</t>
  </si>
  <si>
    <t>$H$21</t>
  </si>
  <si>
    <t>D5L</t>
  </si>
  <si>
    <t>$I$21</t>
  </si>
  <si>
    <t>D5F</t>
  </si>
  <si>
    <t>$H$22</t>
  </si>
  <si>
    <t>D6L</t>
  </si>
  <si>
    <t>$I$22</t>
  </si>
  <si>
    <t>D6F</t>
  </si>
  <si>
    <t>$H$23</t>
  </si>
  <si>
    <t>D7L</t>
  </si>
  <si>
    <t>$I$23</t>
  </si>
  <si>
    <t>D7F</t>
  </si>
  <si>
    <t>$H$24</t>
  </si>
  <si>
    <t>D8L</t>
  </si>
  <si>
    <t>$I$24</t>
  </si>
  <si>
    <t>D8F</t>
  </si>
  <si>
    <t>$H$25</t>
  </si>
  <si>
    <t>D9L</t>
  </si>
  <si>
    <t>$I$25</t>
  </si>
  <si>
    <t>D9F</t>
  </si>
  <si>
    <t>$I$33</t>
  </si>
  <si>
    <t>Frefine</t>
  </si>
  <si>
    <t>$I$33&lt;=$I$39</t>
  </si>
  <si>
    <t>$I$33&gt;=$I$38</t>
  </si>
  <si>
    <t>$H$33</t>
  </si>
  <si>
    <t>Lrefine</t>
  </si>
  <si>
    <t>$H$33&lt;=$H$39</t>
  </si>
  <si>
    <t>$H$33&gt;=$H$38</t>
  </si>
  <si>
    <t>$H$26</t>
  </si>
  <si>
    <t>Ltotal</t>
  </si>
  <si>
    <t>$H$26&lt;=$H$31</t>
  </si>
  <si>
    <t>$J$17</t>
  </si>
  <si>
    <t>D1total</t>
  </si>
  <si>
    <t>$J$17&gt;=$B$46</t>
  </si>
  <si>
    <t>$J$18</t>
  </si>
  <si>
    <t>D2total</t>
  </si>
  <si>
    <t>$J$18&gt;=$B$47</t>
  </si>
  <si>
    <t>$J$19</t>
  </si>
  <si>
    <t>D3total</t>
  </si>
  <si>
    <t>$J$19&gt;=$B$48</t>
  </si>
  <si>
    <t>$J$20</t>
  </si>
  <si>
    <t>D4total</t>
  </si>
  <si>
    <t>$J$20&gt;=$B$49</t>
  </si>
  <si>
    <t>$J$21</t>
  </si>
  <si>
    <t>D5total</t>
  </si>
  <si>
    <t>$J$21&gt;=$B$50</t>
  </si>
  <si>
    <t>$J$22</t>
  </si>
  <si>
    <t>D6total</t>
  </si>
  <si>
    <t>$J$22&gt;=$B$51</t>
  </si>
  <si>
    <t>$J$23</t>
  </si>
  <si>
    <t>D7total</t>
  </si>
  <si>
    <t>$J$23&gt;=$B$52</t>
  </si>
  <si>
    <t>$J$24</t>
  </si>
  <si>
    <t>D8total</t>
  </si>
  <si>
    <t>$J$24&gt;=$B$53</t>
  </si>
  <si>
    <t>$J$25</t>
  </si>
  <si>
    <t>D9total</t>
  </si>
  <si>
    <t>$J$25&gt;=$B$54</t>
  </si>
  <si>
    <t>$H$32&gt;=$H$42</t>
  </si>
  <si>
    <t>$H$32&lt;=$H$43</t>
  </si>
  <si>
    <t>$I$26</t>
  </si>
  <si>
    <t>Ftotal</t>
  </si>
  <si>
    <t>$I$26&lt;=$I$31</t>
  </si>
  <si>
    <t>$I$32&gt;=$I$42</t>
  </si>
  <si>
    <t>$I$32&lt;=$I$43</t>
  </si>
  <si>
    <t>$J$8</t>
  </si>
  <si>
    <t>S1total</t>
  </si>
  <si>
    <t>$J$8&lt;=$B$8</t>
  </si>
  <si>
    <t>$J$9</t>
  </si>
  <si>
    <t>S2total</t>
  </si>
  <si>
    <t>$J$9&lt;=$B$9</t>
  </si>
  <si>
    <t>$J$10</t>
  </si>
  <si>
    <t>S3total</t>
  </si>
  <si>
    <t>$J$10&lt;=$B$10</t>
  </si>
  <si>
    <t>$J$11</t>
  </si>
  <si>
    <t>S4total</t>
  </si>
  <si>
    <t>$J$11&lt;=$B$11</t>
  </si>
  <si>
    <t>$J$12</t>
  </si>
  <si>
    <t>S5total</t>
  </si>
  <si>
    <t>$J$12&lt;=$B$12</t>
  </si>
  <si>
    <t>$J$13</t>
  </si>
  <si>
    <t>S6total</t>
  </si>
  <si>
    <t>$J$13&lt;=$B$13</t>
  </si>
  <si>
    <t>$J$14</t>
  </si>
  <si>
    <t>S7total</t>
  </si>
  <si>
    <t>$J$14&lt;=$B$14</t>
  </si>
  <si>
    <t>$J$15</t>
  </si>
  <si>
    <t>S8total</t>
  </si>
  <si>
    <t>$J$15&lt;=$B$15</t>
  </si>
  <si>
    <t>$J$17&lt;=$C$46</t>
  </si>
  <si>
    <t>$J$18&lt;=$C$47</t>
  </si>
  <si>
    <t>$J$19&lt;=$C$48</t>
  </si>
  <si>
    <t>$J$20&lt;=$C$49</t>
  </si>
  <si>
    <t>$J$21&lt;=$C$50</t>
  </si>
  <si>
    <t>$J$22&lt;=$C$51</t>
  </si>
  <si>
    <t>$J$23&lt;=$C$52</t>
  </si>
  <si>
    <t>$J$24&lt;=$C$53</t>
  </si>
  <si>
    <t>$J$25&lt;=$C$54</t>
  </si>
  <si>
    <t>Microsoft Excel 16.0 Sensitivity Report</t>
  </si>
  <si>
    <t>Report Created: 3/19/2021 7:22:40 PM</t>
  </si>
  <si>
    <t>Final</t>
  </si>
  <si>
    <t>Value</t>
  </si>
  <si>
    <t>Reduced</t>
  </si>
  <si>
    <t>Objective</t>
  </si>
  <si>
    <t>Coefficient</t>
  </si>
  <si>
    <t>Allowable</t>
  </si>
  <si>
    <t>Increase</t>
  </si>
  <si>
    <t>Decrease</t>
  </si>
  <si>
    <t>Shadow</t>
  </si>
  <si>
    <t>Constraint</t>
  </si>
  <si>
    <t>R.H. Side</t>
  </si>
  <si>
    <t>Microsoft Excel 16.0 Limits Report</t>
  </si>
  <si>
    <t>Variable</t>
  </si>
  <si>
    <t>Lower</t>
  </si>
  <si>
    <t>Limit</t>
  </si>
  <si>
    <t>Result</t>
  </si>
  <si>
    <t>Upper</t>
  </si>
  <si>
    <t>Total by Plant</t>
  </si>
  <si>
    <t>Total by Product</t>
  </si>
  <si>
    <t>Transportation Cost with Diesel Price Changes</t>
  </si>
  <si>
    <t>To Customer</t>
  </si>
  <si>
    <t>From Supplier</t>
  </si>
  <si>
    <t>Molasses Price with Diesel Price Changes</t>
  </si>
  <si>
    <t>$L$5</t>
  </si>
  <si>
    <t>$H$53</t>
  </si>
  <si>
    <t>Diesel Price Changes</t>
  </si>
  <si>
    <t>Data for chart</t>
  </si>
  <si>
    <t>Oneway analysis for Solver model in Changing Diesel Prices r=1 worksheet</t>
  </si>
  <si>
    <t>Ratio</t>
  </si>
  <si>
    <t>Change</t>
  </si>
  <si>
    <t>Range</t>
  </si>
  <si>
    <t>(reflect on Change &amp; Ratio)</t>
  </si>
  <si>
    <t/>
  </si>
  <si>
    <t>$O$5</t>
  </si>
  <si>
    <t>Diesel Price Change</t>
  </si>
  <si>
    <t>Twoway analysis for Solver model in Changing Diesel Prices r!=1 worksheet</t>
  </si>
  <si>
    <t>Diesel Price Change (cell $L$5) values along side, Ratio (cell $O$5) values along top, output cell in corner</t>
  </si>
  <si>
    <t>Output and Diesel Price Change value for chart</t>
  </si>
  <si>
    <t>Output</t>
  </si>
  <si>
    <t>Diesel Price Change value</t>
  </si>
  <si>
    <t>Output and Ratio value for chart</t>
  </si>
  <si>
    <t>Ratio value</t>
  </si>
  <si>
    <t>ratio is fixed in this case</t>
  </si>
  <si>
    <t>A one way solver table applied for variation of Diesel price</t>
  </si>
  <si>
    <t>Ratio is variable in this case</t>
  </si>
  <si>
    <t>A two way solver table was applied for the variations of Diesel Price and Ratio</t>
  </si>
  <si>
    <t>Change in Diesel Price</t>
  </si>
  <si>
    <t>Change in Diesel Price (cell $L$5) values along side, output cell(s) along top</t>
  </si>
  <si>
    <t>Dracena</t>
  </si>
  <si>
    <t>unknown</t>
  </si>
  <si>
    <t>Oneway analysis for Solver model in Add Plantation Dracena worksheet</t>
  </si>
  <si>
    <t>Input (cell $C$16) values along side, output cell(s) along top</t>
  </si>
  <si>
    <t>$H$33&gt;=$H$43</t>
  </si>
  <si>
    <t>$H$33&lt;=$H$44</t>
  </si>
  <si>
    <t>$I$35&gt;=$I$39</t>
  </si>
  <si>
    <t>Total by Plant Franca</t>
  </si>
  <si>
    <t>$I$35</t>
  </si>
  <si>
    <t>$I$33&gt;=$I$43</t>
  </si>
  <si>
    <t>$I$27&lt;=$I$32</t>
  </si>
  <si>
    <t>$I$27</t>
  </si>
  <si>
    <t>$I$35&lt;=$I$40</t>
  </si>
  <si>
    <t>$I$33&lt;=$I$44</t>
  </si>
  <si>
    <t>$H$35&gt;=$H$39</t>
  </si>
  <si>
    <t>Total by Plant Londrina</t>
  </si>
  <si>
    <t>$H$35</t>
  </si>
  <si>
    <t>$J$15=$B$15</t>
  </si>
  <si>
    <t>$J$14=$B$14</t>
  </si>
  <si>
    <t>$J$13=$B$13</t>
  </si>
  <si>
    <t>$J$12=$B$12</t>
  </si>
  <si>
    <t>$J$11=$B$11</t>
  </si>
  <si>
    <t>$J$10=$B$10</t>
  </si>
  <si>
    <t>$J$9=$B$9</t>
  </si>
  <si>
    <t>$J$8=$B$8</t>
  </si>
  <si>
    <t>$H$27&lt;=$H$32</t>
  </si>
  <si>
    <t>$H$27</t>
  </si>
  <si>
    <t>$J$26&gt;=$B$54</t>
  </si>
  <si>
    <t>$J$26</t>
  </si>
  <si>
    <t>$J$25&gt;=$B$53</t>
  </si>
  <si>
    <t>$J$24&gt;=$B$52</t>
  </si>
  <si>
    <t>$J$23&gt;=$B$51</t>
  </si>
  <si>
    <t>$J$22&gt;=$B$50</t>
  </si>
  <si>
    <t>$J$21&gt;=$B$49</t>
  </si>
  <si>
    <t>$J$20&gt;=$B$48</t>
  </si>
  <si>
    <t>$J$19&gt;=$B$47</t>
  </si>
  <si>
    <t>$J$18&gt;=$B$46</t>
  </si>
  <si>
    <t>$J$26&lt;=$C$54</t>
  </si>
  <si>
    <t>$J$25&lt;=$C$53</t>
  </si>
  <si>
    <t>$J$24&lt;=$C$52</t>
  </si>
  <si>
    <t>$J$23&lt;=$C$51</t>
  </si>
  <si>
    <t>$J$22&lt;=$C$50</t>
  </si>
  <si>
    <t>$J$21&lt;=$C$49</t>
  </si>
  <si>
    <t>$J$20&lt;=$C$48</t>
  </si>
  <si>
    <t>$J$19&lt;=$C$47</t>
  </si>
  <si>
    <t>$J$18&lt;=$C$46</t>
  </si>
  <si>
    <t>$H$35&lt;=$H$40</t>
  </si>
  <si>
    <t>Iterations: 38 Subproblems: 0</t>
  </si>
  <si>
    <t>Solution Time: 1.296 Seconds.</t>
  </si>
  <si>
    <t>Report Created: 3/20/2021 7:38:51 PM</t>
  </si>
  <si>
    <t>Worksheet: [Grupa Data 2.xlsx]Optimization Model w no min</t>
  </si>
  <si>
    <t>Report Created: 3/20/2021 7:38:53 PM</t>
  </si>
  <si>
    <t>Report Created: 3/20/2021 7:38:55 PM</t>
  </si>
  <si>
    <t>Profit Increase</t>
  </si>
  <si>
    <t>Profit Difference</t>
  </si>
  <si>
    <t>New Profit</t>
  </si>
  <si>
    <t>Old Profit</t>
  </si>
  <si>
    <t>Profitability</t>
  </si>
  <si>
    <t>Cost Difference</t>
  </si>
  <si>
    <t>Franca Cost</t>
  </si>
  <si>
    <t>Londrina Cost</t>
  </si>
  <si>
    <t>Difference</t>
  </si>
  <si>
    <t>W/o Min Constraints</t>
  </si>
  <si>
    <t>Original</t>
  </si>
  <si>
    <t>Allowable Decrease</t>
  </si>
  <si>
    <t>Allowable Increase</t>
  </si>
  <si>
    <t>Shadow Price (max)</t>
  </si>
  <si>
    <t>Shadow Price (min)</t>
  </si>
  <si>
    <t>Status (in relation to the max)</t>
  </si>
  <si>
    <t>Status (in relation to the min)</t>
  </si>
  <si>
    <t>In relation to the max</t>
  </si>
  <si>
    <t>In relation to the min</t>
  </si>
  <si>
    <t>Without Guarunteed Min</t>
  </si>
  <si>
    <t>Team 13</t>
  </si>
  <si>
    <t>Chelsea Alford</t>
  </si>
  <si>
    <t>Lisiman Hua</t>
  </si>
  <si>
    <t>Anika Abrahamson</t>
  </si>
  <si>
    <t>Joe Werthan</t>
  </si>
  <si>
    <t>Karry Lu</t>
  </si>
  <si>
    <t>Analysis</t>
  </si>
  <si>
    <t>Color</t>
  </si>
  <si>
    <t>Plant Efficiency</t>
  </si>
  <si>
    <t>Additional Supplier</t>
  </si>
  <si>
    <t>Renegotiating Supply Agreements</t>
  </si>
  <si>
    <t>Changing Diesel Prices</t>
  </si>
  <si>
    <t>Bagasse (Leftover)</t>
  </si>
  <si>
    <t>Total Refined</t>
  </si>
  <si>
    <t>Not feasible</t>
  </si>
  <si>
    <t>Input (cell $B$37) values along side, output cell(s) along top</t>
  </si>
  <si>
    <t>Oneway analysis for Solver model in plant capacity changes worksheet</t>
  </si>
  <si>
    <t>Input (cell $C$37) values along side, output cell(s) along top</t>
  </si>
  <si>
    <t>Input (cell $H$44) values along side, output cell(s) along 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</si>
</sst>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0.0"/>
    <numFmt numFmtId="166" formatCode="0.000%"/>
    <numFmt numFmtId="167" formatCode="&quot;$&quot;#,##0.00"/>
  </numFmts>
  <fonts count="6" x14ac:knownFonts="1">
    <font>
      <sz val="10"/>
      <name val="Arial"/>
      <family val="2"/>
    </font>
    <font>
      <sz val="10"/>
      <name val="Arial"/>
      <family val="2"/>
    </font>
    <font>
      <b/>
      <sz val="10"/>
      <name val="Arial"/>
      <family val="2"/>
    </font>
    <font>
      <b/>
      <sz val="10"/>
      <color indexed="18"/>
      <name val="Arial"/>
      <family val="2"/>
    </font>
    <font>
      <sz val="10"/>
      <color rgb="FFFFFFFF"/>
      <name val="Arial"/>
      <family val="2"/>
    </font>
    <font>
      <sz val="9"/>
      <color indexed="81"/>
      <name val="Tahoma"/>
      <family val="2"/>
    </font>
  </fonts>
  <fills count="8">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rgb="FFFFFF99"/>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indexed="47"/>
        <bgColor indexed="64"/>
      </patternFill>
    </fill>
  </fills>
  <borders count="26">
    <border>
      <left/>
      <right/>
      <top/>
      <bottom/>
      <diagonal/>
    </border>
    <border>
      <left/>
      <right/>
      <top/>
      <bottom style="thin">
        <color auto="1"/>
      </bottom>
      <diagonal/>
    </border>
    <border>
      <left/>
      <right/>
      <top style="medium">
        <color indexed="23"/>
      </top>
      <bottom style="medium">
        <color indexed="23"/>
      </bottom>
      <diagonal/>
    </border>
    <border>
      <left/>
      <right/>
      <top style="medium">
        <color indexed="23"/>
      </top>
      <bottom/>
      <diagonal/>
    </border>
    <border>
      <left/>
      <right/>
      <top/>
      <bottom style="medium">
        <color indexed="23"/>
      </bottom>
      <diagonal/>
    </border>
    <border>
      <left/>
      <right/>
      <top style="thin">
        <color indexed="23"/>
      </top>
      <bottom style="medium">
        <color indexed="23"/>
      </bottom>
      <diagonal/>
    </border>
    <border>
      <left/>
      <right/>
      <top style="thin">
        <color indexed="23"/>
      </top>
      <bottom/>
      <diagonal/>
    </border>
    <border>
      <left style="thin">
        <color indexed="64"/>
      </left>
      <right/>
      <top/>
      <bottom/>
      <diagonal/>
    </border>
    <border>
      <left/>
      <right style="thin">
        <color indexed="64"/>
      </right>
      <top/>
      <bottom/>
      <diagonal/>
    </border>
    <border>
      <left/>
      <right style="thin">
        <color indexed="64"/>
      </right>
      <top/>
      <bottom style="thin">
        <color auto="1"/>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97">
    <xf numFmtId="0" fontId="0" fillId="0" borderId="0" xfId="0"/>
    <xf numFmtId="0" fontId="2" fillId="0" borderId="0" xfId="0" applyFont="1"/>
    <xf numFmtId="0" fontId="1" fillId="0" borderId="0" xfId="0" applyFont="1" applyAlignment="1">
      <alignment horizontal="center"/>
    </xf>
    <xf numFmtId="0" fontId="0" fillId="0" borderId="0" xfId="0" applyAlignment="1">
      <alignment horizontal="center"/>
    </xf>
    <xf numFmtId="0" fontId="0" fillId="0" borderId="1" xfId="0" applyBorder="1" applyAlignment="1">
      <alignment horizontal="center"/>
    </xf>
    <xf numFmtId="0" fontId="1" fillId="0" borderId="0" xfId="0" applyFont="1"/>
    <xf numFmtId="0" fontId="1" fillId="0" borderId="0" xfId="0" applyFont="1" applyAlignment="1">
      <alignment horizontal="left"/>
    </xf>
    <xf numFmtId="2" fontId="0" fillId="0" borderId="0" xfId="0" applyNumberFormat="1"/>
    <xf numFmtId="164" fontId="0" fillId="0" borderId="0" xfId="1" applyNumberFormat="1" applyFont="1"/>
    <xf numFmtId="3" fontId="0" fillId="0" borderId="0" xfId="0" applyNumberFormat="1"/>
    <xf numFmtId="9" fontId="0" fillId="0" borderId="0" xfId="1" applyFont="1"/>
    <xf numFmtId="0" fontId="0" fillId="0" borderId="0" xfId="0" applyBorder="1"/>
    <xf numFmtId="0" fontId="1" fillId="0" borderId="1" xfId="0" applyFont="1" applyBorder="1" applyAlignment="1">
      <alignment horizontal="center"/>
    </xf>
    <xf numFmtId="0" fontId="0" fillId="0" borderId="0" xfId="0" applyBorder="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Font="1"/>
    <xf numFmtId="0" fontId="0" fillId="0" borderId="0" xfId="0" applyAlignment="1">
      <alignment horizontal="center"/>
    </xf>
    <xf numFmtId="0" fontId="1" fillId="0" borderId="0" xfId="0" applyFont="1" applyAlignment="1">
      <alignment horizontal="center"/>
    </xf>
    <xf numFmtId="0" fontId="0" fillId="4" borderId="0" xfId="0" applyFill="1"/>
    <xf numFmtId="0" fontId="0" fillId="0" borderId="0" xfId="0" applyFill="1"/>
    <xf numFmtId="0" fontId="2" fillId="0" borderId="0" xfId="0" applyFont="1" applyAlignment="1">
      <alignment horizontal="center"/>
    </xf>
    <xf numFmtId="44" fontId="0" fillId="0" borderId="0" xfId="2" applyFont="1"/>
    <xf numFmtId="44" fontId="0" fillId="3" borderId="0" xfId="2" applyFont="1" applyFill="1"/>
    <xf numFmtId="0" fontId="0" fillId="0" borderId="0" xfId="0" applyFont="1" applyAlignment="1">
      <alignment horizontal="center"/>
    </xf>
    <xf numFmtId="3" fontId="0" fillId="0" borderId="0" xfId="0" applyNumberFormat="1" applyFill="1"/>
    <xf numFmtId="9" fontId="0" fillId="0" borderId="0" xfId="1" applyFont="1" applyFill="1"/>
    <xf numFmtId="0" fontId="3" fillId="0" borderId="2" xfId="0" applyFont="1" applyFill="1" applyBorder="1" applyAlignment="1">
      <alignment horizontal="center"/>
    </xf>
    <xf numFmtId="0" fontId="0" fillId="0" borderId="5" xfId="0" applyFill="1" applyBorder="1" applyAlignment="1"/>
    <xf numFmtId="0" fontId="0" fillId="0" borderId="6" xfId="0" applyFill="1" applyBorder="1" applyAlignment="1"/>
    <xf numFmtId="44" fontId="0" fillId="0" borderId="5" xfId="0" applyNumberFormat="1" applyFill="1" applyBorder="1" applyAlignment="1"/>
    <xf numFmtId="0" fontId="0" fillId="0" borderId="6" xfId="0" applyNumberFormat="1" applyFill="1" applyBorder="1" applyAlignment="1"/>
    <xf numFmtId="0" fontId="0" fillId="0" borderId="5" xfId="0" applyNumberFormat="1" applyFill="1" applyBorder="1" applyAlignment="1"/>
    <xf numFmtId="0" fontId="3" fillId="0" borderId="3" xfId="0" applyFont="1" applyFill="1" applyBorder="1" applyAlignment="1">
      <alignment horizontal="center"/>
    </xf>
    <xf numFmtId="0" fontId="3" fillId="0" borderId="4" xfId="0" applyFont="1" applyFill="1" applyBorder="1" applyAlignment="1">
      <alignment horizontal="center"/>
    </xf>
    <xf numFmtId="165" fontId="0" fillId="0" borderId="0" xfId="0" applyNumberFormat="1" applyFill="1"/>
    <xf numFmtId="165" fontId="0" fillId="0" borderId="0" xfId="0" applyNumberFormat="1"/>
    <xf numFmtId="165" fontId="0" fillId="2" borderId="0" xfId="0" applyNumberFormat="1" applyFill="1"/>
    <xf numFmtId="0" fontId="0" fillId="0" borderId="0" xfId="0" applyAlignment="1">
      <alignment horizontal="center"/>
    </xf>
    <xf numFmtId="0" fontId="0" fillId="0" borderId="1" xfId="0" applyBorder="1" applyAlignment="1">
      <alignment horizontal="center"/>
    </xf>
    <xf numFmtId="0" fontId="0" fillId="0" borderId="0" xfId="0" applyAlignment="1">
      <alignment horizontal="center"/>
    </xf>
    <xf numFmtId="49" fontId="0" fillId="0" borderId="0" xfId="0" applyNumberFormat="1"/>
    <xf numFmtId="9" fontId="0" fillId="0" borderId="0" xfId="0" applyNumberFormat="1"/>
    <xf numFmtId="0" fontId="0" fillId="0" borderId="1" xfId="0" applyFill="1" applyBorder="1"/>
    <xf numFmtId="0" fontId="0" fillId="0" borderId="1" xfId="0" applyBorder="1"/>
    <xf numFmtId="0" fontId="0" fillId="0" borderId="0" xfId="0" applyAlignment="1">
      <alignment horizontal="right" textRotation="90"/>
    </xf>
    <xf numFmtId="0" fontId="0" fillId="5" borderId="0" xfId="0" applyFill="1" applyAlignment="1">
      <alignment horizontal="right" textRotation="90"/>
    </xf>
    <xf numFmtId="0" fontId="4" fillId="0" borderId="0" xfId="0" applyFont="1"/>
    <xf numFmtId="44" fontId="0" fillId="0" borderId="11" xfId="0" applyNumberFormat="1" applyBorder="1"/>
    <xf numFmtId="44" fontId="0" fillId="0" borderId="12" xfId="0" applyNumberFormat="1" applyBorder="1"/>
    <xf numFmtId="44" fontId="0" fillId="0" borderId="13" xfId="0" applyNumberFormat="1" applyBorder="1"/>
    <xf numFmtId="0" fontId="0" fillId="0" borderId="0" xfId="0" applyNumberFormat="1"/>
    <xf numFmtId="0" fontId="0" fillId="0" borderId="0" xfId="0" applyAlignment="1">
      <alignment horizontal="right"/>
    </xf>
    <xf numFmtId="0" fontId="0" fillId="3" borderId="0" xfId="0" applyFill="1"/>
    <xf numFmtId="44" fontId="0" fillId="0" borderId="14" xfId="0" applyNumberFormat="1" applyBorder="1"/>
    <xf numFmtId="44" fontId="0" fillId="0" borderId="7" xfId="0" applyNumberFormat="1" applyBorder="1"/>
    <xf numFmtId="44" fontId="0" fillId="0" borderId="10" xfId="0" applyNumberFormat="1" applyBorder="1"/>
    <xf numFmtId="44" fontId="0" fillId="0" borderId="15" xfId="0" applyNumberFormat="1" applyBorder="1"/>
    <xf numFmtId="44" fontId="0" fillId="0" borderId="0" xfId="0" applyNumberFormat="1" applyBorder="1"/>
    <xf numFmtId="44" fontId="0" fillId="0" borderId="1" xfId="0" applyNumberFormat="1" applyBorder="1"/>
    <xf numFmtId="44" fontId="0" fillId="0" borderId="16" xfId="0" applyNumberFormat="1" applyBorder="1"/>
    <xf numFmtId="44" fontId="0" fillId="0" borderId="8" xfId="0" applyNumberFormat="1" applyBorder="1"/>
    <xf numFmtId="44" fontId="0" fillId="0" borderId="9" xfId="0" applyNumberFormat="1" applyBorder="1"/>
    <xf numFmtId="0" fontId="0" fillId="0" borderId="0" xfId="0" applyAlignment="1">
      <alignment horizontal="left"/>
    </xf>
    <xf numFmtId="0" fontId="0" fillId="0" borderId="0" xfId="0" applyAlignment="1">
      <alignment horizontal="center"/>
    </xf>
    <xf numFmtId="0" fontId="0" fillId="0" borderId="8" xfId="0" applyBorder="1"/>
    <xf numFmtId="0" fontId="0" fillId="0" borderId="9" xfId="0" applyBorder="1"/>
    <xf numFmtId="0" fontId="0" fillId="2" borderId="0" xfId="0" applyFill="1"/>
    <xf numFmtId="165" fontId="0" fillId="0" borderId="5" xfId="0" applyNumberFormat="1" applyBorder="1"/>
    <xf numFmtId="0" fontId="0" fillId="0" borderId="5" xfId="0" applyBorder="1"/>
    <xf numFmtId="0" fontId="0" fillId="0" borderId="6" xfId="0" applyBorder="1"/>
    <xf numFmtId="165" fontId="0" fillId="0" borderId="6" xfId="0" applyNumberFormat="1" applyBorder="1"/>
    <xf numFmtId="0" fontId="3" fillId="0" borderId="2" xfId="0" applyFont="1" applyBorder="1" applyAlignment="1">
      <alignment horizontal="center"/>
    </xf>
    <xf numFmtId="44" fontId="0" fillId="0" borderId="5" xfId="0" applyNumberFormat="1" applyBorder="1"/>
    <xf numFmtId="0" fontId="3" fillId="0" borderId="4" xfId="0" applyFont="1" applyBorder="1" applyAlignment="1">
      <alignment horizontal="center"/>
    </xf>
    <xf numFmtId="0" fontId="3" fillId="0" borderId="3" xfId="0" applyFont="1" applyBorder="1" applyAlignment="1">
      <alignment horizontal="center"/>
    </xf>
    <xf numFmtId="166" fontId="2" fillId="0" borderId="17" xfId="1" applyNumberFormat="1" applyFont="1" applyBorder="1"/>
    <xf numFmtId="167" fontId="0" fillId="0" borderId="0" xfId="0" applyNumberFormat="1"/>
    <xf numFmtId="167" fontId="2" fillId="0" borderId="17" xfId="0" applyNumberFormat="1" applyFont="1"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1" fillId="0" borderId="0" xfId="0" applyFont="1" applyAlignment="1">
      <alignment horizontal="center"/>
    </xf>
    <xf numFmtId="0" fontId="0" fillId="6" borderId="0" xfId="0" applyFill="1"/>
    <xf numFmtId="0" fontId="0" fillId="5" borderId="0" xfId="0" applyFill="1"/>
    <xf numFmtId="0" fontId="0" fillId="7" borderId="10" xfId="0" applyFill="1" applyBorder="1"/>
    <xf numFmtId="0" fontId="0" fillId="7" borderId="7" xfId="0" applyFill="1" applyBorder="1"/>
    <xf numFmtId="165" fontId="0" fillId="0" borderId="8" xfId="0" applyNumberFormat="1" applyBorder="1"/>
    <xf numFmtId="165" fontId="0" fillId="0" borderId="16" xfId="0" applyNumberFormat="1" applyBorder="1"/>
    <xf numFmtId="165" fontId="0" fillId="0" borderId="15" xfId="0" applyNumberFormat="1" applyBorder="1"/>
    <xf numFmtId="165" fontId="0" fillId="0" borderId="9" xfId="0" applyNumberFormat="1" applyBorder="1"/>
    <xf numFmtId="165" fontId="0" fillId="0" borderId="1" xfId="0" applyNumberFormat="1" applyBorder="1"/>
  </cellXfs>
  <cellStyles count="3">
    <cellStyle name="Currency" xfId="2" builtinId="4"/>
    <cellStyle name="Normal" xfId="0" builtinId="0"/>
    <cellStyle name="Percent" xfId="1" builtinId="5"/>
  </cellStyles>
  <dxfs count="0"/>
  <tableStyles count="0" defaultTableStyle="TableStyleMedium2" defaultPivotStyle="PivotStyleLight16"/>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Sensitivity of Profit to Minimum Capacity Change at Londrina</a:t>
            </a:r>
          </a:p>
        </c:rich>
      </c:tx>
      <c:layout>
        <c:manualLayout>
          <c:xMode val="edge"/>
          <c:yMode val="edge"/>
          <c:x val="0.18803375164041997"/>
          <c:y val="2.66666666666666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STS_Londrina!$A$5:$A$15</c:f>
              <c:numCache>
                <c:formatCode>0%</c:formatCode>
                <c:ptCount val="11"/>
                <c:pt idx="0">
                  <c:v>0</c:v>
                </c:pt>
                <c:pt idx="1">
                  <c:v>0.10000000149011612</c:v>
                </c:pt>
                <c:pt idx="2">
                  <c:v>0.20000000298023224</c:v>
                </c:pt>
                <c:pt idx="3">
                  <c:v>0.30000001192092896</c:v>
                </c:pt>
                <c:pt idx="4">
                  <c:v>0.40000000596046448</c:v>
                </c:pt>
                <c:pt idx="5">
                  <c:v>0.5</c:v>
                </c:pt>
                <c:pt idx="6">
                  <c:v>0.60000002384185791</c:v>
                </c:pt>
                <c:pt idx="7">
                  <c:v>0.69999998807907104</c:v>
                </c:pt>
                <c:pt idx="8">
                  <c:v>0.80000001192092896</c:v>
                </c:pt>
                <c:pt idx="9">
                  <c:v>0.90000003576278687</c:v>
                </c:pt>
                <c:pt idx="10">
                  <c:v>1</c:v>
                </c:pt>
              </c:numCache>
            </c:numRef>
          </c:cat>
          <c:val>
            <c:numRef>
              <c:f>STS_Londrina!$AL$5:$AL$15</c:f>
              <c:numCache>
                <c:formatCode>General</c:formatCode>
                <c:ptCount val="11"/>
                <c:pt idx="0">
                  <c:v>183135.11</c:v>
                </c:pt>
                <c:pt idx="1">
                  <c:v>183135.11</c:v>
                </c:pt>
                <c:pt idx="2">
                  <c:v>183135.11</c:v>
                </c:pt>
                <c:pt idx="3">
                  <c:v>183135.11</c:v>
                </c:pt>
                <c:pt idx="4">
                  <c:v>183135.11</c:v>
                </c:pt>
                <c:pt idx="5">
                  <c:v>183135.11</c:v>
                </c:pt>
                <c:pt idx="6">
                  <c:v>183135.11</c:v>
                </c:pt>
                <c:pt idx="7">
                  <c:v>0</c:v>
                </c:pt>
                <c:pt idx="8">
                  <c:v>0</c:v>
                </c:pt>
                <c:pt idx="9">
                  <c:v>0</c:v>
                </c:pt>
                <c:pt idx="10">
                  <c:v>0</c:v>
                </c:pt>
              </c:numCache>
            </c:numRef>
          </c:val>
          <c:smooth val="0"/>
          <c:extLst>
            <c:ext xmlns:c16="http://schemas.microsoft.com/office/drawing/2014/chart" uri="{C3380CC4-5D6E-409C-BE32-E72D297353CC}">
              <c16:uniqueId val="{00000000-32B7-45E7-BD15-06DAB1F51BDC}"/>
            </c:ext>
          </c:extLst>
        </c:ser>
        <c:dLbls>
          <c:showLegendKey val="0"/>
          <c:showVal val="0"/>
          <c:showCatName val="0"/>
          <c:showSerName val="0"/>
          <c:showPercent val="0"/>
          <c:showBubbleSize val="0"/>
        </c:dLbls>
        <c:smooth val="0"/>
        <c:axId val="1233720015"/>
        <c:axId val="1233711279"/>
      </c:lineChart>
      <c:catAx>
        <c:axId val="123372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Minimum Capacity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711279"/>
        <c:crosses val="autoZero"/>
        <c:auto val="1"/>
        <c:lblAlgn val="ctr"/>
        <c:lblOffset val="100"/>
        <c:tickMarkSkip val="1"/>
        <c:noMultiLvlLbl val="0"/>
      </c:catAx>
      <c:valAx>
        <c:axId val="1233711279"/>
        <c:scaling>
          <c:orientation val="minMax"/>
        </c:scaling>
        <c:delete val="0"/>
        <c:axPos val="l"/>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720015"/>
        <c:crosses val="autoZero"/>
        <c:crossBetween val="midCat"/>
        <c:majorUnit val="4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Sensitivity of Profit to Minimum Capacity at Franca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STS_Franca!$A$5:$A$15</c:f>
              <c:numCache>
                <c:formatCode>0%</c:formatCode>
                <c:ptCount val="11"/>
                <c:pt idx="0">
                  <c:v>0</c:v>
                </c:pt>
                <c:pt idx="1">
                  <c:v>0.10000000149011612</c:v>
                </c:pt>
                <c:pt idx="2">
                  <c:v>0.20000000298023224</c:v>
                </c:pt>
                <c:pt idx="3">
                  <c:v>0.30000001192092896</c:v>
                </c:pt>
                <c:pt idx="4">
                  <c:v>0.40000000596046448</c:v>
                </c:pt>
                <c:pt idx="5">
                  <c:v>0.5</c:v>
                </c:pt>
                <c:pt idx="6">
                  <c:v>0.60000002384185791</c:v>
                </c:pt>
                <c:pt idx="7">
                  <c:v>0.69999998807907104</c:v>
                </c:pt>
                <c:pt idx="8">
                  <c:v>0.80000001192092896</c:v>
                </c:pt>
                <c:pt idx="9">
                  <c:v>0.90000003576278687</c:v>
                </c:pt>
                <c:pt idx="10">
                  <c:v>1</c:v>
                </c:pt>
              </c:numCache>
            </c:numRef>
          </c:cat>
          <c:val>
            <c:numRef>
              <c:f>STS_Franca!$AL$5:$AL$15</c:f>
              <c:numCache>
                <c:formatCode>General</c:formatCode>
                <c:ptCount val="11"/>
                <c:pt idx="0">
                  <c:v>183135.11</c:v>
                </c:pt>
                <c:pt idx="1">
                  <c:v>183135.11</c:v>
                </c:pt>
                <c:pt idx="2">
                  <c:v>183135.11</c:v>
                </c:pt>
                <c:pt idx="3">
                  <c:v>183135.11</c:v>
                </c:pt>
                <c:pt idx="4">
                  <c:v>183135.11</c:v>
                </c:pt>
                <c:pt idx="5">
                  <c:v>183135.11</c:v>
                </c:pt>
                <c:pt idx="6">
                  <c:v>183135.11</c:v>
                </c:pt>
                <c:pt idx="7">
                  <c:v>183135.11</c:v>
                </c:pt>
                <c:pt idx="8">
                  <c:v>183135.11</c:v>
                </c:pt>
                <c:pt idx="9">
                  <c:v>0</c:v>
                </c:pt>
                <c:pt idx="10">
                  <c:v>0</c:v>
                </c:pt>
              </c:numCache>
            </c:numRef>
          </c:val>
          <c:smooth val="0"/>
          <c:extLst>
            <c:ext xmlns:c16="http://schemas.microsoft.com/office/drawing/2014/chart" uri="{C3380CC4-5D6E-409C-BE32-E72D297353CC}">
              <c16:uniqueId val="{00000000-A7FD-4271-899F-0157AC1EBE30}"/>
            </c:ext>
          </c:extLst>
        </c:ser>
        <c:dLbls>
          <c:showLegendKey val="0"/>
          <c:showVal val="0"/>
          <c:showCatName val="0"/>
          <c:showSerName val="0"/>
          <c:showPercent val="0"/>
          <c:showBubbleSize val="0"/>
        </c:dLbls>
        <c:smooth val="0"/>
        <c:axId val="1525247503"/>
        <c:axId val="1525237103"/>
      </c:lineChart>
      <c:catAx>
        <c:axId val="1525247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Capacity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37103"/>
        <c:crosses val="autoZero"/>
        <c:auto val="1"/>
        <c:lblAlgn val="ctr"/>
        <c:lblOffset val="100"/>
        <c:noMultiLvlLbl val="0"/>
      </c:catAx>
      <c:valAx>
        <c:axId val="1525237103"/>
        <c:scaling>
          <c:orientation val="minMax"/>
        </c:scaling>
        <c:delete val="0"/>
        <c:axPos val="l"/>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47503"/>
        <c:crosses val="autoZero"/>
        <c:crossBetween val="midCat"/>
        <c:majorUnit val="4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Sensitivity of Profit to Maximum Sugar Capacity at Londrina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'STS_Max_Sugar Londrina'!$A$5:$A$45</c:f>
              <c:numCache>
                <c:formatCode>General</c:formatCode>
                <c:ptCount val="41"/>
                <c:pt idx="0">
                  <c:v>2000</c:v>
                </c:pt>
                <c:pt idx="1">
                  <c:v>2050</c:v>
                </c:pt>
                <c:pt idx="2">
                  <c:v>2100</c:v>
                </c:pt>
                <c:pt idx="3">
                  <c:v>2150</c:v>
                </c:pt>
                <c:pt idx="4">
                  <c:v>2200</c:v>
                </c:pt>
                <c:pt idx="5">
                  <c:v>2250</c:v>
                </c:pt>
                <c:pt idx="6">
                  <c:v>2300</c:v>
                </c:pt>
                <c:pt idx="7">
                  <c:v>2350</c:v>
                </c:pt>
                <c:pt idx="8">
                  <c:v>2400</c:v>
                </c:pt>
                <c:pt idx="9">
                  <c:v>2450</c:v>
                </c:pt>
                <c:pt idx="10">
                  <c:v>2500</c:v>
                </c:pt>
                <c:pt idx="11">
                  <c:v>2550</c:v>
                </c:pt>
                <c:pt idx="12">
                  <c:v>2600</c:v>
                </c:pt>
                <c:pt idx="13">
                  <c:v>2650</c:v>
                </c:pt>
                <c:pt idx="14">
                  <c:v>2700</c:v>
                </c:pt>
                <c:pt idx="15">
                  <c:v>2750</c:v>
                </c:pt>
                <c:pt idx="16">
                  <c:v>2800</c:v>
                </c:pt>
                <c:pt idx="17">
                  <c:v>2850</c:v>
                </c:pt>
                <c:pt idx="18">
                  <c:v>2900</c:v>
                </c:pt>
                <c:pt idx="19">
                  <c:v>2950</c:v>
                </c:pt>
                <c:pt idx="20">
                  <c:v>3000</c:v>
                </c:pt>
                <c:pt idx="21">
                  <c:v>3050</c:v>
                </c:pt>
                <c:pt idx="22">
                  <c:v>3100</c:v>
                </c:pt>
                <c:pt idx="23">
                  <c:v>3150</c:v>
                </c:pt>
                <c:pt idx="24">
                  <c:v>3200</c:v>
                </c:pt>
                <c:pt idx="25">
                  <c:v>3250</c:v>
                </c:pt>
                <c:pt idx="26">
                  <c:v>3300</c:v>
                </c:pt>
                <c:pt idx="27">
                  <c:v>3350</c:v>
                </c:pt>
                <c:pt idx="28">
                  <c:v>3400</c:v>
                </c:pt>
                <c:pt idx="29">
                  <c:v>3450</c:v>
                </c:pt>
                <c:pt idx="30">
                  <c:v>3500</c:v>
                </c:pt>
                <c:pt idx="31">
                  <c:v>3550</c:v>
                </c:pt>
                <c:pt idx="32">
                  <c:v>3600</c:v>
                </c:pt>
                <c:pt idx="33">
                  <c:v>3650</c:v>
                </c:pt>
                <c:pt idx="34">
                  <c:v>3700</c:v>
                </c:pt>
                <c:pt idx="35">
                  <c:v>3750</c:v>
                </c:pt>
                <c:pt idx="36">
                  <c:v>3800</c:v>
                </c:pt>
                <c:pt idx="37">
                  <c:v>3850</c:v>
                </c:pt>
                <c:pt idx="38">
                  <c:v>3900</c:v>
                </c:pt>
                <c:pt idx="39">
                  <c:v>3950</c:v>
                </c:pt>
                <c:pt idx="40">
                  <c:v>4000</c:v>
                </c:pt>
              </c:numCache>
            </c:numRef>
          </c:cat>
          <c:val>
            <c:numRef>
              <c:f>'STS_Max_Sugar Londrina'!$AL$5:$AL$45</c:f>
              <c:numCache>
                <c:formatCode>General</c:formatCode>
                <c:ptCount val="41"/>
                <c:pt idx="0">
                  <c:v>183135.11</c:v>
                </c:pt>
                <c:pt idx="1">
                  <c:v>186124.37</c:v>
                </c:pt>
                <c:pt idx="2">
                  <c:v>189113.63</c:v>
                </c:pt>
                <c:pt idx="3">
                  <c:v>192102.89</c:v>
                </c:pt>
                <c:pt idx="4">
                  <c:v>195092.14</c:v>
                </c:pt>
                <c:pt idx="5">
                  <c:v>198081.4</c:v>
                </c:pt>
                <c:pt idx="6">
                  <c:v>201070.66</c:v>
                </c:pt>
                <c:pt idx="7">
                  <c:v>203881.22</c:v>
                </c:pt>
                <c:pt idx="8">
                  <c:v>206455.03</c:v>
                </c:pt>
                <c:pt idx="9">
                  <c:v>209028.84</c:v>
                </c:pt>
                <c:pt idx="10">
                  <c:v>211602.66</c:v>
                </c:pt>
                <c:pt idx="11">
                  <c:v>214176.47</c:v>
                </c:pt>
                <c:pt idx="12">
                  <c:v>216750.28</c:v>
                </c:pt>
                <c:pt idx="13">
                  <c:v>219324.1</c:v>
                </c:pt>
                <c:pt idx="14">
                  <c:v>221842.57</c:v>
                </c:pt>
                <c:pt idx="15">
                  <c:v>224340.01</c:v>
                </c:pt>
                <c:pt idx="16">
                  <c:v>226837.46</c:v>
                </c:pt>
                <c:pt idx="17">
                  <c:v>229334.9</c:v>
                </c:pt>
                <c:pt idx="18">
                  <c:v>231832.35</c:v>
                </c:pt>
                <c:pt idx="19">
                  <c:v>234329.79</c:v>
                </c:pt>
                <c:pt idx="20">
                  <c:v>236827.24</c:v>
                </c:pt>
                <c:pt idx="21">
                  <c:v>239324.68</c:v>
                </c:pt>
                <c:pt idx="22">
                  <c:v>240675.53</c:v>
                </c:pt>
                <c:pt idx="23">
                  <c:v>241975.43</c:v>
                </c:pt>
                <c:pt idx="24">
                  <c:v>243275.33</c:v>
                </c:pt>
                <c:pt idx="25">
                  <c:v>244575.23</c:v>
                </c:pt>
                <c:pt idx="26">
                  <c:v>245453.94</c:v>
                </c:pt>
                <c:pt idx="27">
                  <c:v>245453.94</c:v>
                </c:pt>
                <c:pt idx="28">
                  <c:v>245453.94</c:v>
                </c:pt>
                <c:pt idx="29">
                  <c:v>245453.94</c:v>
                </c:pt>
                <c:pt idx="30">
                  <c:v>245453.94</c:v>
                </c:pt>
                <c:pt idx="31">
                  <c:v>245453.94</c:v>
                </c:pt>
                <c:pt idx="32">
                  <c:v>245453.94</c:v>
                </c:pt>
                <c:pt idx="33">
                  <c:v>245453.94</c:v>
                </c:pt>
                <c:pt idx="34">
                  <c:v>245453.94</c:v>
                </c:pt>
                <c:pt idx="35">
                  <c:v>245453.94</c:v>
                </c:pt>
                <c:pt idx="36">
                  <c:v>245453.94</c:v>
                </c:pt>
                <c:pt idx="37">
                  <c:v>245453.94</c:v>
                </c:pt>
                <c:pt idx="38">
                  <c:v>245453.94</c:v>
                </c:pt>
                <c:pt idx="39">
                  <c:v>245453.94</c:v>
                </c:pt>
                <c:pt idx="40">
                  <c:v>245453.94</c:v>
                </c:pt>
              </c:numCache>
            </c:numRef>
          </c:val>
          <c:smooth val="0"/>
          <c:extLst>
            <c:ext xmlns:c16="http://schemas.microsoft.com/office/drawing/2014/chart" uri="{C3380CC4-5D6E-409C-BE32-E72D297353CC}">
              <c16:uniqueId val="{00000000-34D1-432F-B7B1-525AD3A4FFD8}"/>
            </c:ext>
          </c:extLst>
        </c:ser>
        <c:dLbls>
          <c:showLegendKey val="0"/>
          <c:showVal val="0"/>
          <c:showCatName val="0"/>
          <c:showSerName val="0"/>
          <c:showPercent val="0"/>
          <c:showBubbleSize val="0"/>
        </c:dLbls>
        <c:smooth val="0"/>
        <c:axId val="1633552880"/>
        <c:axId val="1633543728"/>
      </c:lineChart>
      <c:catAx>
        <c:axId val="163355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Maximum Sugar</a:t>
                </a:r>
                <a:r>
                  <a:rPr lang="en-US" baseline="0"/>
                  <a:t> Capacity at</a:t>
                </a:r>
                <a:r>
                  <a:rPr lang="en-US"/>
                  <a:t> Londrina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43728"/>
        <c:crosses val="autoZero"/>
        <c:auto val="1"/>
        <c:lblAlgn val="ctr"/>
        <c:lblOffset val="100"/>
        <c:noMultiLvlLbl val="0"/>
      </c:catAx>
      <c:valAx>
        <c:axId val="1633543728"/>
        <c:scaling>
          <c:orientation val="minMax"/>
        </c:scaling>
        <c:delete val="0"/>
        <c:axPos val="l"/>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52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'STS Dracena'!$K$1</c:f>
          <c:strCache>
            <c:ptCount val="1"/>
            <c:pt idx="0">
              <c:v>Sensitivity of Profit to Input</c:v>
            </c:pt>
          </c:strCache>
        </c:strRef>
      </c:tx>
      <c:overlay val="0"/>
      <c:txPr>
        <a:bodyPr/>
        <a:lstStyle/>
        <a:p>
          <a:pPr>
            <a:defRPr sz="1200"/>
          </a:pPr>
          <a:endParaRPr lang="en-US"/>
        </a:p>
      </c:txPr>
    </c:title>
    <c:autoTitleDeleted val="0"/>
    <c:plotArea>
      <c:layout/>
      <c:lineChart>
        <c:grouping val="standard"/>
        <c:varyColors val="0"/>
        <c:ser>
          <c:idx val="0"/>
          <c:order val="0"/>
          <c:cat>
            <c:numRef>
              <c:f>'STS Dracena'!$A$5:$A$405</c:f>
              <c:numCache>
                <c:formatCode>General</c:formatCode>
                <c:ptCount val="401"/>
                <c:pt idx="0">
                  <c:v>0</c:v>
                </c:pt>
                <c:pt idx="1">
                  <c:v>0.10000000149011612</c:v>
                </c:pt>
                <c:pt idx="2">
                  <c:v>0.20000000298023224</c:v>
                </c:pt>
                <c:pt idx="3">
                  <c:v>0.30000001192092896</c:v>
                </c:pt>
                <c:pt idx="4">
                  <c:v>0.40000000596046448</c:v>
                </c:pt>
                <c:pt idx="5">
                  <c:v>0.5</c:v>
                </c:pt>
                <c:pt idx="6">
                  <c:v>0.60000002384185791</c:v>
                </c:pt>
                <c:pt idx="7">
                  <c:v>0.69999998807907104</c:v>
                </c:pt>
                <c:pt idx="8">
                  <c:v>0.80000001192092896</c:v>
                </c:pt>
                <c:pt idx="9">
                  <c:v>0.90000003576278687</c:v>
                </c:pt>
                <c:pt idx="10">
                  <c:v>1</c:v>
                </c:pt>
                <c:pt idx="11">
                  <c:v>1.1000000238418579</c:v>
                </c:pt>
                <c:pt idx="12">
                  <c:v>1.2000000476837158</c:v>
                </c:pt>
                <c:pt idx="13">
                  <c:v>1.3000000715255737</c:v>
                </c:pt>
                <c:pt idx="14">
                  <c:v>1.3999999761581421</c:v>
                </c:pt>
                <c:pt idx="15">
                  <c:v>1.5</c:v>
                </c:pt>
                <c:pt idx="16">
                  <c:v>1.6000000238418579</c:v>
                </c:pt>
                <c:pt idx="17">
                  <c:v>1.7000000476837158</c:v>
                </c:pt>
                <c:pt idx="18">
                  <c:v>1.8000000715255737</c:v>
                </c:pt>
                <c:pt idx="19">
                  <c:v>1.8999999761581421</c:v>
                </c:pt>
                <c:pt idx="20">
                  <c:v>2</c:v>
                </c:pt>
                <c:pt idx="21">
                  <c:v>2.1000001430511475</c:v>
                </c:pt>
                <c:pt idx="22">
                  <c:v>2.2000000476837158</c:v>
                </c:pt>
                <c:pt idx="23">
                  <c:v>2.2999999523162842</c:v>
                </c:pt>
                <c:pt idx="24">
                  <c:v>2.4000000953674316</c:v>
                </c:pt>
                <c:pt idx="25">
                  <c:v>2.5</c:v>
                </c:pt>
                <c:pt idx="26">
                  <c:v>2.6000001430511475</c:v>
                </c:pt>
                <c:pt idx="27">
                  <c:v>2.7000000476837158</c:v>
                </c:pt>
                <c:pt idx="28">
                  <c:v>2.7999999523162842</c:v>
                </c:pt>
                <c:pt idx="29">
                  <c:v>2.9000000953674316</c:v>
                </c:pt>
                <c:pt idx="30">
                  <c:v>3</c:v>
                </c:pt>
                <c:pt idx="31">
                  <c:v>3.1000001430511475</c:v>
                </c:pt>
                <c:pt idx="32">
                  <c:v>3.2000000476837158</c:v>
                </c:pt>
                <c:pt idx="33">
                  <c:v>3.2999999523162842</c:v>
                </c:pt>
                <c:pt idx="34">
                  <c:v>3.4000000953674316</c:v>
                </c:pt>
                <c:pt idx="35">
                  <c:v>3.5</c:v>
                </c:pt>
                <c:pt idx="36">
                  <c:v>3.6000001430511475</c:v>
                </c:pt>
                <c:pt idx="37">
                  <c:v>3.7000000476837158</c:v>
                </c:pt>
                <c:pt idx="38">
                  <c:v>3.7999999523162842</c:v>
                </c:pt>
                <c:pt idx="39">
                  <c:v>3.9000000953674316</c:v>
                </c:pt>
                <c:pt idx="40">
                  <c:v>4</c:v>
                </c:pt>
                <c:pt idx="41">
                  <c:v>4.0999999046325684</c:v>
                </c:pt>
                <c:pt idx="42">
                  <c:v>4.2000002861022949</c:v>
                </c:pt>
                <c:pt idx="43">
                  <c:v>4.3000001907348633</c:v>
                </c:pt>
                <c:pt idx="44">
                  <c:v>4.4000000953674316</c:v>
                </c:pt>
                <c:pt idx="45">
                  <c:v>4.5</c:v>
                </c:pt>
                <c:pt idx="46">
                  <c:v>4.5999999046325684</c:v>
                </c:pt>
                <c:pt idx="47">
                  <c:v>4.7000002861022949</c:v>
                </c:pt>
                <c:pt idx="48">
                  <c:v>4.8000001907348633</c:v>
                </c:pt>
                <c:pt idx="49">
                  <c:v>4.9000000953674316</c:v>
                </c:pt>
                <c:pt idx="50">
                  <c:v>5</c:v>
                </c:pt>
                <c:pt idx="51">
                  <c:v>5.0999999046325684</c:v>
                </c:pt>
                <c:pt idx="52">
                  <c:v>5.2000002861022949</c:v>
                </c:pt>
                <c:pt idx="53">
                  <c:v>5.3000001907348633</c:v>
                </c:pt>
                <c:pt idx="54">
                  <c:v>5.4000000953674316</c:v>
                </c:pt>
                <c:pt idx="55">
                  <c:v>5.5</c:v>
                </c:pt>
                <c:pt idx="56">
                  <c:v>5.5999999046325684</c:v>
                </c:pt>
                <c:pt idx="57">
                  <c:v>5.7000002861022949</c:v>
                </c:pt>
                <c:pt idx="58">
                  <c:v>5.8000001907348633</c:v>
                </c:pt>
                <c:pt idx="59">
                  <c:v>5.9000000953674316</c:v>
                </c:pt>
                <c:pt idx="60">
                  <c:v>6</c:v>
                </c:pt>
                <c:pt idx="61">
                  <c:v>6.0999999046325684</c:v>
                </c:pt>
                <c:pt idx="62">
                  <c:v>6.2000002861022949</c:v>
                </c:pt>
                <c:pt idx="63">
                  <c:v>6.3000001907348633</c:v>
                </c:pt>
                <c:pt idx="64">
                  <c:v>6.4000000953674316</c:v>
                </c:pt>
                <c:pt idx="65">
                  <c:v>6.5</c:v>
                </c:pt>
                <c:pt idx="66">
                  <c:v>6.5999999046325684</c:v>
                </c:pt>
                <c:pt idx="67">
                  <c:v>6.7000002861022949</c:v>
                </c:pt>
                <c:pt idx="68">
                  <c:v>6.8000001907348633</c:v>
                </c:pt>
                <c:pt idx="69">
                  <c:v>6.9000000953674316</c:v>
                </c:pt>
                <c:pt idx="70">
                  <c:v>7</c:v>
                </c:pt>
                <c:pt idx="71">
                  <c:v>7.0999999046325684</c:v>
                </c:pt>
                <c:pt idx="72">
                  <c:v>7.2000002861022949</c:v>
                </c:pt>
                <c:pt idx="73">
                  <c:v>7.3000001907348633</c:v>
                </c:pt>
                <c:pt idx="74">
                  <c:v>7.4000000953674316</c:v>
                </c:pt>
                <c:pt idx="75">
                  <c:v>7.5</c:v>
                </c:pt>
                <c:pt idx="76">
                  <c:v>7.5999999046325684</c:v>
                </c:pt>
                <c:pt idx="77">
                  <c:v>7.7000002861022949</c:v>
                </c:pt>
                <c:pt idx="78">
                  <c:v>7.8000001907348633</c:v>
                </c:pt>
                <c:pt idx="79">
                  <c:v>7.9000000953674316</c:v>
                </c:pt>
                <c:pt idx="80">
                  <c:v>8</c:v>
                </c:pt>
                <c:pt idx="81">
                  <c:v>8.1000003814697266</c:v>
                </c:pt>
                <c:pt idx="82">
                  <c:v>8.1999998092651367</c:v>
                </c:pt>
                <c:pt idx="83">
                  <c:v>8.3000001907348633</c:v>
                </c:pt>
                <c:pt idx="84">
                  <c:v>8.4000005722045898</c:v>
                </c:pt>
                <c:pt idx="85">
                  <c:v>8.5</c:v>
                </c:pt>
                <c:pt idx="86">
                  <c:v>8.6000003814697266</c:v>
                </c:pt>
                <c:pt idx="87">
                  <c:v>8.6999998092651367</c:v>
                </c:pt>
                <c:pt idx="88">
                  <c:v>8.8000001907348633</c:v>
                </c:pt>
                <c:pt idx="89">
                  <c:v>8.9000005722045898</c:v>
                </c:pt>
                <c:pt idx="90">
                  <c:v>9</c:v>
                </c:pt>
                <c:pt idx="91">
                  <c:v>9.1000003814697266</c:v>
                </c:pt>
                <c:pt idx="92">
                  <c:v>9.1999998092651367</c:v>
                </c:pt>
                <c:pt idx="93">
                  <c:v>9.3000001907348633</c:v>
                </c:pt>
                <c:pt idx="94">
                  <c:v>9.4000005722045898</c:v>
                </c:pt>
                <c:pt idx="95">
                  <c:v>9.5</c:v>
                </c:pt>
                <c:pt idx="96">
                  <c:v>9.6000003814697266</c:v>
                </c:pt>
                <c:pt idx="97">
                  <c:v>9.6999998092651367</c:v>
                </c:pt>
                <c:pt idx="98">
                  <c:v>9.8000001907348633</c:v>
                </c:pt>
                <c:pt idx="99">
                  <c:v>9.9000005722045898</c:v>
                </c:pt>
                <c:pt idx="100">
                  <c:v>10</c:v>
                </c:pt>
                <c:pt idx="101">
                  <c:v>10.100000381469727</c:v>
                </c:pt>
                <c:pt idx="102">
                  <c:v>10.199999809265137</c:v>
                </c:pt>
                <c:pt idx="103">
                  <c:v>10.300000190734863</c:v>
                </c:pt>
                <c:pt idx="104">
                  <c:v>10.40000057220459</c:v>
                </c:pt>
                <c:pt idx="105">
                  <c:v>10.5</c:v>
                </c:pt>
                <c:pt idx="106">
                  <c:v>10.600000381469727</c:v>
                </c:pt>
                <c:pt idx="107">
                  <c:v>10.699999809265137</c:v>
                </c:pt>
                <c:pt idx="108">
                  <c:v>10.800000190734863</c:v>
                </c:pt>
                <c:pt idx="109">
                  <c:v>10.90000057220459</c:v>
                </c:pt>
                <c:pt idx="110">
                  <c:v>11</c:v>
                </c:pt>
                <c:pt idx="111">
                  <c:v>11.100000381469727</c:v>
                </c:pt>
                <c:pt idx="112">
                  <c:v>11.199999809265137</c:v>
                </c:pt>
                <c:pt idx="113">
                  <c:v>11.300000190734863</c:v>
                </c:pt>
                <c:pt idx="114">
                  <c:v>11.40000057220459</c:v>
                </c:pt>
                <c:pt idx="115">
                  <c:v>11.5</c:v>
                </c:pt>
                <c:pt idx="116">
                  <c:v>11.600000381469727</c:v>
                </c:pt>
                <c:pt idx="117">
                  <c:v>11.699999809265137</c:v>
                </c:pt>
                <c:pt idx="118">
                  <c:v>11.800000190734863</c:v>
                </c:pt>
                <c:pt idx="119">
                  <c:v>11.90000057220459</c:v>
                </c:pt>
                <c:pt idx="120">
                  <c:v>12</c:v>
                </c:pt>
                <c:pt idx="121">
                  <c:v>12.100000381469727</c:v>
                </c:pt>
                <c:pt idx="122">
                  <c:v>12.199999809265137</c:v>
                </c:pt>
                <c:pt idx="123">
                  <c:v>12.300000190734863</c:v>
                </c:pt>
                <c:pt idx="124">
                  <c:v>12.40000057220459</c:v>
                </c:pt>
                <c:pt idx="125">
                  <c:v>12.5</c:v>
                </c:pt>
                <c:pt idx="126">
                  <c:v>12.600000381469727</c:v>
                </c:pt>
                <c:pt idx="127">
                  <c:v>12.699999809265137</c:v>
                </c:pt>
                <c:pt idx="128">
                  <c:v>12.800000190734863</c:v>
                </c:pt>
                <c:pt idx="129">
                  <c:v>12.90000057220459</c:v>
                </c:pt>
                <c:pt idx="130">
                  <c:v>13</c:v>
                </c:pt>
                <c:pt idx="131">
                  <c:v>13.100000381469727</c:v>
                </c:pt>
                <c:pt idx="132">
                  <c:v>13.199999809265137</c:v>
                </c:pt>
                <c:pt idx="133">
                  <c:v>13.300000190734863</c:v>
                </c:pt>
                <c:pt idx="134">
                  <c:v>13.40000057220459</c:v>
                </c:pt>
                <c:pt idx="135">
                  <c:v>13.5</c:v>
                </c:pt>
                <c:pt idx="136">
                  <c:v>13.600000381469727</c:v>
                </c:pt>
                <c:pt idx="137">
                  <c:v>13.699999809265137</c:v>
                </c:pt>
                <c:pt idx="138">
                  <c:v>13.800000190734863</c:v>
                </c:pt>
                <c:pt idx="139">
                  <c:v>13.90000057220459</c:v>
                </c:pt>
                <c:pt idx="140">
                  <c:v>14</c:v>
                </c:pt>
                <c:pt idx="141">
                  <c:v>14.100000381469727</c:v>
                </c:pt>
                <c:pt idx="142">
                  <c:v>14.199999809265137</c:v>
                </c:pt>
                <c:pt idx="143">
                  <c:v>14.300000190734863</c:v>
                </c:pt>
                <c:pt idx="144">
                  <c:v>14.40000057220459</c:v>
                </c:pt>
                <c:pt idx="145">
                  <c:v>14.5</c:v>
                </c:pt>
                <c:pt idx="146">
                  <c:v>14.600000381469727</c:v>
                </c:pt>
                <c:pt idx="147">
                  <c:v>14.699999809265137</c:v>
                </c:pt>
                <c:pt idx="148">
                  <c:v>14.800000190734863</c:v>
                </c:pt>
                <c:pt idx="149">
                  <c:v>14.90000057220459</c:v>
                </c:pt>
                <c:pt idx="150">
                  <c:v>15</c:v>
                </c:pt>
                <c:pt idx="151">
                  <c:v>15.100000381469727</c:v>
                </c:pt>
                <c:pt idx="152">
                  <c:v>15.199999809265137</c:v>
                </c:pt>
                <c:pt idx="153">
                  <c:v>15.300000190734863</c:v>
                </c:pt>
                <c:pt idx="154">
                  <c:v>15.40000057220459</c:v>
                </c:pt>
                <c:pt idx="155">
                  <c:v>15.5</c:v>
                </c:pt>
                <c:pt idx="156">
                  <c:v>15.600000381469727</c:v>
                </c:pt>
                <c:pt idx="157">
                  <c:v>15.699999809265137</c:v>
                </c:pt>
                <c:pt idx="158">
                  <c:v>15.800000190734863</c:v>
                </c:pt>
                <c:pt idx="159">
                  <c:v>15.90000057220459</c:v>
                </c:pt>
                <c:pt idx="160">
                  <c:v>16</c:v>
                </c:pt>
                <c:pt idx="161">
                  <c:v>16.100000381469727</c:v>
                </c:pt>
                <c:pt idx="162">
                  <c:v>16.200000762939453</c:v>
                </c:pt>
                <c:pt idx="163">
                  <c:v>16.30000114440918</c:v>
                </c:pt>
                <c:pt idx="164">
                  <c:v>16.399999618530273</c:v>
                </c:pt>
                <c:pt idx="165">
                  <c:v>16.5</c:v>
                </c:pt>
                <c:pt idx="166">
                  <c:v>16.600000381469727</c:v>
                </c:pt>
                <c:pt idx="167">
                  <c:v>16.700000762939453</c:v>
                </c:pt>
                <c:pt idx="168">
                  <c:v>16.80000114440918</c:v>
                </c:pt>
                <c:pt idx="169">
                  <c:v>16.899999618530273</c:v>
                </c:pt>
                <c:pt idx="170">
                  <c:v>17</c:v>
                </c:pt>
                <c:pt idx="171">
                  <c:v>17.100000381469727</c:v>
                </c:pt>
                <c:pt idx="172">
                  <c:v>17.200000762939453</c:v>
                </c:pt>
                <c:pt idx="173">
                  <c:v>17.30000114440918</c:v>
                </c:pt>
                <c:pt idx="174">
                  <c:v>17.399999618530273</c:v>
                </c:pt>
                <c:pt idx="175">
                  <c:v>17.5</c:v>
                </c:pt>
                <c:pt idx="176">
                  <c:v>17.600000381469727</c:v>
                </c:pt>
                <c:pt idx="177">
                  <c:v>17.700000762939453</c:v>
                </c:pt>
                <c:pt idx="178">
                  <c:v>17.80000114440918</c:v>
                </c:pt>
                <c:pt idx="179">
                  <c:v>17.899999618530273</c:v>
                </c:pt>
                <c:pt idx="180">
                  <c:v>18</c:v>
                </c:pt>
                <c:pt idx="181">
                  <c:v>18.100000381469727</c:v>
                </c:pt>
                <c:pt idx="182">
                  <c:v>18.200000762939453</c:v>
                </c:pt>
                <c:pt idx="183">
                  <c:v>18.30000114440918</c:v>
                </c:pt>
                <c:pt idx="184">
                  <c:v>18.399999618530273</c:v>
                </c:pt>
                <c:pt idx="185">
                  <c:v>18.5</c:v>
                </c:pt>
                <c:pt idx="186">
                  <c:v>18.600000381469727</c:v>
                </c:pt>
                <c:pt idx="187">
                  <c:v>18.700000762939453</c:v>
                </c:pt>
                <c:pt idx="188">
                  <c:v>18.80000114440918</c:v>
                </c:pt>
                <c:pt idx="189">
                  <c:v>18.899999618530273</c:v>
                </c:pt>
                <c:pt idx="190">
                  <c:v>19</c:v>
                </c:pt>
                <c:pt idx="191">
                  <c:v>19.100000381469727</c:v>
                </c:pt>
                <c:pt idx="192">
                  <c:v>19.200000762939453</c:v>
                </c:pt>
                <c:pt idx="193">
                  <c:v>19.30000114440918</c:v>
                </c:pt>
                <c:pt idx="194">
                  <c:v>19.399999618530273</c:v>
                </c:pt>
                <c:pt idx="195">
                  <c:v>19.5</c:v>
                </c:pt>
                <c:pt idx="196">
                  <c:v>19.600000381469727</c:v>
                </c:pt>
                <c:pt idx="197">
                  <c:v>19.700000762939453</c:v>
                </c:pt>
                <c:pt idx="198">
                  <c:v>19.80000114440918</c:v>
                </c:pt>
                <c:pt idx="199">
                  <c:v>19.899999618530273</c:v>
                </c:pt>
                <c:pt idx="200">
                  <c:v>20</c:v>
                </c:pt>
                <c:pt idx="201">
                  <c:v>20.100000381469727</c:v>
                </c:pt>
                <c:pt idx="202">
                  <c:v>20.200000762939453</c:v>
                </c:pt>
                <c:pt idx="203">
                  <c:v>20.30000114440918</c:v>
                </c:pt>
                <c:pt idx="204">
                  <c:v>20.399999618530273</c:v>
                </c:pt>
                <c:pt idx="205">
                  <c:v>20.5</c:v>
                </c:pt>
                <c:pt idx="206">
                  <c:v>20.600000381469727</c:v>
                </c:pt>
                <c:pt idx="207">
                  <c:v>20.700000762939453</c:v>
                </c:pt>
                <c:pt idx="208">
                  <c:v>20.80000114440918</c:v>
                </c:pt>
                <c:pt idx="209">
                  <c:v>20.899999618530273</c:v>
                </c:pt>
                <c:pt idx="210">
                  <c:v>21</c:v>
                </c:pt>
                <c:pt idx="211">
                  <c:v>21.100000381469727</c:v>
                </c:pt>
                <c:pt idx="212">
                  <c:v>21.200000762939453</c:v>
                </c:pt>
                <c:pt idx="213">
                  <c:v>21.30000114440918</c:v>
                </c:pt>
                <c:pt idx="214">
                  <c:v>21.399999618530273</c:v>
                </c:pt>
                <c:pt idx="215">
                  <c:v>21.5</c:v>
                </c:pt>
                <c:pt idx="216">
                  <c:v>21.600000381469727</c:v>
                </c:pt>
                <c:pt idx="217">
                  <c:v>21.700000762939453</c:v>
                </c:pt>
                <c:pt idx="218">
                  <c:v>21.80000114440918</c:v>
                </c:pt>
                <c:pt idx="219">
                  <c:v>21.899999618530273</c:v>
                </c:pt>
                <c:pt idx="220">
                  <c:v>22</c:v>
                </c:pt>
                <c:pt idx="221">
                  <c:v>22.100000381469727</c:v>
                </c:pt>
                <c:pt idx="222">
                  <c:v>22.200000762939453</c:v>
                </c:pt>
                <c:pt idx="223">
                  <c:v>22.30000114440918</c:v>
                </c:pt>
                <c:pt idx="224">
                  <c:v>22.399999618530273</c:v>
                </c:pt>
                <c:pt idx="225">
                  <c:v>22.5</c:v>
                </c:pt>
                <c:pt idx="226">
                  <c:v>22.600000381469727</c:v>
                </c:pt>
                <c:pt idx="227">
                  <c:v>22.700000762939453</c:v>
                </c:pt>
                <c:pt idx="228">
                  <c:v>22.80000114440918</c:v>
                </c:pt>
                <c:pt idx="229">
                  <c:v>22.899999618530273</c:v>
                </c:pt>
                <c:pt idx="230">
                  <c:v>23</c:v>
                </c:pt>
                <c:pt idx="231">
                  <c:v>23.100000381469727</c:v>
                </c:pt>
                <c:pt idx="232">
                  <c:v>23.200000762939453</c:v>
                </c:pt>
                <c:pt idx="233">
                  <c:v>23.30000114440918</c:v>
                </c:pt>
                <c:pt idx="234">
                  <c:v>23.399999618530273</c:v>
                </c:pt>
                <c:pt idx="235">
                  <c:v>23.5</c:v>
                </c:pt>
                <c:pt idx="236">
                  <c:v>23.600000381469727</c:v>
                </c:pt>
                <c:pt idx="237">
                  <c:v>23.700000762939453</c:v>
                </c:pt>
                <c:pt idx="238">
                  <c:v>23.80000114440918</c:v>
                </c:pt>
                <c:pt idx="239">
                  <c:v>23.899999618530273</c:v>
                </c:pt>
                <c:pt idx="240">
                  <c:v>24</c:v>
                </c:pt>
                <c:pt idx="241">
                  <c:v>24.100000381469727</c:v>
                </c:pt>
                <c:pt idx="242">
                  <c:v>24.200000762939453</c:v>
                </c:pt>
                <c:pt idx="243">
                  <c:v>24.30000114440918</c:v>
                </c:pt>
                <c:pt idx="244">
                  <c:v>24.399999618530273</c:v>
                </c:pt>
                <c:pt idx="245">
                  <c:v>24.5</c:v>
                </c:pt>
                <c:pt idx="246">
                  <c:v>24.600000381469727</c:v>
                </c:pt>
                <c:pt idx="247">
                  <c:v>24.700000762939453</c:v>
                </c:pt>
                <c:pt idx="248">
                  <c:v>24.80000114440918</c:v>
                </c:pt>
                <c:pt idx="249">
                  <c:v>24.899999618530273</c:v>
                </c:pt>
                <c:pt idx="250">
                  <c:v>25</c:v>
                </c:pt>
                <c:pt idx="251">
                  <c:v>25.100000381469727</c:v>
                </c:pt>
                <c:pt idx="252">
                  <c:v>25.200000762939453</c:v>
                </c:pt>
                <c:pt idx="253">
                  <c:v>25.30000114440918</c:v>
                </c:pt>
                <c:pt idx="254">
                  <c:v>25.399999618530273</c:v>
                </c:pt>
                <c:pt idx="255">
                  <c:v>25.5</c:v>
                </c:pt>
                <c:pt idx="256">
                  <c:v>25.600000381469727</c:v>
                </c:pt>
                <c:pt idx="257">
                  <c:v>25.700000762939453</c:v>
                </c:pt>
                <c:pt idx="258">
                  <c:v>25.80000114440918</c:v>
                </c:pt>
                <c:pt idx="259">
                  <c:v>25.899999618530273</c:v>
                </c:pt>
                <c:pt idx="260">
                  <c:v>26</c:v>
                </c:pt>
                <c:pt idx="261">
                  <c:v>26.100000381469727</c:v>
                </c:pt>
                <c:pt idx="262">
                  <c:v>26.200000762939453</c:v>
                </c:pt>
                <c:pt idx="263">
                  <c:v>26.30000114440918</c:v>
                </c:pt>
                <c:pt idx="264">
                  <c:v>26.399999618530273</c:v>
                </c:pt>
                <c:pt idx="265">
                  <c:v>26.5</c:v>
                </c:pt>
                <c:pt idx="266">
                  <c:v>26.600000381469727</c:v>
                </c:pt>
                <c:pt idx="267">
                  <c:v>26.700000762939453</c:v>
                </c:pt>
                <c:pt idx="268">
                  <c:v>26.80000114440918</c:v>
                </c:pt>
                <c:pt idx="269">
                  <c:v>26.899999618530273</c:v>
                </c:pt>
                <c:pt idx="270">
                  <c:v>27</c:v>
                </c:pt>
                <c:pt idx="271">
                  <c:v>27.100000381469727</c:v>
                </c:pt>
                <c:pt idx="272">
                  <c:v>27.200000762939453</c:v>
                </c:pt>
                <c:pt idx="273">
                  <c:v>27.30000114440918</c:v>
                </c:pt>
                <c:pt idx="274">
                  <c:v>27.399999618530273</c:v>
                </c:pt>
                <c:pt idx="275">
                  <c:v>27.5</c:v>
                </c:pt>
                <c:pt idx="276">
                  <c:v>27.600000381469727</c:v>
                </c:pt>
                <c:pt idx="277">
                  <c:v>27.700000762939453</c:v>
                </c:pt>
                <c:pt idx="278">
                  <c:v>27.80000114440918</c:v>
                </c:pt>
                <c:pt idx="279">
                  <c:v>27.899999618530273</c:v>
                </c:pt>
                <c:pt idx="280">
                  <c:v>28</c:v>
                </c:pt>
                <c:pt idx="281">
                  <c:v>28.100000381469727</c:v>
                </c:pt>
                <c:pt idx="282">
                  <c:v>28.200000762939453</c:v>
                </c:pt>
                <c:pt idx="283">
                  <c:v>28.30000114440918</c:v>
                </c:pt>
                <c:pt idx="284">
                  <c:v>28.399999618530273</c:v>
                </c:pt>
                <c:pt idx="285">
                  <c:v>28.5</c:v>
                </c:pt>
                <c:pt idx="286">
                  <c:v>28.600000381469727</c:v>
                </c:pt>
                <c:pt idx="287">
                  <c:v>28.700000762939453</c:v>
                </c:pt>
                <c:pt idx="288">
                  <c:v>28.80000114440918</c:v>
                </c:pt>
                <c:pt idx="289">
                  <c:v>28.899999618530273</c:v>
                </c:pt>
                <c:pt idx="290">
                  <c:v>29</c:v>
                </c:pt>
                <c:pt idx="291">
                  <c:v>29.100000381469727</c:v>
                </c:pt>
                <c:pt idx="292">
                  <c:v>29.200000762939453</c:v>
                </c:pt>
                <c:pt idx="293">
                  <c:v>29.30000114440918</c:v>
                </c:pt>
                <c:pt idx="294">
                  <c:v>29.399999618530273</c:v>
                </c:pt>
                <c:pt idx="295">
                  <c:v>29.5</c:v>
                </c:pt>
                <c:pt idx="296">
                  <c:v>29.600000381469727</c:v>
                </c:pt>
                <c:pt idx="297">
                  <c:v>29.700000762939453</c:v>
                </c:pt>
                <c:pt idx="298">
                  <c:v>29.80000114440918</c:v>
                </c:pt>
                <c:pt idx="299">
                  <c:v>29.899999618530273</c:v>
                </c:pt>
                <c:pt idx="300">
                  <c:v>30</c:v>
                </c:pt>
                <c:pt idx="301">
                  <c:v>30.100000381469727</c:v>
                </c:pt>
                <c:pt idx="302">
                  <c:v>30.200000762939453</c:v>
                </c:pt>
                <c:pt idx="303">
                  <c:v>30.30000114440918</c:v>
                </c:pt>
                <c:pt idx="304">
                  <c:v>30.399999618530273</c:v>
                </c:pt>
                <c:pt idx="305">
                  <c:v>30.5</c:v>
                </c:pt>
                <c:pt idx="306">
                  <c:v>30.600000381469727</c:v>
                </c:pt>
                <c:pt idx="307">
                  <c:v>30.700000762939453</c:v>
                </c:pt>
                <c:pt idx="308">
                  <c:v>30.80000114440918</c:v>
                </c:pt>
                <c:pt idx="309">
                  <c:v>30.899999618530273</c:v>
                </c:pt>
                <c:pt idx="310">
                  <c:v>31</c:v>
                </c:pt>
                <c:pt idx="311">
                  <c:v>31.100000381469727</c:v>
                </c:pt>
                <c:pt idx="312">
                  <c:v>31.200000762939453</c:v>
                </c:pt>
                <c:pt idx="313">
                  <c:v>31.30000114440918</c:v>
                </c:pt>
                <c:pt idx="314">
                  <c:v>31.399999618530273</c:v>
                </c:pt>
                <c:pt idx="315">
                  <c:v>31.5</c:v>
                </c:pt>
                <c:pt idx="316">
                  <c:v>31.600000381469727</c:v>
                </c:pt>
                <c:pt idx="317">
                  <c:v>31.700000762939453</c:v>
                </c:pt>
                <c:pt idx="318">
                  <c:v>31.80000114440918</c:v>
                </c:pt>
                <c:pt idx="319">
                  <c:v>31.899999618530273</c:v>
                </c:pt>
                <c:pt idx="320">
                  <c:v>32</c:v>
                </c:pt>
                <c:pt idx="321">
                  <c:v>32.100002288818359</c:v>
                </c:pt>
                <c:pt idx="322">
                  <c:v>32.200000762939453</c:v>
                </c:pt>
                <c:pt idx="323">
                  <c:v>32.299999237060547</c:v>
                </c:pt>
                <c:pt idx="324">
                  <c:v>32.400001525878906</c:v>
                </c:pt>
                <c:pt idx="325">
                  <c:v>32.5</c:v>
                </c:pt>
                <c:pt idx="326">
                  <c:v>32.600002288818359</c:v>
                </c:pt>
                <c:pt idx="327">
                  <c:v>32.700000762939453</c:v>
                </c:pt>
                <c:pt idx="328">
                  <c:v>32.799999237060547</c:v>
                </c:pt>
                <c:pt idx="329">
                  <c:v>32.900001525878906</c:v>
                </c:pt>
                <c:pt idx="330">
                  <c:v>33</c:v>
                </c:pt>
                <c:pt idx="331">
                  <c:v>33.100002288818359</c:v>
                </c:pt>
                <c:pt idx="332">
                  <c:v>33.200000762939453</c:v>
                </c:pt>
                <c:pt idx="333">
                  <c:v>33.299999237060547</c:v>
                </c:pt>
                <c:pt idx="334">
                  <c:v>33.400001525878906</c:v>
                </c:pt>
                <c:pt idx="335">
                  <c:v>33.5</c:v>
                </c:pt>
                <c:pt idx="336">
                  <c:v>33.600002288818359</c:v>
                </c:pt>
                <c:pt idx="337">
                  <c:v>33.700000762939453</c:v>
                </c:pt>
                <c:pt idx="338">
                  <c:v>33.799999237060547</c:v>
                </c:pt>
                <c:pt idx="339">
                  <c:v>33.900001525878906</c:v>
                </c:pt>
                <c:pt idx="340">
                  <c:v>34</c:v>
                </c:pt>
                <c:pt idx="341">
                  <c:v>34.100002288818359</c:v>
                </c:pt>
                <c:pt idx="342">
                  <c:v>34.200000762939453</c:v>
                </c:pt>
                <c:pt idx="343">
                  <c:v>34.299999237060547</c:v>
                </c:pt>
                <c:pt idx="344">
                  <c:v>34.400001525878906</c:v>
                </c:pt>
                <c:pt idx="345">
                  <c:v>34.5</c:v>
                </c:pt>
                <c:pt idx="346">
                  <c:v>34.600002288818359</c:v>
                </c:pt>
                <c:pt idx="347">
                  <c:v>34.700000762939453</c:v>
                </c:pt>
                <c:pt idx="348">
                  <c:v>34.799999237060547</c:v>
                </c:pt>
                <c:pt idx="349">
                  <c:v>34.900001525878906</c:v>
                </c:pt>
                <c:pt idx="350">
                  <c:v>35</c:v>
                </c:pt>
                <c:pt idx="351">
                  <c:v>35.100002288818359</c:v>
                </c:pt>
                <c:pt idx="352">
                  <c:v>35.200000762939453</c:v>
                </c:pt>
                <c:pt idx="353">
                  <c:v>35.299999237060547</c:v>
                </c:pt>
                <c:pt idx="354">
                  <c:v>35.400001525878906</c:v>
                </c:pt>
                <c:pt idx="355">
                  <c:v>35.5</c:v>
                </c:pt>
                <c:pt idx="356">
                  <c:v>35.600002288818359</c:v>
                </c:pt>
                <c:pt idx="357">
                  <c:v>35.700000762939453</c:v>
                </c:pt>
                <c:pt idx="358">
                  <c:v>35.799999237060547</c:v>
                </c:pt>
                <c:pt idx="359">
                  <c:v>35.900001525878906</c:v>
                </c:pt>
                <c:pt idx="360">
                  <c:v>36</c:v>
                </c:pt>
                <c:pt idx="361">
                  <c:v>36.100002288818359</c:v>
                </c:pt>
                <c:pt idx="362">
                  <c:v>36.200000762939453</c:v>
                </c:pt>
                <c:pt idx="363">
                  <c:v>36.299999237060547</c:v>
                </c:pt>
                <c:pt idx="364">
                  <c:v>36.400001525878906</c:v>
                </c:pt>
                <c:pt idx="365">
                  <c:v>36.5</c:v>
                </c:pt>
                <c:pt idx="366">
                  <c:v>36.600002288818359</c:v>
                </c:pt>
                <c:pt idx="367">
                  <c:v>36.700000762939453</c:v>
                </c:pt>
                <c:pt idx="368">
                  <c:v>36.799999237060547</c:v>
                </c:pt>
                <c:pt idx="369">
                  <c:v>36.900001525878906</c:v>
                </c:pt>
                <c:pt idx="370">
                  <c:v>37</c:v>
                </c:pt>
                <c:pt idx="371">
                  <c:v>37.100002288818359</c:v>
                </c:pt>
                <c:pt idx="372">
                  <c:v>37.200000762939453</c:v>
                </c:pt>
                <c:pt idx="373">
                  <c:v>37.299999237060547</c:v>
                </c:pt>
                <c:pt idx="374">
                  <c:v>37.400001525878906</c:v>
                </c:pt>
                <c:pt idx="375">
                  <c:v>37.5</c:v>
                </c:pt>
                <c:pt idx="376">
                  <c:v>37.600002288818359</c:v>
                </c:pt>
                <c:pt idx="377">
                  <c:v>37.700000762939453</c:v>
                </c:pt>
                <c:pt idx="378">
                  <c:v>37.799999237060547</c:v>
                </c:pt>
                <c:pt idx="379">
                  <c:v>37.900001525878906</c:v>
                </c:pt>
                <c:pt idx="380">
                  <c:v>38</c:v>
                </c:pt>
                <c:pt idx="381">
                  <c:v>38.100002288818359</c:v>
                </c:pt>
                <c:pt idx="382">
                  <c:v>38.200000762939453</c:v>
                </c:pt>
                <c:pt idx="383">
                  <c:v>38.299999237060547</c:v>
                </c:pt>
                <c:pt idx="384">
                  <c:v>38.400001525878906</c:v>
                </c:pt>
                <c:pt idx="385">
                  <c:v>38.5</c:v>
                </c:pt>
                <c:pt idx="386">
                  <c:v>38.600002288818359</c:v>
                </c:pt>
                <c:pt idx="387">
                  <c:v>38.700000762939453</c:v>
                </c:pt>
                <c:pt idx="388">
                  <c:v>38.799999237060547</c:v>
                </c:pt>
                <c:pt idx="389">
                  <c:v>38.900001525878906</c:v>
                </c:pt>
                <c:pt idx="390">
                  <c:v>39</c:v>
                </c:pt>
                <c:pt idx="391">
                  <c:v>39.100002288818359</c:v>
                </c:pt>
                <c:pt idx="392">
                  <c:v>39.200000762939453</c:v>
                </c:pt>
                <c:pt idx="393">
                  <c:v>39.299999237060547</c:v>
                </c:pt>
                <c:pt idx="394">
                  <c:v>39.400001525878906</c:v>
                </c:pt>
                <c:pt idx="395">
                  <c:v>39.5</c:v>
                </c:pt>
                <c:pt idx="396">
                  <c:v>39.600002288818359</c:v>
                </c:pt>
                <c:pt idx="397">
                  <c:v>39.700000762939453</c:v>
                </c:pt>
                <c:pt idx="398">
                  <c:v>39.799999237060547</c:v>
                </c:pt>
                <c:pt idx="399">
                  <c:v>39.900001525878906</c:v>
                </c:pt>
                <c:pt idx="400">
                  <c:v>40</c:v>
                </c:pt>
              </c:numCache>
            </c:numRef>
          </c:cat>
          <c:val>
            <c:numRef>
              <c:f>'STS Dracena'!$K$5:$K$405</c:f>
              <c:numCache>
                <c:formatCode>General</c:formatCode>
                <c:ptCount val="401"/>
                <c:pt idx="0">
                  <c:v>220368.65</c:v>
                </c:pt>
                <c:pt idx="1">
                  <c:v>220246.1</c:v>
                </c:pt>
                <c:pt idx="2">
                  <c:v>220123.55</c:v>
                </c:pt>
                <c:pt idx="3">
                  <c:v>220001</c:v>
                </c:pt>
                <c:pt idx="4">
                  <c:v>219878.44</c:v>
                </c:pt>
                <c:pt idx="5">
                  <c:v>219755.89</c:v>
                </c:pt>
                <c:pt idx="6">
                  <c:v>219633.34</c:v>
                </c:pt>
                <c:pt idx="7">
                  <c:v>219510.79</c:v>
                </c:pt>
                <c:pt idx="8">
                  <c:v>219388.23</c:v>
                </c:pt>
                <c:pt idx="9">
                  <c:v>219265.68</c:v>
                </c:pt>
                <c:pt idx="10">
                  <c:v>219143.13</c:v>
                </c:pt>
                <c:pt idx="11">
                  <c:v>219020.58</c:v>
                </c:pt>
                <c:pt idx="12">
                  <c:v>218898.02</c:v>
                </c:pt>
                <c:pt idx="13">
                  <c:v>218775.47</c:v>
                </c:pt>
                <c:pt idx="14">
                  <c:v>218652.92</c:v>
                </c:pt>
                <c:pt idx="15">
                  <c:v>218530.37</c:v>
                </c:pt>
                <c:pt idx="16">
                  <c:v>218407.81</c:v>
                </c:pt>
                <c:pt idx="17">
                  <c:v>218285.26</c:v>
                </c:pt>
                <c:pt idx="18">
                  <c:v>218162.71</c:v>
                </c:pt>
                <c:pt idx="19">
                  <c:v>218040.16</c:v>
                </c:pt>
                <c:pt idx="20">
                  <c:v>217917.6</c:v>
                </c:pt>
                <c:pt idx="21">
                  <c:v>217795.05</c:v>
                </c:pt>
                <c:pt idx="22">
                  <c:v>217672.5</c:v>
                </c:pt>
                <c:pt idx="23">
                  <c:v>217549.95</c:v>
                </c:pt>
                <c:pt idx="24">
                  <c:v>217427.39</c:v>
                </c:pt>
                <c:pt idx="25">
                  <c:v>217304.84</c:v>
                </c:pt>
                <c:pt idx="26">
                  <c:v>217182.29</c:v>
                </c:pt>
                <c:pt idx="27">
                  <c:v>217059.74</c:v>
                </c:pt>
                <c:pt idx="28">
                  <c:v>216937.18</c:v>
                </c:pt>
                <c:pt idx="29">
                  <c:v>216814.63</c:v>
                </c:pt>
                <c:pt idx="30">
                  <c:v>216692.08</c:v>
                </c:pt>
                <c:pt idx="31">
                  <c:v>216569.53</c:v>
                </c:pt>
                <c:pt idx="32">
                  <c:v>216446.97</c:v>
                </c:pt>
                <c:pt idx="33">
                  <c:v>216324.42</c:v>
                </c:pt>
                <c:pt idx="34">
                  <c:v>216201.87</c:v>
                </c:pt>
                <c:pt idx="35">
                  <c:v>216079.32</c:v>
                </c:pt>
                <c:pt idx="36">
                  <c:v>215956.77</c:v>
                </c:pt>
                <c:pt idx="37">
                  <c:v>215834.21</c:v>
                </c:pt>
                <c:pt idx="38">
                  <c:v>215711.66</c:v>
                </c:pt>
                <c:pt idx="39">
                  <c:v>215589.11</c:v>
                </c:pt>
                <c:pt idx="40">
                  <c:v>215466.56</c:v>
                </c:pt>
                <c:pt idx="41">
                  <c:v>215344</c:v>
                </c:pt>
                <c:pt idx="42">
                  <c:v>215221.45</c:v>
                </c:pt>
                <c:pt idx="43">
                  <c:v>215098.9</c:v>
                </c:pt>
                <c:pt idx="44">
                  <c:v>214976.35</c:v>
                </c:pt>
                <c:pt idx="45">
                  <c:v>214853.79</c:v>
                </c:pt>
                <c:pt idx="46">
                  <c:v>214731.24</c:v>
                </c:pt>
                <c:pt idx="47">
                  <c:v>214608.69</c:v>
                </c:pt>
                <c:pt idx="48">
                  <c:v>214486.14</c:v>
                </c:pt>
                <c:pt idx="49">
                  <c:v>214363.58</c:v>
                </c:pt>
                <c:pt idx="50">
                  <c:v>214241.03</c:v>
                </c:pt>
                <c:pt idx="51">
                  <c:v>214118.48</c:v>
                </c:pt>
                <c:pt idx="52">
                  <c:v>213995.93</c:v>
                </c:pt>
                <c:pt idx="53">
                  <c:v>213873.37</c:v>
                </c:pt>
                <c:pt idx="54">
                  <c:v>213750.82</c:v>
                </c:pt>
                <c:pt idx="55">
                  <c:v>213628.27</c:v>
                </c:pt>
                <c:pt idx="56">
                  <c:v>213505.72</c:v>
                </c:pt>
                <c:pt idx="57">
                  <c:v>213383.16</c:v>
                </c:pt>
                <c:pt idx="58">
                  <c:v>213260.61</c:v>
                </c:pt>
                <c:pt idx="59">
                  <c:v>213138.06</c:v>
                </c:pt>
                <c:pt idx="60">
                  <c:v>213015.51</c:v>
                </c:pt>
                <c:pt idx="61">
                  <c:v>212892.95</c:v>
                </c:pt>
                <c:pt idx="62">
                  <c:v>212770.4</c:v>
                </c:pt>
                <c:pt idx="63">
                  <c:v>212647.85</c:v>
                </c:pt>
                <c:pt idx="64">
                  <c:v>212525.3</c:v>
                </c:pt>
                <c:pt idx="65">
                  <c:v>212402.74</c:v>
                </c:pt>
                <c:pt idx="66">
                  <c:v>212280.19</c:v>
                </c:pt>
                <c:pt idx="67">
                  <c:v>212157.64</c:v>
                </c:pt>
                <c:pt idx="68">
                  <c:v>212035.09</c:v>
                </c:pt>
                <c:pt idx="69">
                  <c:v>211912.53</c:v>
                </c:pt>
                <c:pt idx="70">
                  <c:v>211789.98</c:v>
                </c:pt>
                <c:pt idx="71">
                  <c:v>211667.43</c:v>
                </c:pt>
                <c:pt idx="72">
                  <c:v>211544.88</c:v>
                </c:pt>
                <c:pt idx="73">
                  <c:v>211422.32</c:v>
                </c:pt>
                <c:pt idx="74">
                  <c:v>211299.77</c:v>
                </c:pt>
                <c:pt idx="75">
                  <c:v>211177.22</c:v>
                </c:pt>
                <c:pt idx="76">
                  <c:v>211054.67</c:v>
                </c:pt>
                <c:pt idx="77">
                  <c:v>210932.12</c:v>
                </c:pt>
                <c:pt idx="78">
                  <c:v>210809.56</c:v>
                </c:pt>
                <c:pt idx="79">
                  <c:v>210687.01</c:v>
                </c:pt>
                <c:pt idx="80">
                  <c:v>210564.46</c:v>
                </c:pt>
                <c:pt idx="81">
                  <c:v>210441.91</c:v>
                </c:pt>
                <c:pt idx="82">
                  <c:v>210319.35</c:v>
                </c:pt>
                <c:pt idx="83">
                  <c:v>210196.8</c:v>
                </c:pt>
                <c:pt idx="84">
                  <c:v>210074.25</c:v>
                </c:pt>
                <c:pt idx="85">
                  <c:v>209951.7</c:v>
                </c:pt>
                <c:pt idx="86">
                  <c:v>209829.14</c:v>
                </c:pt>
                <c:pt idx="87">
                  <c:v>209706.59</c:v>
                </c:pt>
                <c:pt idx="88">
                  <c:v>209584.04</c:v>
                </c:pt>
                <c:pt idx="89">
                  <c:v>209461.49</c:v>
                </c:pt>
                <c:pt idx="90">
                  <c:v>209338.93</c:v>
                </c:pt>
                <c:pt idx="91">
                  <c:v>209216.38</c:v>
                </c:pt>
                <c:pt idx="92">
                  <c:v>209093.83</c:v>
                </c:pt>
                <c:pt idx="93">
                  <c:v>208971.28</c:v>
                </c:pt>
                <c:pt idx="94">
                  <c:v>208848.72</c:v>
                </c:pt>
                <c:pt idx="95">
                  <c:v>208726.17</c:v>
                </c:pt>
                <c:pt idx="96">
                  <c:v>208603.62</c:v>
                </c:pt>
                <c:pt idx="97">
                  <c:v>208481.07</c:v>
                </c:pt>
                <c:pt idx="98">
                  <c:v>208358.51</c:v>
                </c:pt>
                <c:pt idx="99">
                  <c:v>208235.96</c:v>
                </c:pt>
                <c:pt idx="100">
                  <c:v>208113.41</c:v>
                </c:pt>
                <c:pt idx="101">
                  <c:v>207990.86</c:v>
                </c:pt>
                <c:pt idx="102">
                  <c:v>207868.3</c:v>
                </c:pt>
                <c:pt idx="103">
                  <c:v>207745.75</c:v>
                </c:pt>
                <c:pt idx="104">
                  <c:v>207623.2</c:v>
                </c:pt>
                <c:pt idx="105">
                  <c:v>207500.65</c:v>
                </c:pt>
                <c:pt idx="106">
                  <c:v>207378.09</c:v>
                </c:pt>
                <c:pt idx="107">
                  <c:v>207255.54</c:v>
                </c:pt>
                <c:pt idx="108">
                  <c:v>207132.99</c:v>
                </c:pt>
                <c:pt idx="109">
                  <c:v>207010.44</c:v>
                </c:pt>
                <c:pt idx="110">
                  <c:v>206887.88</c:v>
                </c:pt>
                <c:pt idx="111">
                  <c:v>206765.33</c:v>
                </c:pt>
                <c:pt idx="112">
                  <c:v>206642.78</c:v>
                </c:pt>
                <c:pt idx="113">
                  <c:v>206520.23</c:v>
                </c:pt>
                <c:pt idx="114">
                  <c:v>206397.67</c:v>
                </c:pt>
                <c:pt idx="115">
                  <c:v>206275.12</c:v>
                </c:pt>
                <c:pt idx="116">
                  <c:v>206152.57</c:v>
                </c:pt>
                <c:pt idx="117">
                  <c:v>206030.02</c:v>
                </c:pt>
                <c:pt idx="118">
                  <c:v>205907.47</c:v>
                </c:pt>
                <c:pt idx="119">
                  <c:v>205784.91</c:v>
                </c:pt>
                <c:pt idx="120">
                  <c:v>205662.36</c:v>
                </c:pt>
                <c:pt idx="121">
                  <c:v>205539.81</c:v>
                </c:pt>
                <c:pt idx="122">
                  <c:v>205417.26</c:v>
                </c:pt>
                <c:pt idx="123">
                  <c:v>205294.7</c:v>
                </c:pt>
                <c:pt idx="124">
                  <c:v>205172.15</c:v>
                </c:pt>
                <c:pt idx="125">
                  <c:v>205049.60000000001</c:v>
                </c:pt>
                <c:pt idx="126">
                  <c:v>204927.05</c:v>
                </c:pt>
                <c:pt idx="127">
                  <c:v>204804.49</c:v>
                </c:pt>
                <c:pt idx="128">
                  <c:v>204681.94</c:v>
                </c:pt>
                <c:pt idx="129">
                  <c:v>204559.39</c:v>
                </c:pt>
                <c:pt idx="130">
                  <c:v>204436.84</c:v>
                </c:pt>
                <c:pt idx="131">
                  <c:v>204314.28</c:v>
                </c:pt>
                <c:pt idx="132">
                  <c:v>204191.73</c:v>
                </c:pt>
                <c:pt idx="133">
                  <c:v>204069.18</c:v>
                </c:pt>
                <c:pt idx="134">
                  <c:v>203946.63</c:v>
                </c:pt>
                <c:pt idx="135">
                  <c:v>203824.07</c:v>
                </c:pt>
                <c:pt idx="136">
                  <c:v>203701.52</c:v>
                </c:pt>
                <c:pt idx="137">
                  <c:v>203578.97</c:v>
                </c:pt>
                <c:pt idx="138">
                  <c:v>203456.42</c:v>
                </c:pt>
                <c:pt idx="139">
                  <c:v>203333.86</c:v>
                </c:pt>
                <c:pt idx="140">
                  <c:v>203211.31</c:v>
                </c:pt>
                <c:pt idx="141">
                  <c:v>203088.76</c:v>
                </c:pt>
                <c:pt idx="142">
                  <c:v>202966.21</c:v>
                </c:pt>
                <c:pt idx="143">
                  <c:v>202843.65</c:v>
                </c:pt>
                <c:pt idx="144">
                  <c:v>202721.1</c:v>
                </c:pt>
                <c:pt idx="145">
                  <c:v>202598.55</c:v>
                </c:pt>
                <c:pt idx="146">
                  <c:v>202476</c:v>
                </c:pt>
                <c:pt idx="147">
                  <c:v>202353.45</c:v>
                </c:pt>
                <c:pt idx="148">
                  <c:v>202230.89</c:v>
                </c:pt>
                <c:pt idx="149">
                  <c:v>202108.34</c:v>
                </c:pt>
                <c:pt idx="150">
                  <c:v>201985.79</c:v>
                </c:pt>
                <c:pt idx="151">
                  <c:v>201863.23</c:v>
                </c:pt>
                <c:pt idx="152">
                  <c:v>201740.68</c:v>
                </c:pt>
                <c:pt idx="153">
                  <c:v>201618.13</c:v>
                </c:pt>
                <c:pt idx="154">
                  <c:v>201495.58</c:v>
                </c:pt>
                <c:pt idx="155">
                  <c:v>201373.03</c:v>
                </c:pt>
                <c:pt idx="156">
                  <c:v>201250.47</c:v>
                </c:pt>
                <c:pt idx="157">
                  <c:v>201127.92</c:v>
                </c:pt>
                <c:pt idx="158">
                  <c:v>201005.37</c:v>
                </c:pt>
                <c:pt idx="159">
                  <c:v>200882.81</c:v>
                </c:pt>
                <c:pt idx="160">
                  <c:v>200760.26</c:v>
                </c:pt>
                <c:pt idx="161">
                  <c:v>200637.71</c:v>
                </c:pt>
                <c:pt idx="162">
                  <c:v>200515.16</c:v>
                </c:pt>
                <c:pt idx="163">
                  <c:v>200392.6</c:v>
                </c:pt>
                <c:pt idx="164">
                  <c:v>200270.05</c:v>
                </c:pt>
                <c:pt idx="165">
                  <c:v>200147.5</c:v>
                </c:pt>
                <c:pt idx="166">
                  <c:v>200024.95</c:v>
                </c:pt>
                <c:pt idx="167">
                  <c:v>199902.4</c:v>
                </c:pt>
                <c:pt idx="168">
                  <c:v>199779.84</c:v>
                </c:pt>
                <c:pt idx="169">
                  <c:v>199657.29</c:v>
                </c:pt>
                <c:pt idx="170">
                  <c:v>199534.74</c:v>
                </c:pt>
                <c:pt idx="171">
                  <c:v>199412.19</c:v>
                </c:pt>
                <c:pt idx="172">
                  <c:v>199289.63</c:v>
                </c:pt>
                <c:pt idx="173">
                  <c:v>199167.08</c:v>
                </c:pt>
                <c:pt idx="174">
                  <c:v>199044.53</c:v>
                </c:pt>
                <c:pt idx="175">
                  <c:v>198921.98</c:v>
                </c:pt>
                <c:pt idx="176">
                  <c:v>198799.42</c:v>
                </c:pt>
                <c:pt idx="177">
                  <c:v>198676.87</c:v>
                </c:pt>
                <c:pt idx="178">
                  <c:v>198554.32</c:v>
                </c:pt>
                <c:pt idx="179">
                  <c:v>198431.77</c:v>
                </c:pt>
                <c:pt idx="180">
                  <c:v>198309.21</c:v>
                </c:pt>
                <c:pt idx="181">
                  <c:v>198186.66</c:v>
                </c:pt>
                <c:pt idx="182">
                  <c:v>198064.11</c:v>
                </c:pt>
                <c:pt idx="183">
                  <c:v>197941.56</c:v>
                </c:pt>
                <c:pt idx="184">
                  <c:v>197819.01</c:v>
                </c:pt>
                <c:pt idx="185">
                  <c:v>197696.45</c:v>
                </c:pt>
                <c:pt idx="186">
                  <c:v>197573.9</c:v>
                </c:pt>
                <c:pt idx="187">
                  <c:v>197451.35</c:v>
                </c:pt>
                <c:pt idx="188">
                  <c:v>197328.79</c:v>
                </c:pt>
                <c:pt idx="189">
                  <c:v>197206.24</c:v>
                </c:pt>
                <c:pt idx="190">
                  <c:v>197083.69</c:v>
                </c:pt>
                <c:pt idx="191">
                  <c:v>196961.14</c:v>
                </c:pt>
                <c:pt idx="192">
                  <c:v>196838.58</c:v>
                </c:pt>
                <c:pt idx="193">
                  <c:v>196716.03</c:v>
                </c:pt>
                <c:pt idx="194">
                  <c:v>196593.48</c:v>
                </c:pt>
                <c:pt idx="195">
                  <c:v>196470.93</c:v>
                </c:pt>
                <c:pt idx="196">
                  <c:v>196348.38</c:v>
                </c:pt>
                <c:pt idx="197">
                  <c:v>196225.82</c:v>
                </c:pt>
                <c:pt idx="198">
                  <c:v>196103.27</c:v>
                </c:pt>
                <c:pt idx="199">
                  <c:v>195980.72</c:v>
                </c:pt>
                <c:pt idx="200">
                  <c:v>195858.17</c:v>
                </c:pt>
                <c:pt idx="201">
                  <c:v>195735.61</c:v>
                </c:pt>
                <c:pt idx="202">
                  <c:v>195613.06</c:v>
                </c:pt>
                <c:pt idx="203">
                  <c:v>195490.51</c:v>
                </c:pt>
                <c:pt idx="204">
                  <c:v>195367.96</c:v>
                </c:pt>
                <c:pt idx="205">
                  <c:v>195245.4</c:v>
                </c:pt>
                <c:pt idx="206">
                  <c:v>195122.85</c:v>
                </c:pt>
                <c:pt idx="207">
                  <c:v>195000.3</c:v>
                </c:pt>
                <c:pt idx="208">
                  <c:v>194877.74</c:v>
                </c:pt>
                <c:pt idx="209">
                  <c:v>194755.19</c:v>
                </c:pt>
                <c:pt idx="210">
                  <c:v>194632.64</c:v>
                </c:pt>
                <c:pt idx="211">
                  <c:v>194510.09</c:v>
                </c:pt>
                <c:pt idx="212">
                  <c:v>194387.54</c:v>
                </c:pt>
                <c:pt idx="213">
                  <c:v>194264.98</c:v>
                </c:pt>
                <c:pt idx="214">
                  <c:v>194142.43</c:v>
                </c:pt>
                <c:pt idx="215">
                  <c:v>194019.88</c:v>
                </c:pt>
                <c:pt idx="216">
                  <c:v>193897.33</c:v>
                </c:pt>
                <c:pt idx="217">
                  <c:v>193774.77</c:v>
                </c:pt>
                <c:pt idx="218">
                  <c:v>193652.22</c:v>
                </c:pt>
                <c:pt idx="219">
                  <c:v>193529.67</c:v>
                </c:pt>
                <c:pt idx="220">
                  <c:v>193407.12</c:v>
                </c:pt>
                <c:pt idx="221">
                  <c:v>193284.56</c:v>
                </c:pt>
                <c:pt idx="222">
                  <c:v>193162.01</c:v>
                </c:pt>
                <c:pt idx="223">
                  <c:v>193039.46</c:v>
                </c:pt>
                <c:pt idx="224">
                  <c:v>192916.91</c:v>
                </c:pt>
                <c:pt idx="225">
                  <c:v>192794.35</c:v>
                </c:pt>
                <c:pt idx="226">
                  <c:v>192671.8</c:v>
                </c:pt>
                <c:pt idx="227">
                  <c:v>192549.25</c:v>
                </c:pt>
                <c:pt idx="228">
                  <c:v>192426.7</c:v>
                </c:pt>
                <c:pt idx="229">
                  <c:v>192304.15</c:v>
                </c:pt>
                <c:pt idx="230">
                  <c:v>192181.59</c:v>
                </c:pt>
                <c:pt idx="231">
                  <c:v>192059.04</c:v>
                </c:pt>
                <c:pt idx="232">
                  <c:v>191936.49</c:v>
                </c:pt>
                <c:pt idx="233">
                  <c:v>191813.93</c:v>
                </c:pt>
                <c:pt idx="234">
                  <c:v>191691.38</c:v>
                </c:pt>
                <c:pt idx="235">
                  <c:v>191568.83</c:v>
                </c:pt>
                <c:pt idx="236">
                  <c:v>191446.28</c:v>
                </c:pt>
                <c:pt idx="237">
                  <c:v>191323.72</c:v>
                </c:pt>
                <c:pt idx="238">
                  <c:v>191201.17</c:v>
                </c:pt>
                <c:pt idx="239">
                  <c:v>191078.62</c:v>
                </c:pt>
                <c:pt idx="240">
                  <c:v>190956.07</c:v>
                </c:pt>
                <c:pt idx="241">
                  <c:v>190833.52</c:v>
                </c:pt>
                <c:pt idx="242">
                  <c:v>190710.96</c:v>
                </c:pt>
                <c:pt idx="243">
                  <c:v>190588.41</c:v>
                </c:pt>
                <c:pt idx="244">
                  <c:v>190465.86</c:v>
                </c:pt>
                <c:pt idx="245">
                  <c:v>190343.31</c:v>
                </c:pt>
                <c:pt idx="246">
                  <c:v>190220.75</c:v>
                </c:pt>
                <c:pt idx="247">
                  <c:v>190098.2</c:v>
                </c:pt>
                <c:pt idx="248">
                  <c:v>189975.65</c:v>
                </c:pt>
                <c:pt idx="249">
                  <c:v>189853.1</c:v>
                </c:pt>
                <c:pt idx="250">
                  <c:v>189730.54</c:v>
                </c:pt>
                <c:pt idx="251">
                  <c:v>189607.99</c:v>
                </c:pt>
                <c:pt idx="252">
                  <c:v>189485.44</c:v>
                </c:pt>
                <c:pt idx="253">
                  <c:v>189362.89</c:v>
                </c:pt>
                <c:pt idx="254">
                  <c:v>189240.33</c:v>
                </c:pt>
                <c:pt idx="255">
                  <c:v>189117.78</c:v>
                </c:pt>
                <c:pt idx="256">
                  <c:v>188995.23</c:v>
                </c:pt>
                <c:pt idx="257">
                  <c:v>188872.68</c:v>
                </c:pt>
                <c:pt idx="258">
                  <c:v>188750.12</c:v>
                </c:pt>
                <c:pt idx="259">
                  <c:v>188627.57</c:v>
                </c:pt>
                <c:pt idx="260">
                  <c:v>188505.02</c:v>
                </c:pt>
                <c:pt idx="261">
                  <c:v>188382.47</c:v>
                </c:pt>
                <c:pt idx="262">
                  <c:v>188259.91</c:v>
                </c:pt>
                <c:pt idx="263">
                  <c:v>188137.36</c:v>
                </c:pt>
                <c:pt idx="264">
                  <c:v>188014.81</c:v>
                </c:pt>
                <c:pt idx="265">
                  <c:v>187892.26</c:v>
                </c:pt>
                <c:pt idx="266">
                  <c:v>187769.7</c:v>
                </c:pt>
                <c:pt idx="267">
                  <c:v>187647.15</c:v>
                </c:pt>
                <c:pt idx="268">
                  <c:v>187524.6</c:v>
                </c:pt>
                <c:pt idx="269">
                  <c:v>187402.05</c:v>
                </c:pt>
                <c:pt idx="270">
                  <c:v>187279.5</c:v>
                </c:pt>
                <c:pt idx="271">
                  <c:v>187156.94</c:v>
                </c:pt>
                <c:pt idx="272">
                  <c:v>187034.39</c:v>
                </c:pt>
                <c:pt idx="273">
                  <c:v>186911.84</c:v>
                </c:pt>
                <c:pt idx="274">
                  <c:v>186789.29</c:v>
                </c:pt>
                <c:pt idx="275">
                  <c:v>186666.73</c:v>
                </c:pt>
                <c:pt idx="276">
                  <c:v>186544.18</c:v>
                </c:pt>
                <c:pt idx="277">
                  <c:v>186421.63</c:v>
                </c:pt>
                <c:pt idx="278">
                  <c:v>186299.07</c:v>
                </c:pt>
                <c:pt idx="279">
                  <c:v>186176.52</c:v>
                </c:pt>
                <c:pt idx="280">
                  <c:v>186053.97</c:v>
                </c:pt>
                <c:pt idx="281">
                  <c:v>185931.42</c:v>
                </c:pt>
                <c:pt idx="282">
                  <c:v>185808.87</c:v>
                </c:pt>
                <c:pt idx="283">
                  <c:v>185686.31</c:v>
                </c:pt>
                <c:pt idx="284">
                  <c:v>185563.76</c:v>
                </c:pt>
                <c:pt idx="285">
                  <c:v>185441.21</c:v>
                </c:pt>
                <c:pt idx="286">
                  <c:v>185318.66</c:v>
                </c:pt>
                <c:pt idx="287">
                  <c:v>185218.88</c:v>
                </c:pt>
                <c:pt idx="288">
                  <c:v>185120.76</c:v>
                </c:pt>
                <c:pt idx="289">
                  <c:v>185022.64</c:v>
                </c:pt>
                <c:pt idx="290">
                  <c:v>184924.52</c:v>
                </c:pt>
                <c:pt idx="291">
                  <c:v>184826.4</c:v>
                </c:pt>
                <c:pt idx="292">
                  <c:v>184728.28</c:v>
                </c:pt>
                <c:pt idx="293">
                  <c:v>184630.16</c:v>
                </c:pt>
                <c:pt idx="294">
                  <c:v>184532.04</c:v>
                </c:pt>
                <c:pt idx="295">
                  <c:v>184436.59</c:v>
                </c:pt>
                <c:pt idx="296">
                  <c:v>184341.55</c:v>
                </c:pt>
                <c:pt idx="297">
                  <c:v>184246.51</c:v>
                </c:pt>
                <c:pt idx="298">
                  <c:v>184151.46</c:v>
                </c:pt>
                <c:pt idx="299">
                  <c:v>184056.42</c:v>
                </c:pt>
                <c:pt idx="300">
                  <c:v>183961.38</c:v>
                </c:pt>
                <c:pt idx="301">
                  <c:v>183866.34</c:v>
                </c:pt>
                <c:pt idx="302">
                  <c:v>183771.3</c:v>
                </c:pt>
                <c:pt idx="303">
                  <c:v>183676.25</c:v>
                </c:pt>
                <c:pt idx="304">
                  <c:v>183581.21</c:v>
                </c:pt>
                <c:pt idx="305">
                  <c:v>183486.17</c:v>
                </c:pt>
                <c:pt idx="306">
                  <c:v>183391.13</c:v>
                </c:pt>
                <c:pt idx="307">
                  <c:v>183296.09</c:v>
                </c:pt>
                <c:pt idx="308">
                  <c:v>183201.04</c:v>
                </c:pt>
                <c:pt idx="309">
                  <c:v>183150.34</c:v>
                </c:pt>
                <c:pt idx="310">
                  <c:v>183135.11</c:v>
                </c:pt>
                <c:pt idx="311">
                  <c:v>183135.11</c:v>
                </c:pt>
                <c:pt idx="312">
                  <c:v>183135.11</c:v>
                </c:pt>
                <c:pt idx="313">
                  <c:v>183135.11</c:v>
                </c:pt>
                <c:pt idx="314">
                  <c:v>183135.11</c:v>
                </c:pt>
                <c:pt idx="315">
                  <c:v>183135.11</c:v>
                </c:pt>
                <c:pt idx="316">
                  <c:v>183135.11</c:v>
                </c:pt>
                <c:pt idx="317">
                  <c:v>183135.11</c:v>
                </c:pt>
                <c:pt idx="318">
                  <c:v>183135.11</c:v>
                </c:pt>
                <c:pt idx="319">
                  <c:v>183135.11</c:v>
                </c:pt>
                <c:pt idx="320">
                  <c:v>183135.11</c:v>
                </c:pt>
                <c:pt idx="321">
                  <c:v>183135.11</c:v>
                </c:pt>
                <c:pt idx="322">
                  <c:v>183135.11</c:v>
                </c:pt>
                <c:pt idx="323">
                  <c:v>183135.11</c:v>
                </c:pt>
                <c:pt idx="324">
                  <c:v>183135.11</c:v>
                </c:pt>
                <c:pt idx="325">
                  <c:v>183135.11</c:v>
                </c:pt>
                <c:pt idx="326">
                  <c:v>183135.11</c:v>
                </c:pt>
                <c:pt idx="327">
                  <c:v>183135.11</c:v>
                </c:pt>
                <c:pt idx="328">
                  <c:v>183135.11</c:v>
                </c:pt>
                <c:pt idx="329">
                  <c:v>183135.11</c:v>
                </c:pt>
                <c:pt idx="330">
                  <c:v>183135.11</c:v>
                </c:pt>
                <c:pt idx="331">
                  <c:v>183135.11</c:v>
                </c:pt>
                <c:pt idx="332">
                  <c:v>183135.11</c:v>
                </c:pt>
                <c:pt idx="333">
                  <c:v>183135.11</c:v>
                </c:pt>
                <c:pt idx="334">
                  <c:v>183135.11</c:v>
                </c:pt>
                <c:pt idx="335">
                  <c:v>183135.11</c:v>
                </c:pt>
                <c:pt idx="336">
                  <c:v>183135.11</c:v>
                </c:pt>
                <c:pt idx="337">
                  <c:v>183135.11</c:v>
                </c:pt>
                <c:pt idx="338">
                  <c:v>183135.11</c:v>
                </c:pt>
                <c:pt idx="339">
                  <c:v>183135.11</c:v>
                </c:pt>
                <c:pt idx="340">
                  <c:v>183135.11</c:v>
                </c:pt>
                <c:pt idx="341">
                  <c:v>183135.11</c:v>
                </c:pt>
                <c:pt idx="342">
                  <c:v>183135.11</c:v>
                </c:pt>
                <c:pt idx="343">
                  <c:v>183135.11</c:v>
                </c:pt>
                <c:pt idx="344">
                  <c:v>183135.11</c:v>
                </c:pt>
                <c:pt idx="345">
                  <c:v>183135.11</c:v>
                </c:pt>
                <c:pt idx="346">
                  <c:v>183135.11</c:v>
                </c:pt>
                <c:pt idx="347">
                  <c:v>183135.11</c:v>
                </c:pt>
                <c:pt idx="348">
                  <c:v>183135.11</c:v>
                </c:pt>
                <c:pt idx="349">
                  <c:v>183135.11</c:v>
                </c:pt>
                <c:pt idx="350">
                  <c:v>183135.11</c:v>
                </c:pt>
                <c:pt idx="351">
                  <c:v>183135.11</c:v>
                </c:pt>
                <c:pt idx="352">
                  <c:v>183135.11</c:v>
                </c:pt>
                <c:pt idx="353">
                  <c:v>183135.11</c:v>
                </c:pt>
                <c:pt idx="354">
                  <c:v>183135.11</c:v>
                </c:pt>
                <c:pt idx="355">
                  <c:v>183135.11</c:v>
                </c:pt>
                <c:pt idx="356">
                  <c:v>183135.11</c:v>
                </c:pt>
                <c:pt idx="357">
                  <c:v>183135.11</c:v>
                </c:pt>
                <c:pt idx="358">
                  <c:v>183135.11</c:v>
                </c:pt>
                <c:pt idx="359">
                  <c:v>183135.11</c:v>
                </c:pt>
                <c:pt idx="360">
                  <c:v>183135.11</c:v>
                </c:pt>
                <c:pt idx="361">
                  <c:v>183135.11</c:v>
                </c:pt>
                <c:pt idx="362">
                  <c:v>183135.11</c:v>
                </c:pt>
                <c:pt idx="363">
                  <c:v>183135.11</c:v>
                </c:pt>
                <c:pt idx="364">
                  <c:v>183135.11</c:v>
                </c:pt>
                <c:pt idx="365">
                  <c:v>183135.11</c:v>
                </c:pt>
                <c:pt idx="366">
                  <c:v>183135.11</c:v>
                </c:pt>
                <c:pt idx="367">
                  <c:v>183135.11</c:v>
                </c:pt>
                <c:pt idx="368">
                  <c:v>183135.11</c:v>
                </c:pt>
                <c:pt idx="369">
                  <c:v>183135.11</c:v>
                </c:pt>
                <c:pt idx="370">
                  <c:v>183135.11</c:v>
                </c:pt>
                <c:pt idx="371">
                  <c:v>183135.11</c:v>
                </c:pt>
                <c:pt idx="372">
                  <c:v>183135.11</c:v>
                </c:pt>
                <c:pt idx="373">
                  <c:v>183135.11</c:v>
                </c:pt>
                <c:pt idx="374">
                  <c:v>183135.11</c:v>
                </c:pt>
                <c:pt idx="375">
                  <c:v>183135.11</c:v>
                </c:pt>
                <c:pt idx="376">
                  <c:v>183135.11</c:v>
                </c:pt>
                <c:pt idx="377">
                  <c:v>183135.11</c:v>
                </c:pt>
                <c:pt idx="378">
                  <c:v>183135.11</c:v>
                </c:pt>
                <c:pt idx="379">
                  <c:v>183135.11</c:v>
                </c:pt>
                <c:pt idx="380">
                  <c:v>183135.11</c:v>
                </c:pt>
                <c:pt idx="381">
                  <c:v>183135.11</c:v>
                </c:pt>
                <c:pt idx="382">
                  <c:v>183135.11</c:v>
                </c:pt>
                <c:pt idx="383">
                  <c:v>183135.11</c:v>
                </c:pt>
                <c:pt idx="384">
                  <c:v>183135.11</c:v>
                </c:pt>
                <c:pt idx="385">
                  <c:v>183135.11</c:v>
                </c:pt>
                <c:pt idx="386">
                  <c:v>183135.11</c:v>
                </c:pt>
                <c:pt idx="387">
                  <c:v>183135.11</c:v>
                </c:pt>
                <c:pt idx="388">
                  <c:v>183135.11</c:v>
                </c:pt>
                <c:pt idx="389">
                  <c:v>183135.11</c:v>
                </c:pt>
                <c:pt idx="390">
                  <c:v>183135.11</c:v>
                </c:pt>
                <c:pt idx="391">
                  <c:v>183135.11</c:v>
                </c:pt>
                <c:pt idx="392">
                  <c:v>183135.11</c:v>
                </c:pt>
                <c:pt idx="393">
                  <c:v>183135.11</c:v>
                </c:pt>
                <c:pt idx="394">
                  <c:v>183135.11</c:v>
                </c:pt>
                <c:pt idx="395">
                  <c:v>183135.11</c:v>
                </c:pt>
                <c:pt idx="396">
                  <c:v>183135.11</c:v>
                </c:pt>
                <c:pt idx="397">
                  <c:v>183135.11</c:v>
                </c:pt>
                <c:pt idx="398">
                  <c:v>183135.11</c:v>
                </c:pt>
                <c:pt idx="399">
                  <c:v>183135.11</c:v>
                </c:pt>
                <c:pt idx="400">
                  <c:v>183135.11</c:v>
                </c:pt>
              </c:numCache>
            </c:numRef>
          </c:val>
          <c:smooth val="0"/>
          <c:extLst>
            <c:ext xmlns:c16="http://schemas.microsoft.com/office/drawing/2014/chart" uri="{C3380CC4-5D6E-409C-BE32-E72D297353CC}">
              <c16:uniqueId val="{00000000-7281-4B9F-9801-4386428B54F0}"/>
            </c:ext>
          </c:extLst>
        </c:ser>
        <c:dLbls>
          <c:showLegendKey val="0"/>
          <c:showVal val="0"/>
          <c:showCatName val="0"/>
          <c:showSerName val="0"/>
          <c:showPercent val="0"/>
          <c:showBubbleSize val="0"/>
        </c:dLbls>
        <c:marker val="1"/>
        <c:smooth val="0"/>
        <c:axId val="694757600"/>
        <c:axId val="694753992"/>
      </c:lineChart>
      <c:catAx>
        <c:axId val="694757600"/>
        <c:scaling>
          <c:orientation val="minMax"/>
        </c:scaling>
        <c:delete val="0"/>
        <c:axPos val="b"/>
        <c:title>
          <c:tx>
            <c:rich>
              <a:bodyPr/>
              <a:lstStyle/>
              <a:p>
                <a:pPr>
                  <a:defRPr/>
                </a:pPr>
                <a:r>
                  <a:rPr lang="en-US"/>
                  <a:t>Input ($C$16)</a:t>
                </a:r>
              </a:p>
            </c:rich>
          </c:tx>
          <c:overlay val="0"/>
        </c:title>
        <c:numFmt formatCode="General" sourceLinked="1"/>
        <c:majorTickMark val="out"/>
        <c:minorTickMark val="none"/>
        <c:tickLblPos val="nextTo"/>
        <c:crossAx val="694753992"/>
        <c:crosses val="autoZero"/>
        <c:auto val="1"/>
        <c:lblAlgn val="ctr"/>
        <c:lblOffset val="100"/>
        <c:noMultiLvlLbl val="0"/>
      </c:catAx>
      <c:valAx>
        <c:axId val="694753992"/>
        <c:scaling>
          <c:orientation val="minMax"/>
        </c:scaling>
        <c:delete val="0"/>
        <c:axPos val="l"/>
        <c:majorGridlines/>
        <c:numFmt formatCode="General" sourceLinked="1"/>
        <c:majorTickMark val="out"/>
        <c:minorTickMark val="none"/>
        <c:tickLblPos val="nextTo"/>
        <c:crossAx val="694757600"/>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'STS r=1'!$K$1</c:f>
          <c:strCache>
            <c:ptCount val="1"/>
            <c:pt idx="0">
              <c:v>Sensitivity of Profit to Change in Diesel Price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'STS r=1'!$A$5:$A$25</c:f>
              <c:numCache>
                <c:formatCode>0%</c:formatCode>
                <c:ptCount val="21"/>
                <c:pt idx="0">
                  <c:v>-1</c:v>
                </c:pt>
                <c:pt idx="1">
                  <c:v>-0.89999997615814209</c:v>
                </c:pt>
                <c:pt idx="2">
                  <c:v>-0.80000001192092896</c:v>
                </c:pt>
                <c:pt idx="3">
                  <c:v>-0.69999998807907104</c:v>
                </c:pt>
                <c:pt idx="4">
                  <c:v>-0.60000002384185791</c:v>
                </c:pt>
                <c:pt idx="5">
                  <c:v>-0.5</c:v>
                </c:pt>
                <c:pt idx="6">
                  <c:v>-0.39999997615814209</c:v>
                </c:pt>
                <c:pt idx="7">
                  <c:v>-0.29999998211860657</c:v>
                </c:pt>
                <c:pt idx="8">
                  <c:v>-0.19999998807907104</c:v>
                </c:pt>
                <c:pt idx="9">
                  <c:v>-9.9999986588954926E-2</c:v>
                </c:pt>
                <c:pt idx="10">
                  <c:v>1.4901161193847656E-8</c:v>
                </c:pt>
                <c:pt idx="11">
                  <c:v>0.10000001639127731</c:v>
                </c:pt>
                <c:pt idx="12">
                  <c:v>0.20000001788139343</c:v>
                </c:pt>
                <c:pt idx="13">
                  <c:v>0.30000001192092896</c:v>
                </c:pt>
                <c:pt idx="14">
                  <c:v>0.40000003576278687</c:v>
                </c:pt>
                <c:pt idx="15">
                  <c:v>0.5</c:v>
                </c:pt>
                <c:pt idx="16">
                  <c:v>0.60000002384185791</c:v>
                </c:pt>
                <c:pt idx="17">
                  <c:v>0.70000004768371582</c:v>
                </c:pt>
                <c:pt idx="18">
                  <c:v>0.80000001192092896</c:v>
                </c:pt>
                <c:pt idx="19">
                  <c:v>0.90000003576278687</c:v>
                </c:pt>
                <c:pt idx="20">
                  <c:v>1</c:v>
                </c:pt>
              </c:numCache>
            </c:numRef>
          </c:cat>
          <c:val>
            <c:numRef>
              <c:f>'STS r=1'!$K$5:$K$25</c:f>
              <c:numCache>
                <c:formatCode>General</c:formatCode>
                <c:ptCount val="21"/>
                <c:pt idx="0">
                  <c:v>214767.05</c:v>
                </c:pt>
                <c:pt idx="1">
                  <c:v>220429.49</c:v>
                </c:pt>
                <c:pt idx="2">
                  <c:v>226091.93</c:v>
                </c:pt>
                <c:pt idx="3">
                  <c:v>231754.37</c:v>
                </c:pt>
                <c:pt idx="4">
                  <c:v>237416.81</c:v>
                </c:pt>
                <c:pt idx="5">
                  <c:v>243079.25</c:v>
                </c:pt>
                <c:pt idx="6">
                  <c:v>248741.69</c:v>
                </c:pt>
                <c:pt idx="7">
                  <c:v>254404.13</c:v>
                </c:pt>
                <c:pt idx="8">
                  <c:v>260066.57</c:v>
                </c:pt>
                <c:pt idx="9">
                  <c:v>265729.01</c:v>
                </c:pt>
                <c:pt idx="10">
                  <c:v>271391.45</c:v>
                </c:pt>
                <c:pt idx="11">
                  <c:v>277053.89</c:v>
                </c:pt>
                <c:pt idx="12">
                  <c:v>282716.33</c:v>
                </c:pt>
                <c:pt idx="13">
                  <c:v>288378.77</c:v>
                </c:pt>
                <c:pt idx="14">
                  <c:v>294041.21000000002</c:v>
                </c:pt>
                <c:pt idx="15">
                  <c:v>299703.65000000002</c:v>
                </c:pt>
                <c:pt idx="16">
                  <c:v>305366.09000000003</c:v>
                </c:pt>
                <c:pt idx="17">
                  <c:v>311028.53999999998</c:v>
                </c:pt>
                <c:pt idx="18">
                  <c:v>316690.96999999997</c:v>
                </c:pt>
                <c:pt idx="19">
                  <c:v>322353.42</c:v>
                </c:pt>
                <c:pt idx="20">
                  <c:v>328015.84999999998</c:v>
                </c:pt>
              </c:numCache>
            </c:numRef>
          </c:val>
          <c:smooth val="0"/>
          <c:extLst>
            <c:ext xmlns:c16="http://schemas.microsoft.com/office/drawing/2014/chart" uri="{C3380CC4-5D6E-409C-BE32-E72D297353CC}">
              <c16:uniqueId val="{00000001-300D-415C-81E8-0992B4B120A0}"/>
            </c:ext>
          </c:extLst>
        </c:ser>
        <c:dLbls>
          <c:showLegendKey val="0"/>
          <c:showVal val="0"/>
          <c:showCatName val="0"/>
          <c:showSerName val="0"/>
          <c:showPercent val="0"/>
          <c:showBubbleSize val="0"/>
        </c:dLbls>
        <c:smooth val="0"/>
        <c:axId val="1139413936"/>
        <c:axId val="930146416"/>
      </c:lineChart>
      <c:catAx>
        <c:axId val="113941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Change in Diesel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146416"/>
        <c:crosses val="autoZero"/>
        <c:auto val="1"/>
        <c:lblAlgn val="ctr"/>
        <c:lblOffset val="100"/>
        <c:noMultiLvlLbl val="0"/>
      </c:catAx>
      <c:valAx>
        <c:axId val="930146416"/>
        <c:scaling>
          <c:orientation val="minMax"/>
          <c:min val="100000"/>
        </c:scaling>
        <c:delete val="0"/>
        <c:axPos val="l"/>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41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Sensitivity of Profit to the</a:t>
            </a:r>
            <a:r>
              <a:rPr lang="en-US" baseline="0"/>
              <a:t> Relationship between Diesel and Molasses Prices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'STS r!=1'!$B$4:$L$4</c:f>
              <c:numCache>
                <c:formatCode>General</c:formatCode>
                <c:ptCount val="11"/>
                <c:pt idx="0">
                  <c:v>0</c:v>
                </c:pt>
                <c:pt idx="1">
                  <c:v>0.10000000149011612</c:v>
                </c:pt>
                <c:pt idx="2">
                  <c:v>0.20000000298023224</c:v>
                </c:pt>
                <c:pt idx="3">
                  <c:v>0.30000001192092896</c:v>
                </c:pt>
                <c:pt idx="4">
                  <c:v>0.40000000596046448</c:v>
                </c:pt>
                <c:pt idx="5">
                  <c:v>0.5</c:v>
                </c:pt>
                <c:pt idx="6">
                  <c:v>0.60000002384185791</c:v>
                </c:pt>
                <c:pt idx="7">
                  <c:v>0.69999998807907104</c:v>
                </c:pt>
                <c:pt idx="8">
                  <c:v>0.80000001192092896</c:v>
                </c:pt>
                <c:pt idx="9">
                  <c:v>0.90000003576278687</c:v>
                </c:pt>
                <c:pt idx="10">
                  <c:v>1</c:v>
                </c:pt>
              </c:numCache>
            </c:numRef>
          </c:cat>
          <c:val>
            <c:numRef>
              <c:f>'STS r!=1'!$N$5:$N$15</c:f>
              <c:numCache>
                <c:formatCode>General</c:formatCode>
                <c:ptCount val="11"/>
                <c:pt idx="0">
                  <c:v>82979.98</c:v>
                </c:pt>
                <c:pt idx="1">
                  <c:v>102970.78</c:v>
                </c:pt>
                <c:pt idx="2">
                  <c:v>123108.05</c:v>
                </c:pt>
                <c:pt idx="3">
                  <c:v>145173.51999999999</c:v>
                </c:pt>
                <c:pt idx="4">
                  <c:v>167249.25</c:v>
                </c:pt>
                <c:pt idx="5">
                  <c:v>189324.98</c:v>
                </c:pt>
                <c:pt idx="6">
                  <c:v>211400.72</c:v>
                </c:pt>
                <c:pt idx="7">
                  <c:v>233476.45</c:v>
                </c:pt>
                <c:pt idx="8">
                  <c:v>255552.19</c:v>
                </c:pt>
                <c:pt idx="9">
                  <c:v>277627.93</c:v>
                </c:pt>
                <c:pt idx="10">
                  <c:v>299703.65000000002</c:v>
                </c:pt>
              </c:numCache>
            </c:numRef>
          </c:val>
          <c:smooth val="0"/>
          <c:extLst>
            <c:ext xmlns:c16="http://schemas.microsoft.com/office/drawing/2014/chart" uri="{C3380CC4-5D6E-409C-BE32-E72D297353CC}">
              <c16:uniqueId val="{00000001-D590-4531-AA39-D00A5F5E6F4C}"/>
            </c:ext>
          </c:extLst>
        </c:ser>
        <c:dLbls>
          <c:showLegendKey val="0"/>
          <c:showVal val="0"/>
          <c:showCatName val="0"/>
          <c:showSerName val="0"/>
          <c:showPercent val="0"/>
          <c:showBubbleSize val="0"/>
        </c:dLbls>
        <c:smooth val="0"/>
        <c:axId val="1759424304"/>
        <c:axId val="1759440528"/>
      </c:lineChart>
      <c:catAx>
        <c:axId val="175942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Ratio of Diesel to Molasses Prices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440528"/>
        <c:crosses val="autoZero"/>
        <c:auto val="1"/>
        <c:lblAlgn val="ctr"/>
        <c:lblOffset val="100"/>
        <c:noMultiLvlLbl val="0"/>
      </c:catAx>
      <c:valAx>
        <c:axId val="1759440528"/>
        <c:scaling>
          <c:orientation val="minMax"/>
        </c:scaling>
        <c:delete val="0"/>
        <c:axPos val="l"/>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42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'STS r!=1'!$R$1</c:f>
          <c:strCache>
            <c:ptCount val="1"/>
            <c:pt idx="0">
              <c:v>Sensitivity of Profit to Diesel Price Change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'STS r!=1'!$A$5:$A$25</c:f>
              <c:numCache>
                <c:formatCode>0%</c:formatCode>
                <c:ptCount val="21"/>
                <c:pt idx="0">
                  <c:v>-1</c:v>
                </c:pt>
                <c:pt idx="1">
                  <c:v>-0.89999997615814209</c:v>
                </c:pt>
                <c:pt idx="2">
                  <c:v>-0.80000001192092896</c:v>
                </c:pt>
                <c:pt idx="3">
                  <c:v>-0.69999998807907104</c:v>
                </c:pt>
                <c:pt idx="4">
                  <c:v>-0.60000002384185791</c:v>
                </c:pt>
                <c:pt idx="5">
                  <c:v>-0.5</c:v>
                </c:pt>
                <c:pt idx="6">
                  <c:v>-0.39999997615814209</c:v>
                </c:pt>
                <c:pt idx="7">
                  <c:v>-0.29999998211860657</c:v>
                </c:pt>
                <c:pt idx="8">
                  <c:v>-0.19999998807907104</c:v>
                </c:pt>
                <c:pt idx="9">
                  <c:v>-9.9999986588954926E-2</c:v>
                </c:pt>
                <c:pt idx="10">
                  <c:v>1.4901161193847656E-8</c:v>
                </c:pt>
                <c:pt idx="11">
                  <c:v>0.10000001639127731</c:v>
                </c:pt>
                <c:pt idx="12">
                  <c:v>0.20000001788139343</c:v>
                </c:pt>
                <c:pt idx="13">
                  <c:v>0.30000001192092896</c:v>
                </c:pt>
                <c:pt idx="14">
                  <c:v>0.40000003576278687</c:v>
                </c:pt>
                <c:pt idx="15">
                  <c:v>0.5</c:v>
                </c:pt>
                <c:pt idx="16">
                  <c:v>0.60000002384185791</c:v>
                </c:pt>
                <c:pt idx="17">
                  <c:v>0.70000004768371582</c:v>
                </c:pt>
                <c:pt idx="18">
                  <c:v>0.80000001192092896</c:v>
                </c:pt>
                <c:pt idx="19">
                  <c:v>0.90000003576278687</c:v>
                </c:pt>
                <c:pt idx="20">
                  <c:v>1</c:v>
                </c:pt>
              </c:numCache>
            </c:numRef>
          </c:cat>
          <c:val>
            <c:numRef>
              <c:f>'STS r!=1'!$R$5:$R$25</c:f>
              <c:numCache>
                <c:formatCode>General</c:formatCode>
                <c:ptCount val="21"/>
                <c:pt idx="0">
                  <c:v>214767.05</c:v>
                </c:pt>
                <c:pt idx="1">
                  <c:v>207313.96</c:v>
                </c:pt>
                <c:pt idx="2">
                  <c:v>199860.88</c:v>
                </c:pt>
                <c:pt idx="3">
                  <c:v>192407.79</c:v>
                </c:pt>
                <c:pt idx="4">
                  <c:v>184954.71</c:v>
                </c:pt>
                <c:pt idx="5">
                  <c:v>177501.62</c:v>
                </c:pt>
                <c:pt idx="6">
                  <c:v>170048.54</c:v>
                </c:pt>
                <c:pt idx="7">
                  <c:v>162595.45000000001</c:v>
                </c:pt>
                <c:pt idx="8">
                  <c:v>155142.37</c:v>
                </c:pt>
                <c:pt idx="9">
                  <c:v>147689.28</c:v>
                </c:pt>
                <c:pt idx="10">
                  <c:v>140236.20000000001</c:v>
                </c:pt>
                <c:pt idx="11">
                  <c:v>132783.12</c:v>
                </c:pt>
                <c:pt idx="12">
                  <c:v>125330.03</c:v>
                </c:pt>
                <c:pt idx="13">
                  <c:v>117876.95</c:v>
                </c:pt>
                <c:pt idx="14">
                  <c:v>110423.86</c:v>
                </c:pt>
                <c:pt idx="15">
                  <c:v>102970.78</c:v>
                </c:pt>
                <c:pt idx="16">
                  <c:v>95517.69</c:v>
                </c:pt>
                <c:pt idx="17">
                  <c:v>88064.61</c:v>
                </c:pt>
                <c:pt idx="18">
                  <c:v>80611.53</c:v>
                </c:pt>
                <c:pt idx="19">
                  <c:v>73158.44</c:v>
                </c:pt>
                <c:pt idx="20">
                  <c:v>65705.36</c:v>
                </c:pt>
              </c:numCache>
            </c:numRef>
          </c:val>
          <c:smooth val="0"/>
          <c:extLst>
            <c:ext xmlns:c16="http://schemas.microsoft.com/office/drawing/2014/chart" uri="{C3380CC4-5D6E-409C-BE32-E72D297353CC}">
              <c16:uniqueId val="{00000001-5CB4-4375-9E0D-0BDCA9A24C42}"/>
            </c:ext>
          </c:extLst>
        </c:ser>
        <c:dLbls>
          <c:showLegendKey val="0"/>
          <c:showVal val="0"/>
          <c:showCatName val="0"/>
          <c:showSerName val="0"/>
          <c:showPercent val="0"/>
          <c:showBubbleSize val="0"/>
        </c:dLbls>
        <c:smooth val="0"/>
        <c:axId val="1759434288"/>
        <c:axId val="1759443024"/>
      </c:lineChart>
      <c:catAx>
        <c:axId val="175943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Diesel Price Change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443024"/>
        <c:crosses val="autoZero"/>
        <c:auto val="1"/>
        <c:lblAlgn val="ctr"/>
        <c:lblOffset val="100"/>
        <c:noMultiLvlLbl val="0"/>
      </c:catAx>
      <c:valAx>
        <c:axId val="1759443024"/>
        <c:scaling>
          <c:orientation val="minMax"/>
        </c:scaling>
        <c:delete val="0"/>
        <c:axPos val="l"/>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43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21278850" y="3338512"/>
    <xdr:ext cx="4572000" cy="2914650"/>
    <xdr:graphicFrame macro="">
      <xdr:nvGraphicFramePr>
        <xdr:cNvPr id="2" name="STS_2_Chart">
          <a:extLst>
            <a:ext uri="{FF2B5EF4-FFF2-40B4-BE49-F238E27FC236}">
              <a16:creationId xmlns:a16="http://schemas.microsoft.com/office/drawing/2014/main" id="{540ECFEA-BA33-47CE-A4BB-7A83AB82E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23755350" y="576262"/>
    <xdr:ext cx="2286000" cy="781050"/>
    <xdr:sp macro="" textlink="">
      <xdr:nvSpPr>
        <xdr:cNvPr id="3" name="TextBox 2">
          <a:extLst>
            <a:ext uri="{FF2B5EF4-FFF2-40B4-BE49-F238E27FC236}">
              <a16:creationId xmlns:a16="http://schemas.microsoft.com/office/drawing/2014/main" id="{6939D950-C686-47E2-85FB-5E84F66F62FB}"/>
            </a:ext>
          </a:extLst>
        </xdr:cNvPr>
        <xdr:cNvSpPr txBox="1"/>
      </xdr:nvSpPr>
      <xdr:spPr>
        <a:xfrm>
          <a:off x="23755350" y="576262"/>
          <a:ext cx="2286000" cy="78105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$AL$4, the chart will adapt to that output.</a:t>
          </a:r>
        </a:p>
      </xdr:txBody>
    </xdr:sp>
    <xdr:clientData/>
  </xdr:absoluteAnchor>
</xdr:wsDr>
</file>

<file path=xl/drawings/drawing2.xml><?xml version="1.0" encoding="utf-8"?>
<xdr:wsDr xmlns:xdr="http://schemas.openxmlformats.org/drawingml/2006/spreadsheetDrawing" xmlns:a="http://schemas.openxmlformats.org/drawingml/2006/main">
  <xdr:absoluteAnchor>
    <xdr:pos x="21278850" y="3338512"/>
    <xdr:ext cx="4572000" cy="2914650"/>
    <xdr:graphicFrame macro="">
      <xdr:nvGraphicFramePr>
        <xdr:cNvPr id="2" name="STS_1_Chart">
          <a:extLst>
            <a:ext uri="{FF2B5EF4-FFF2-40B4-BE49-F238E27FC236}">
              <a16:creationId xmlns:a16="http://schemas.microsoft.com/office/drawing/2014/main" id="{24D7AAA3-E97D-4EA6-81B3-16327BE94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23755350" y="576262"/>
    <xdr:ext cx="2286000" cy="781050"/>
    <xdr:sp macro="" textlink="">
      <xdr:nvSpPr>
        <xdr:cNvPr id="3" name="TextBox 2">
          <a:extLst>
            <a:ext uri="{FF2B5EF4-FFF2-40B4-BE49-F238E27FC236}">
              <a16:creationId xmlns:a16="http://schemas.microsoft.com/office/drawing/2014/main" id="{F299545C-294E-4C65-A899-C1EE19CEDBFA}"/>
            </a:ext>
          </a:extLst>
        </xdr:cNvPr>
        <xdr:cNvSpPr txBox="1"/>
      </xdr:nvSpPr>
      <xdr:spPr>
        <a:xfrm>
          <a:off x="23755350" y="576262"/>
          <a:ext cx="2286000" cy="78105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$AL$4, the chart will adapt to that output.</a:t>
          </a:r>
        </a:p>
      </xdr:txBody>
    </xdr:sp>
    <xdr:clientData/>
  </xdr:absoluteAnchor>
</xdr:wsDr>
</file>

<file path=xl/drawings/drawing3.xml><?xml version="1.0" encoding="utf-8"?>
<xdr:wsDr xmlns:xdr="http://schemas.openxmlformats.org/drawingml/2006/spreadsheetDrawing" xmlns:a="http://schemas.openxmlformats.org/drawingml/2006/main">
  <xdr:absoluteAnchor>
    <xdr:pos x="21002625" y="8559800"/>
    <xdr:ext cx="4848225" cy="3486150"/>
    <xdr:graphicFrame macro="">
      <xdr:nvGraphicFramePr>
        <xdr:cNvPr id="2" name="STS_2_Chart">
          <a:extLst>
            <a:ext uri="{FF2B5EF4-FFF2-40B4-BE49-F238E27FC236}">
              <a16:creationId xmlns:a16="http://schemas.microsoft.com/office/drawing/2014/main" id="{E50F1E33-7F0D-453C-BE99-37270066D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23755350" y="576262"/>
    <xdr:ext cx="2286000" cy="781050"/>
    <xdr:sp macro="" textlink="">
      <xdr:nvSpPr>
        <xdr:cNvPr id="3" name="TextBox 2">
          <a:extLst>
            <a:ext uri="{FF2B5EF4-FFF2-40B4-BE49-F238E27FC236}">
              <a16:creationId xmlns:a16="http://schemas.microsoft.com/office/drawing/2014/main" id="{A2135D2D-C11E-4B1D-AEC2-461F1D2C7461}"/>
            </a:ext>
          </a:extLst>
        </xdr:cNvPr>
        <xdr:cNvSpPr txBox="1"/>
      </xdr:nvSpPr>
      <xdr:spPr>
        <a:xfrm>
          <a:off x="23755350" y="576262"/>
          <a:ext cx="2286000" cy="78105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$AL$4, the chart will adapt to that output.</a:t>
          </a:r>
        </a:p>
      </xdr:txBody>
    </xdr:sp>
    <xdr:clientData/>
  </xdr:absoluteAnchor>
</xdr:wsDr>
</file>

<file path=xl/drawings/drawing4.xml><?xml version="1.0" encoding="utf-8"?>
<xdr:wsDr xmlns:xdr="http://schemas.openxmlformats.org/drawingml/2006/spreadsheetDrawing" xmlns:a="http://schemas.openxmlformats.org/drawingml/2006/main">
  <xdr:twoCellAnchor editAs="absolute">
    <xdr:from>
      <xdr:col>9</xdr:col>
      <xdr:colOff>357000</xdr:colOff>
      <xdr:row>477</xdr:row>
      <xdr:rowOff>76200</xdr:rowOff>
    </xdr:from>
    <xdr:to>
      <xdr:col>17</xdr:col>
      <xdr:colOff>356999</xdr:colOff>
      <xdr:row>495</xdr:row>
      <xdr:rowOff>19050</xdr:rowOff>
    </xdr:to>
    <xdr:graphicFrame macro="">
      <xdr:nvGraphicFramePr>
        <xdr:cNvPr id="2" name="STS_1_Chart">
          <a:extLst>
            <a:ext uri="{FF2B5EF4-FFF2-40B4-BE49-F238E27FC236}">
              <a16:creationId xmlns:a16="http://schemas.microsoft.com/office/drawing/2014/main" id="{65FB3BB8-9722-42E9-9865-A32D83EFD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356999</xdr:colOff>
      <xdr:row>3</xdr:row>
      <xdr:rowOff>88900</xdr:rowOff>
    </xdr:from>
    <xdr:to>
      <xdr:col>15</xdr:col>
      <xdr:colOff>356999</xdr:colOff>
      <xdr:row>7</xdr:row>
      <xdr:rowOff>12700</xdr:rowOff>
    </xdr:to>
    <xdr:sp macro="" textlink="">
      <xdr:nvSpPr>
        <xdr:cNvPr id="3" name="TextBox 2">
          <a:extLst>
            <a:ext uri="{FF2B5EF4-FFF2-40B4-BE49-F238E27FC236}">
              <a16:creationId xmlns:a16="http://schemas.microsoft.com/office/drawing/2014/main" id="{F864F0E2-709B-4874-9792-23BE3A9C52F8}"/>
            </a:ext>
          </a:extLst>
        </xdr:cNvPr>
        <xdr:cNvSpPr txBox="1"/>
      </xdr:nvSpPr>
      <xdr:spPr>
        <a:xfrm>
          <a:off x="7353300" y="581025"/>
          <a:ext cx="2438400" cy="7747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3</xdr:col>
      <xdr:colOff>642540</xdr:colOff>
      <xdr:row>38</xdr:row>
      <xdr:rowOff>73289</xdr:rowOff>
    </xdr:from>
    <xdr:ext cx="5227279" cy="804340"/>
    <xdr:pic>
      <xdr:nvPicPr>
        <xdr:cNvPr id="2" name="Picture 1">
          <a:extLst>
            <a:ext uri="{FF2B5EF4-FFF2-40B4-BE49-F238E27FC236}">
              <a16:creationId xmlns:a16="http://schemas.microsoft.com/office/drawing/2014/main" id="{9025CCD1-73B0-493A-9CF3-E2A311F41AD8}"/>
            </a:ext>
          </a:extLst>
        </xdr:cNvPr>
        <xdr:cNvPicPr>
          <a:picLocks noChangeAspect="1"/>
        </xdr:cNvPicPr>
      </xdr:nvPicPr>
      <xdr:blipFill>
        <a:blip xmlns:r="http://schemas.openxmlformats.org/officeDocument/2006/relationships" r:embed="rId1"/>
        <a:stretch>
          <a:fillRect/>
        </a:stretch>
      </xdr:blipFill>
      <xdr:spPr>
        <a:xfrm>
          <a:off x="2439590" y="6347089"/>
          <a:ext cx="5227279" cy="804340"/>
        </a:xfrm>
        <a:prstGeom prst="rect">
          <a:avLst/>
        </a:prstGeom>
      </xdr:spPr>
    </xdr:pic>
    <xdr:clientData/>
  </xdr:oneCellAnchor>
  <xdr:twoCellAnchor>
    <xdr:from>
      <xdr:col>4</xdr:col>
      <xdr:colOff>25134</xdr:colOff>
      <xdr:row>45</xdr:row>
      <xdr:rowOff>1322</xdr:rowOff>
    </xdr:from>
    <xdr:to>
      <xdr:col>15</xdr:col>
      <xdr:colOff>684609</xdr:colOff>
      <xdr:row>51</xdr:row>
      <xdr:rowOff>52917</xdr:rowOff>
    </xdr:to>
    <xdr:sp macro="" textlink="">
      <xdr:nvSpPr>
        <xdr:cNvPr id="3" name="TextBox 2">
          <a:extLst>
            <a:ext uri="{FF2B5EF4-FFF2-40B4-BE49-F238E27FC236}">
              <a16:creationId xmlns:a16="http://schemas.microsoft.com/office/drawing/2014/main" id="{F35A3D68-455B-4ECD-9A7A-6BCA99D35DD1}"/>
            </a:ext>
          </a:extLst>
        </xdr:cNvPr>
        <xdr:cNvSpPr txBox="1"/>
      </xdr:nvSpPr>
      <xdr:spPr>
        <a:xfrm>
          <a:off x="2463534" y="7430822"/>
          <a:ext cx="7288875" cy="10421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a:t>
          </a:r>
          <a:r>
            <a:rPr lang="en-US" sz="1100" baseline="0"/>
            <a:t> are a number of plants where the lower/minumum amount of molasses is binding, meaning that reducing the minimal required amount could increase profitability. Those plants, along with the shadow prices and allowable increases and decreases, are listed to the above. One can see that if you take away the mininal amount agreement, the cell value for each location changes drastically. For example, the company would no longer provide any molasses to Bariri, which would make sense. That location has the highest transportation costs from Londrina and the second highest transportation costs from Franca, and as a result, Bariri has the highest shadow price by far in the original model. By being able to reduce amounts for Bariri, </a:t>
          </a:r>
          <a:r>
            <a:rPr lang="en-US" sz="1100" b="0" i="0" u="none" strike="noStrike">
              <a:solidFill>
                <a:schemeClr val="dk1"/>
              </a:solidFill>
              <a:effectLst/>
              <a:latin typeface="+mn-lt"/>
              <a:ea typeface="+mn-ea"/>
              <a:cs typeface="+mn-cs"/>
            </a:rPr>
            <a:t>Jaú,</a:t>
          </a:r>
          <a:r>
            <a:rPr lang="en-US" sz="1100" b="0" i="0" u="none" strike="noStrike" baseline="0">
              <a:solidFill>
                <a:schemeClr val="dk1"/>
              </a:solidFill>
              <a:effectLst/>
              <a:latin typeface="+mn-lt"/>
              <a:ea typeface="+mn-ea"/>
              <a:cs typeface="+mn-cs"/>
            </a:rPr>
            <a:t> and </a:t>
          </a:r>
          <a:r>
            <a:rPr lang="en-US" sz="1100" b="0" i="0" u="none" strike="noStrike">
              <a:solidFill>
                <a:schemeClr val="dk1"/>
              </a:solidFill>
              <a:effectLst/>
              <a:latin typeface="+mn-lt"/>
              <a:ea typeface="+mn-ea"/>
              <a:cs typeface="+mn-cs"/>
            </a:rPr>
            <a:t>São Carlos,</a:t>
          </a:r>
          <a:r>
            <a:rPr lang="en-US" sz="1100" b="0" i="0" u="none" strike="noStrike" baseline="0">
              <a:solidFill>
                <a:schemeClr val="dk1"/>
              </a:solidFill>
              <a:effectLst/>
              <a:latin typeface="+mn-lt"/>
              <a:ea typeface="+mn-ea"/>
              <a:cs typeface="+mn-cs"/>
            </a:rPr>
            <a:t> we can pay lower transportations costs by selling to </a:t>
          </a:r>
          <a:r>
            <a:rPr lang="en-US" sz="1100" b="0" i="0" u="none" strike="noStrike">
              <a:solidFill>
                <a:schemeClr val="dk1"/>
              </a:solidFill>
              <a:effectLst/>
              <a:latin typeface="+mn-lt"/>
              <a:ea typeface="+mn-ea"/>
              <a:cs typeface="+mn-cs"/>
            </a:rPr>
            <a:t>Cosmópolis,</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Itapira,</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Diadema,</a:t>
          </a:r>
          <a:r>
            <a:rPr lang="en-US" sz="1100" b="0" i="0" u="none" strike="noStrike" baseline="0">
              <a:solidFill>
                <a:schemeClr val="dk1"/>
              </a:solidFill>
              <a:effectLst/>
              <a:latin typeface="+mn-lt"/>
              <a:ea typeface="+mn-ea"/>
              <a:cs typeface="+mn-cs"/>
            </a:rPr>
            <a:t> and </a:t>
          </a:r>
          <a:r>
            <a:rPr lang="en-US" sz="1100" b="0" i="0" u="none" strike="noStrike">
              <a:solidFill>
                <a:schemeClr val="dk1"/>
              </a:solidFill>
              <a:effectLst/>
              <a:latin typeface="+mn-lt"/>
              <a:ea typeface="+mn-ea"/>
              <a:cs typeface="+mn-cs"/>
            </a:rPr>
            <a:t>Araraquara.</a:t>
          </a:r>
          <a:r>
            <a:rPr lang="en-US" sz="1100" b="0" i="0" u="none" strike="noStrike" baseline="0">
              <a:solidFill>
                <a:schemeClr val="dk1"/>
              </a:solidFill>
              <a:effectLst/>
              <a:latin typeface="+mn-lt"/>
              <a:ea typeface="+mn-ea"/>
              <a:cs typeface="+mn-cs"/>
            </a:rPr>
            <a:t> Compared to the original total profit (</a:t>
          </a:r>
          <a:r>
            <a:rPr lang="en-US" sz="1100" b="0" i="0" u="none" strike="noStrike">
              <a:solidFill>
                <a:schemeClr val="dk1"/>
              </a:solidFill>
              <a:effectLst/>
              <a:latin typeface="+mn-lt"/>
              <a:ea typeface="+mn-ea"/>
              <a:cs typeface="+mn-cs"/>
            </a:rPr>
            <a:t>$183,135.11), the new total profit ($200,097.41)</a:t>
          </a:r>
          <a:r>
            <a:rPr lang="en-US" sz="1100" b="0" i="0" u="none" strike="noStrike" baseline="0">
              <a:solidFill>
                <a:schemeClr val="dk1"/>
              </a:solidFill>
              <a:effectLst/>
              <a:latin typeface="+mn-lt"/>
              <a:ea typeface="+mn-ea"/>
              <a:cs typeface="+mn-cs"/>
            </a:rPr>
            <a:t> is $16,962.31 more (a 9.262% increase).</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9</xdr:col>
      <xdr:colOff>368300</xdr:colOff>
      <xdr:row>29</xdr:row>
      <xdr:rowOff>139700</xdr:rowOff>
    </xdr:from>
    <xdr:to>
      <xdr:col>17</xdr:col>
      <xdr:colOff>368300</xdr:colOff>
      <xdr:row>47</xdr:row>
      <xdr:rowOff>25400</xdr:rowOff>
    </xdr:to>
    <xdr:graphicFrame macro="">
      <xdr:nvGraphicFramePr>
        <xdr:cNvPr id="2" name="STS_2_Chart">
          <a:extLst>
            <a:ext uri="{FF2B5EF4-FFF2-40B4-BE49-F238E27FC236}">
              <a16:creationId xmlns:a16="http://schemas.microsoft.com/office/drawing/2014/main" id="{40D19A25-F874-4C00-9280-BF50E77C7D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368300</xdr:colOff>
      <xdr:row>3</xdr:row>
      <xdr:rowOff>76200</xdr:rowOff>
    </xdr:from>
    <xdr:to>
      <xdr:col>15</xdr:col>
      <xdr:colOff>368300</xdr:colOff>
      <xdr:row>6</xdr:row>
      <xdr:rowOff>152400</xdr:rowOff>
    </xdr:to>
    <xdr:sp macro="" textlink="">
      <xdr:nvSpPr>
        <xdr:cNvPr id="3" name="TextBox 2">
          <a:extLst>
            <a:ext uri="{FF2B5EF4-FFF2-40B4-BE49-F238E27FC236}">
              <a16:creationId xmlns:a16="http://schemas.microsoft.com/office/drawing/2014/main" id="{8E725065-2C3F-494F-8F2D-7A8D591311D6}"/>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10</xdr:col>
      <xdr:colOff>266700</xdr:colOff>
      <xdr:row>29</xdr:row>
      <xdr:rowOff>139700</xdr:rowOff>
    </xdr:from>
    <xdr:to>
      <xdr:col>17</xdr:col>
      <xdr:colOff>393700</xdr:colOff>
      <xdr:row>47</xdr:row>
      <xdr:rowOff>25400</xdr:rowOff>
    </xdr:to>
    <xdr:graphicFrame macro="">
      <xdr:nvGraphicFramePr>
        <xdr:cNvPr id="2" name="STS_1_Chart1">
          <a:extLst>
            <a:ext uri="{FF2B5EF4-FFF2-40B4-BE49-F238E27FC236}">
              <a16:creationId xmlns:a16="http://schemas.microsoft.com/office/drawing/2014/main" id="{2DDA01D0-77AB-4D98-964B-D2AEC78F1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18</xdr:col>
      <xdr:colOff>393700</xdr:colOff>
      <xdr:row>29</xdr:row>
      <xdr:rowOff>139700</xdr:rowOff>
    </xdr:from>
    <xdr:to>
      <xdr:col>26</xdr:col>
      <xdr:colOff>393700</xdr:colOff>
      <xdr:row>47</xdr:row>
      <xdr:rowOff>25400</xdr:rowOff>
    </xdr:to>
    <xdr:graphicFrame macro="">
      <xdr:nvGraphicFramePr>
        <xdr:cNvPr id="3" name="STS_1_Chart2">
          <a:extLst>
            <a:ext uri="{FF2B5EF4-FFF2-40B4-BE49-F238E27FC236}">
              <a16:creationId xmlns:a16="http://schemas.microsoft.com/office/drawing/2014/main" id="{5CF9CF1C-EB84-45E4-A4F1-1149FCCC4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21</xdr:col>
      <xdr:colOff>44096</xdr:colOff>
      <xdr:row>3</xdr:row>
      <xdr:rowOff>32103</xdr:rowOff>
    </xdr:from>
    <xdr:to>
      <xdr:col>27</xdr:col>
      <xdr:colOff>44096</xdr:colOff>
      <xdr:row>10</xdr:row>
      <xdr:rowOff>19403</xdr:rowOff>
    </xdr:to>
    <xdr:sp macro="" textlink="">
      <xdr:nvSpPr>
        <xdr:cNvPr id="4" name="TextBox 3">
          <a:extLst>
            <a:ext uri="{FF2B5EF4-FFF2-40B4-BE49-F238E27FC236}">
              <a16:creationId xmlns:a16="http://schemas.microsoft.com/office/drawing/2014/main" id="{23C260AB-C3C8-4E3E-B330-798BA6145F2C}"/>
            </a:ext>
          </a:extLst>
        </xdr:cNvPr>
        <xdr:cNvSpPr txBox="1"/>
      </xdr:nvSpPr>
      <xdr:spPr>
        <a:xfrm>
          <a:off x="15254463" y="534811"/>
          <a:ext cx="3651250" cy="1345495"/>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By making appropriate selections in cells $N$4, $O$4, $R$4, and $S$4, you can chart any row (in left chart) or column (in right chart) of any table to the left.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8034/Downloads/Grupa%20Data%20-%20Additional%20Suppli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18034/Downloads/Grupa%20Data%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18034/Downloads/Grupa%20Data%20Anik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d Plantation Dracena"/>
      <sheetName val="Optimization Model"/>
      <sheetName val="Add Plantation Dracena (2)_STS"/>
      <sheetName val="Add Plantation Dracena_STS"/>
      <sheetName val="STS Dracena"/>
    </sheetNames>
    <sheetDataSet>
      <sheetData sheetId="0"/>
      <sheetData sheetId="1">
        <row r="32">
          <cell r="H32">
            <v>1761.1940298507459</v>
          </cell>
          <cell r="I32">
            <v>2326.9048489203983</v>
          </cell>
        </row>
        <row r="39">
          <cell r="H39">
            <v>4015</v>
          </cell>
          <cell r="I39">
            <v>4390</v>
          </cell>
        </row>
        <row r="40">
          <cell r="H40">
            <v>8030</v>
          </cell>
          <cell r="I40">
            <v>8780</v>
          </cell>
        </row>
        <row r="43">
          <cell r="H43">
            <v>1000</v>
          </cell>
          <cell r="I43">
            <v>2000</v>
          </cell>
        </row>
        <row r="44">
          <cell r="H44">
            <v>2000</v>
          </cell>
          <cell r="I44">
            <v>4000</v>
          </cell>
        </row>
      </sheetData>
      <sheetData sheetId="2" refreshError="1"/>
      <sheetData sheetId="3" refreshError="1"/>
      <sheetData sheetId="4">
        <row r="1">
          <cell r="K1" t="str">
            <v>Sensitivity of Profit to Input</v>
          </cell>
        </row>
        <row r="5">
          <cell r="A5">
            <v>0</v>
          </cell>
          <cell r="K5">
            <v>220368.65</v>
          </cell>
        </row>
        <row r="6">
          <cell r="A6">
            <v>0.10000000149011612</v>
          </cell>
          <cell r="K6">
            <v>220246.1</v>
          </cell>
        </row>
        <row r="7">
          <cell r="A7">
            <v>0.20000000298023224</v>
          </cell>
          <cell r="K7">
            <v>220123.55</v>
          </cell>
        </row>
        <row r="8">
          <cell r="A8">
            <v>0.30000001192092896</v>
          </cell>
          <cell r="K8">
            <v>220001</v>
          </cell>
        </row>
        <row r="9">
          <cell r="A9">
            <v>0.40000000596046448</v>
          </cell>
          <cell r="K9">
            <v>219878.44</v>
          </cell>
        </row>
        <row r="10">
          <cell r="A10">
            <v>0.5</v>
          </cell>
          <cell r="K10">
            <v>219755.89</v>
          </cell>
        </row>
        <row r="11">
          <cell r="A11">
            <v>0.60000002384185791</v>
          </cell>
          <cell r="K11">
            <v>219633.34</v>
          </cell>
        </row>
        <row r="12">
          <cell r="A12">
            <v>0.69999998807907104</v>
          </cell>
          <cell r="K12">
            <v>219510.79</v>
          </cell>
        </row>
        <row r="13">
          <cell r="A13">
            <v>0.80000001192092896</v>
          </cell>
          <cell r="K13">
            <v>219388.23</v>
          </cell>
        </row>
        <row r="14">
          <cell r="A14">
            <v>0.90000003576278687</v>
          </cell>
          <cell r="K14">
            <v>219265.68</v>
          </cell>
        </row>
        <row r="15">
          <cell r="A15">
            <v>1</v>
          </cell>
          <cell r="K15">
            <v>219143.13</v>
          </cell>
        </row>
        <row r="16">
          <cell r="A16">
            <v>1.1000000238418579</v>
          </cell>
          <cell r="K16">
            <v>219020.58</v>
          </cell>
        </row>
        <row r="17">
          <cell r="A17">
            <v>1.2000000476837158</v>
          </cell>
          <cell r="K17">
            <v>218898.02</v>
          </cell>
        </row>
        <row r="18">
          <cell r="A18">
            <v>1.3000000715255737</v>
          </cell>
          <cell r="K18">
            <v>218775.47</v>
          </cell>
        </row>
        <row r="19">
          <cell r="A19">
            <v>1.3999999761581421</v>
          </cell>
          <cell r="K19">
            <v>218652.92</v>
          </cell>
        </row>
        <row r="20">
          <cell r="A20">
            <v>1.5</v>
          </cell>
          <cell r="K20">
            <v>218530.37</v>
          </cell>
        </row>
        <row r="21">
          <cell r="A21">
            <v>1.6000000238418579</v>
          </cell>
          <cell r="K21">
            <v>218407.81</v>
          </cell>
        </row>
        <row r="22">
          <cell r="A22">
            <v>1.7000000476837158</v>
          </cell>
          <cell r="K22">
            <v>218285.26</v>
          </cell>
        </row>
        <row r="23">
          <cell r="A23">
            <v>1.8000000715255737</v>
          </cell>
          <cell r="K23">
            <v>218162.71</v>
          </cell>
        </row>
        <row r="24">
          <cell r="A24">
            <v>1.8999999761581421</v>
          </cell>
          <cell r="K24">
            <v>218040.16</v>
          </cell>
        </row>
        <row r="25">
          <cell r="A25">
            <v>2</v>
          </cell>
          <cell r="K25">
            <v>217917.6</v>
          </cell>
        </row>
        <row r="26">
          <cell r="A26">
            <v>2.1000001430511475</v>
          </cell>
          <cell r="K26">
            <v>217795.05</v>
          </cell>
        </row>
        <row r="27">
          <cell r="A27">
            <v>2.2000000476837158</v>
          </cell>
          <cell r="K27">
            <v>217672.5</v>
          </cell>
        </row>
        <row r="28">
          <cell r="A28">
            <v>2.2999999523162842</v>
          </cell>
          <cell r="K28">
            <v>217549.95</v>
          </cell>
        </row>
        <row r="29">
          <cell r="A29">
            <v>2.4000000953674316</v>
          </cell>
          <cell r="K29">
            <v>217427.39</v>
          </cell>
        </row>
        <row r="30">
          <cell r="A30">
            <v>2.5</v>
          </cell>
          <cell r="K30">
            <v>217304.84</v>
          </cell>
        </row>
        <row r="31">
          <cell r="A31">
            <v>2.6000001430511475</v>
          </cell>
          <cell r="K31">
            <v>217182.29</v>
          </cell>
        </row>
        <row r="32">
          <cell r="A32">
            <v>2.7000000476837158</v>
          </cell>
          <cell r="K32">
            <v>217059.74</v>
          </cell>
        </row>
        <row r="33">
          <cell r="A33">
            <v>2.7999999523162842</v>
          </cell>
          <cell r="K33">
            <v>216937.18</v>
          </cell>
        </row>
        <row r="34">
          <cell r="A34">
            <v>2.9000000953674316</v>
          </cell>
          <cell r="K34">
            <v>216814.63</v>
          </cell>
        </row>
        <row r="35">
          <cell r="A35">
            <v>3</v>
          </cell>
          <cell r="K35">
            <v>216692.08</v>
          </cell>
        </row>
        <row r="36">
          <cell r="A36">
            <v>3.1000001430511475</v>
          </cell>
          <cell r="K36">
            <v>216569.53</v>
          </cell>
        </row>
        <row r="37">
          <cell r="A37">
            <v>3.2000000476837158</v>
          </cell>
          <cell r="K37">
            <v>216446.97</v>
          </cell>
        </row>
        <row r="38">
          <cell r="A38">
            <v>3.2999999523162842</v>
          </cell>
          <cell r="K38">
            <v>216324.42</v>
          </cell>
        </row>
        <row r="39">
          <cell r="A39">
            <v>3.4000000953674316</v>
          </cell>
          <cell r="K39">
            <v>216201.87</v>
          </cell>
        </row>
        <row r="40">
          <cell r="A40">
            <v>3.5</v>
          </cell>
          <cell r="K40">
            <v>216079.32</v>
          </cell>
        </row>
        <row r="41">
          <cell r="A41">
            <v>3.6000001430511475</v>
          </cell>
          <cell r="K41">
            <v>215956.77</v>
          </cell>
        </row>
        <row r="42">
          <cell r="A42">
            <v>3.7000000476837158</v>
          </cell>
          <cell r="K42">
            <v>215834.21</v>
          </cell>
        </row>
        <row r="43">
          <cell r="A43">
            <v>3.7999999523162842</v>
          </cell>
          <cell r="K43">
            <v>215711.66</v>
          </cell>
        </row>
        <row r="44">
          <cell r="A44">
            <v>3.9000000953674316</v>
          </cell>
          <cell r="K44">
            <v>215589.11</v>
          </cell>
        </row>
        <row r="45">
          <cell r="A45">
            <v>4</v>
          </cell>
          <cell r="K45">
            <v>215466.56</v>
          </cell>
        </row>
        <row r="46">
          <cell r="A46">
            <v>4.0999999046325684</v>
          </cell>
          <cell r="K46">
            <v>215344</v>
          </cell>
        </row>
        <row r="47">
          <cell r="A47">
            <v>4.2000002861022949</v>
          </cell>
          <cell r="K47">
            <v>215221.45</v>
          </cell>
        </row>
        <row r="48">
          <cell r="A48">
            <v>4.3000001907348633</v>
          </cell>
          <cell r="K48">
            <v>215098.9</v>
          </cell>
        </row>
        <row r="49">
          <cell r="A49">
            <v>4.4000000953674316</v>
          </cell>
          <cell r="K49">
            <v>214976.35</v>
          </cell>
        </row>
        <row r="50">
          <cell r="A50">
            <v>4.5</v>
          </cell>
          <cell r="K50">
            <v>214853.79</v>
          </cell>
        </row>
        <row r="51">
          <cell r="A51">
            <v>4.5999999046325684</v>
          </cell>
          <cell r="K51">
            <v>214731.24</v>
          </cell>
        </row>
        <row r="52">
          <cell r="A52">
            <v>4.7000002861022949</v>
          </cell>
          <cell r="K52">
            <v>214608.69</v>
          </cell>
        </row>
        <row r="53">
          <cell r="A53">
            <v>4.8000001907348633</v>
          </cell>
          <cell r="K53">
            <v>214486.14</v>
          </cell>
        </row>
        <row r="54">
          <cell r="A54">
            <v>4.9000000953674316</v>
          </cell>
          <cell r="K54">
            <v>214363.58</v>
          </cell>
        </row>
        <row r="55">
          <cell r="A55">
            <v>5</v>
          </cell>
          <cell r="K55">
            <v>214241.03</v>
          </cell>
        </row>
        <row r="56">
          <cell r="A56">
            <v>5.0999999046325684</v>
          </cell>
          <cell r="K56">
            <v>214118.48</v>
          </cell>
        </row>
        <row r="57">
          <cell r="A57">
            <v>5.2000002861022949</v>
          </cell>
          <cell r="K57">
            <v>213995.93</v>
          </cell>
        </row>
        <row r="58">
          <cell r="A58">
            <v>5.3000001907348633</v>
          </cell>
          <cell r="K58">
            <v>213873.37</v>
          </cell>
        </row>
        <row r="59">
          <cell r="A59">
            <v>5.4000000953674316</v>
          </cell>
          <cell r="K59">
            <v>213750.82</v>
          </cell>
        </row>
        <row r="60">
          <cell r="A60">
            <v>5.5</v>
          </cell>
          <cell r="K60">
            <v>213628.27</v>
          </cell>
        </row>
        <row r="61">
          <cell r="A61">
            <v>5.5999999046325684</v>
          </cell>
          <cell r="K61">
            <v>213505.72</v>
          </cell>
        </row>
        <row r="62">
          <cell r="A62">
            <v>5.7000002861022949</v>
          </cell>
          <cell r="K62">
            <v>213383.16</v>
          </cell>
        </row>
        <row r="63">
          <cell r="A63">
            <v>5.8000001907348633</v>
          </cell>
          <cell r="K63">
            <v>213260.61</v>
          </cell>
        </row>
        <row r="64">
          <cell r="A64">
            <v>5.9000000953674316</v>
          </cell>
          <cell r="K64">
            <v>213138.06</v>
          </cell>
        </row>
        <row r="65">
          <cell r="A65">
            <v>6</v>
          </cell>
          <cell r="K65">
            <v>213015.51</v>
          </cell>
        </row>
        <row r="66">
          <cell r="A66">
            <v>6.0999999046325684</v>
          </cell>
          <cell r="K66">
            <v>212892.95</v>
          </cell>
        </row>
        <row r="67">
          <cell r="A67">
            <v>6.2000002861022949</v>
          </cell>
          <cell r="K67">
            <v>212770.4</v>
          </cell>
        </row>
        <row r="68">
          <cell r="A68">
            <v>6.3000001907348633</v>
          </cell>
          <cell r="K68">
            <v>212647.85</v>
          </cell>
        </row>
        <row r="69">
          <cell r="A69">
            <v>6.4000000953674316</v>
          </cell>
          <cell r="K69">
            <v>212525.3</v>
          </cell>
        </row>
        <row r="70">
          <cell r="A70">
            <v>6.5</v>
          </cell>
          <cell r="K70">
            <v>212402.74</v>
          </cell>
        </row>
        <row r="71">
          <cell r="A71">
            <v>6.5999999046325684</v>
          </cell>
          <cell r="K71">
            <v>212280.19</v>
          </cell>
        </row>
        <row r="72">
          <cell r="A72">
            <v>6.7000002861022949</v>
          </cell>
          <cell r="K72">
            <v>212157.64</v>
          </cell>
        </row>
        <row r="73">
          <cell r="A73">
            <v>6.8000001907348633</v>
          </cell>
          <cell r="K73">
            <v>212035.09</v>
          </cell>
        </row>
        <row r="74">
          <cell r="A74">
            <v>6.9000000953674316</v>
          </cell>
          <cell r="K74">
            <v>211912.53</v>
          </cell>
        </row>
        <row r="75">
          <cell r="A75">
            <v>7</v>
          </cell>
          <cell r="K75">
            <v>211789.98</v>
          </cell>
        </row>
        <row r="76">
          <cell r="A76">
            <v>7.0999999046325684</v>
          </cell>
          <cell r="K76">
            <v>211667.43</v>
          </cell>
        </row>
        <row r="77">
          <cell r="A77">
            <v>7.2000002861022949</v>
          </cell>
          <cell r="K77">
            <v>211544.88</v>
          </cell>
        </row>
        <row r="78">
          <cell r="A78">
            <v>7.3000001907348633</v>
          </cell>
          <cell r="K78">
            <v>211422.32</v>
          </cell>
        </row>
        <row r="79">
          <cell r="A79">
            <v>7.4000000953674316</v>
          </cell>
          <cell r="K79">
            <v>211299.77</v>
          </cell>
        </row>
        <row r="80">
          <cell r="A80">
            <v>7.5</v>
          </cell>
          <cell r="K80">
            <v>211177.22</v>
          </cell>
        </row>
        <row r="81">
          <cell r="A81">
            <v>7.5999999046325684</v>
          </cell>
          <cell r="K81">
            <v>211054.67</v>
          </cell>
        </row>
        <row r="82">
          <cell r="A82">
            <v>7.7000002861022949</v>
          </cell>
          <cell r="K82">
            <v>210932.12</v>
          </cell>
        </row>
        <row r="83">
          <cell r="A83">
            <v>7.8000001907348633</v>
          </cell>
          <cell r="K83">
            <v>210809.56</v>
          </cell>
        </row>
        <row r="84">
          <cell r="A84">
            <v>7.9000000953674316</v>
          </cell>
          <cell r="K84">
            <v>210687.01</v>
          </cell>
        </row>
        <row r="85">
          <cell r="A85">
            <v>8</v>
          </cell>
          <cell r="K85">
            <v>210564.46</v>
          </cell>
        </row>
        <row r="86">
          <cell r="A86">
            <v>8.1000003814697266</v>
          </cell>
          <cell r="K86">
            <v>210441.91</v>
          </cell>
        </row>
        <row r="87">
          <cell r="A87">
            <v>8.1999998092651367</v>
          </cell>
          <cell r="K87">
            <v>210319.35</v>
          </cell>
        </row>
        <row r="88">
          <cell r="A88">
            <v>8.3000001907348633</v>
          </cell>
          <cell r="K88">
            <v>210196.8</v>
          </cell>
        </row>
        <row r="89">
          <cell r="A89">
            <v>8.4000005722045898</v>
          </cell>
          <cell r="K89">
            <v>210074.25</v>
          </cell>
        </row>
        <row r="90">
          <cell r="A90">
            <v>8.5</v>
          </cell>
          <cell r="K90">
            <v>209951.7</v>
          </cell>
        </row>
        <row r="91">
          <cell r="A91">
            <v>8.6000003814697266</v>
          </cell>
          <cell r="K91">
            <v>209829.14</v>
          </cell>
        </row>
        <row r="92">
          <cell r="A92">
            <v>8.6999998092651367</v>
          </cell>
          <cell r="K92">
            <v>209706.59</v>
          </cell>
        </row>
        <row r="93">
          <cell r="A93">
            <v>8.8000001907348633</v>
          </cell>
          <cell r="K93">
            <v>209584.04</v>
          </cell>
        </row>
        <row r="94">
          <cell r="A94">
            <v>8.9000005722045898</v>
          </cell>
          <cell r="K94">
            <v>209461.49</v>
          </cell>
        </row>
        <row r="95">
          <cell r="A95">
            <v>9</v>
          </cell>
          <cell r="K95">
            <v>209338.93</v>
          </cell>
        </row>
        <row r="96">
          <cell r="A96">
            <v>9.1000003814697266</v>
          </cell>
          <cell r="K96">
            <v>209216.38</v>
          </cell>
        </row>
        <row r="97">
          <cell r="A97">
            <v>9.1999998092651367</v>
          </cell>
          <cell r="K97">
            <v>209093.83</v>
          </cell>
        </row>
        <row r="98">
          <cell r="A98">
            <v>9.3000001907348633</v>
          </cell>
          <cell r="K98">
            <v>208971.28</v>
          </cell>
        </row>
        <row r="99">
          <cell r="A99">
            <v>9.4000005722045898</v>
          </cell>
          <cell r="K99">
            <v>208848.72</v>
          </cell>
        </row>
        <row r="100">
          <cell r="A100">
            <v>9.5</v>
          </cell>
          <cell r="K100">
            <v>208726.17</v>
          </cell>
        </row>
        <row r="101">
          <cell r="A101">
            <v>9.6000003814697266</v>
          </cell>
          <cell r="K101">
            <v>208603.62</v>
          </cell>
        </row>
        <row r="102">
          <cell r="A102">
            <v>9.6999998092651367</v>
          </cell>
          <cell r="K102">
            <v>208481.07</v>
          </cell>
        </row>
        <row r="103">
          <cell r="A103">
            <v>9.8000001907348633</v>
          </cell>
          <cell r="K103">
            <v>208358.51</v>
          </cell>
        </row>
        <row r="104">
          <cell r="A104">
            <v>9.9000005722045898</v>
          </cell>
          <cell r="K104">
            <v>208235.96</v>
          </cell>
        </row>
        <row r="105">
          <cell r="A105">
            <v>10</v>
          </cell>
          <cell r="K105">
            <v>208113.41</v>
          </cell>
        </row>
        <row r="106">
          <cell r="A106">
            <v>10.100000381469727</v>
          </cell>
          <cell r="K106">
            <v>207990.86</v>
          </cell>
        </row>
        <row r="107">
          <cell r="A107">
            <v>10.199999809265137</v>
          </cell>
          <cell r="K107">
            <v>207868.3</v>
          </cell>
        </row>
        <row r="108">
          <cell r="A108">
            <v>10.300000190734863</v>
          </cell>
          <cell r="K108">
            <v>207745.75</v>
          </cell>
        </row>
        <row r="109">
          <cell r="A109">
            <v>10.40000057220459</v>
          </cell>
          <cell r="K109">
            <v>207623.2</v>
          </cell>
        </row>
        <row r="110">
          <cell r="A110">
            <v>10.5</v>
          </cell>
          <cell r="K110">
            <v>207500.65</v>
          </cell>
        </row>
        <row r="111">
          <cell r="A111">
            <v>10.600000381469727</v>
          </cell>
          <cell r="K111">
            <v>207378.09</v>
          </cell>
        </row>
        <row r="112">
          <cell r="A112">
            <v>10.699999809265137</v>
          </cell>
          <cell r="K112">
            <v>207255.54</v>
          </cell>
        </row>
        <row r="113">
          <cell r="A113">
            <v>10.800000190734863</v>
          </cell>
          <cell r="K113">
            <v>207132.99</v>
          </cell>
        </row>
        <row r="114">
          <cell r="A114">
            <v>10.90000057220459</v>
          </cell>
          <cell r="K114">
            <v>207010.44</v>
          </cell>
        </row>
        <row r="115">
          <cell r="A115">
            <v>11</v>
          </cell>
          <cell r="K115">
            <v>206887.88</v>
          </cell>
        </row>
        <row r="116">
          <cell r="A116">
            <v>11.100000381469727</v>
          </cell>
          <cell r="K116">
            <v>206765.33</v>
          </cell>
        </row>
        <row r="117">
          <cell r="A117">
            <v>11.199999809265137</v>
          </cell>
          <cell r="K117">
            <v>206642.78</v>
          </cell>
        </row>
        <row r="118">
          <cell r="A118">
            <v>11.300000190734863</v>
          </cell>
          <cell r="K118">
            <v>206520.23</v>
          </cell>
        </row>
        <row r="119">
          <cell r="A119">
            <v>11.40000057220459</v>
          </cell>
          <cell r="K119">
            <v>206397.67</v>
          </cell>
        </row>
        <row r="120">
          <cell r="A120">
            <v>11.5</v>
          </cell>
          <cell r="K120">
            <v>206275.12</v>
          </cell>
        </row>
        <row r="121">
          <cell r="A121">
            <v>11.600000381469727</v>
          </cell>
          <cell r="K121">
            <v>206152.57</v>
          </cell>
        </row>
        <row r="122">
          <cell r="A122">
            <v>11.699999809265137</v>
          </cell>
          <cell r="K122">
            <v>206030.02</v>
          </cell>
        </row>
        <row r="123">
          <cell r="A123">
            <v>11.800000190734863</v>
          </cell>
          <cell r="K123">
            <v>205907.47</v>
          </cell>
        </row>
        <row r="124">
          <cell r="A124">
            <v>11.90000057220459</v>
          </cell>
          <cell r="K124">
            <v>205784.91</v>
          </cell>
        </row>
        <row r="125">
          <cell r="A125">
            <v>12</v>
          </cell>
          <cell r="K125">
            <v>205662.36</v>
          </cell>
        </row>
        <row r="126">
          <cell r="A126">
            <v>12.100000381469727</v>
          </cell>
          <cell r="K126">
            <v>205539.81</v>
          </cell>
        </row>
        <row r="127">
          <cell r="A127">
            <v>12.199999809265137</v>
          </cell>
          <cell r="K127">
            <v>205417.26</v>
          </cell>
        </row>
        <row r="128">
          <cell r="A128">
            <v>12.300000190734863</v>
          </cell>
          <cell r="K128">
            <v>205294.7</v>
          </cell>
        </row>
        <row r="129">
          <cell r="A129">
            <v>12.40000057220459</v>
          </cell>
          <cell r="K129">
            <v>205172.15</v>
          </cell>
        </row>
        <row r="130">
          <cell r="A130">
            <v>12.5</v>
          </cell>
          <cell r="K130">
            <v>205049.60000000001</v>
          </cell>
        </row>
        <row r="131">
          <cell r="A131">
            <v>12.600000381469727</v>
          </cell>
          <cell r="K131">
            <v>204927.05</v>
          </cell>
        </row>
        <row r="132">
          <cell r="A132">
            <v>12.699999809265137</v>
          </cell>
          <cell r="K132">
            <v>204804.49</v>
          </cell>
        </row>
        <row r="133">
          <cell r="A133">
            <v>12.800000190734863</v>
          </cell>
          <cell r="K133">
            <v>204681.94</v>
          </cell>
        </row>
        <row r="134">
          <cell r="A134">
            <v>12.90000057220459</v>
          </cell>
          <cell r="K134">
            <v>204559.39</v>
          </cell>
        </row>
        <row r="135">
          <cell r="A135">
            <v>13</v>
          </cell>
          <cell r="K135">
            <v>204436.84</v>
          </cell>
        </row>
        <row r="136">
          <cell r="A136">
            <v>13.100000381469727</v>
          </cell>
          <cell r="K136">
            <v>204314.28</v>
          </cell>
        </row>
        <row r="137">
          <cell r="A137">
            <v>13.199999809265137</v>
          </cell>
          <cell r="K137">
            <v>204191.73</v>
          </cell>
        </row>
        <row r="138">
          <cell r="A138">
            <v>13.300000190734863</v>
          </cell>
          <cell r="K138">
            <v>204069.18</v>
          </cell>
        </row>
        <row r="139">
          <cell r="A139">
            <v>13.40000057220459</v>
          </cell>
          <cell r="K139">
            <v>203946.63</v>
          </cell>
        </row>
        <row r="140">
          <cell r="A140">
            <v>13.5</v>
          </cell>
          <cell r="K140">
            <v>203824.07</v>
          </cell>
        </row>
        <row r="141">
          <cell r="A141">
            <v>13.600000381469727</v>
          </cell>
          <cell r="K141">
            <v>203701.52</v>
          </cell>
        </row>
        <row r="142">
          <cell r="A142">
            <v>13.699999809265137</v>
          </cell>
          <cell r="K142">
            <v>203578.97</v>
          </cell>
        </row>
        <row r="143">
          <cell r="A143">
            <v>13.800000190734863</v>
          </cell>
          <cell r="K143">
            <v>203456.42</v>
          </cell>
        </row>
        <row r="144">
          <cell r="A144">
            <v>13.90000057220459</v>
          </cell>
          <cell r="K144">
            <v>203333.86</v>
          </cell>
        </row>
        <row r="145">
          <cell r="A145">
            <v>14</v>
          </cell>
          <cell r="K145">
            <v>203211.31</v>
          </cell>
        </row>
        <row r="146">
          <cell r="A146">
            <v>14.100000381469727</v>
          </cell>
          <cell r="K146">
            <v>203088.76</v>
          </cell>
        </row>
        <row r="147">
          <cell r="A147">
            <v>14.199999809265137</v>
          </cell>
          <cell r="K147">
            <v>202966.21</v>
          </cell>
        </row>
        <row r="148">
          <cell r="A148">
            <v>14.300000190734863</v>
          </cell>
          <cell r="K148">
            <v>202843.65</v>
          </cell>
        </row>
        <row r="149">
          <cell r="A149">
            <v>14.40000057220459</v>
          </cell>
          <cell r="K149">
            <v>202721.1</v>
          </cell>
        </row>
        <row r="150">
          <cell r="A150">
            <v>14.5</v>
          </cell>
          <cell r="K150">
            <v>202598.55</v>
          </cell>
        </row>
        <row r="151">
          <cell r="A151">
            <v>14.600000381469727</v>
          </cell>
          <cell r="K151">
            <v>202476</v>
          </cell>
        </row>
        <row r="152">
          <cell r="A152">
            <v>14.699999809265137</v>
          </cell>
          <cell r="K152">
            <v>202353.45</v>
          </cell>
        </row>
        <row r="153">
          <cell r="A153">
            <v>14.800000190734863</v>
          </cell>
          <cell r="K153">
            <v>202230.89</v>
          </cell>
        </row>
        <row r="154">
          <cell r="A154">
            <v>14.90000057220459</v>
          </cell>
          <cell r="K154">
            <v>202108.34</v>
          </cell>
        </row>
        <row r="155">
          <cell r="A155">
            <v>15</v>
          </cell>
          <cell r="K155">
            <v>201985.79</v>
          </cell>
        </row>
        <row r="156">
          <cell r="A156">
            <v>15.100000381469727</v>
          </cell>
          <cell r="K156">
            <v>201863.23</v>
          </cell>
        </row>
        <row r="157">
          <cell r="A157">
            <v>15.199999809265137</v>
          </cell>
          <cell r="K157">
            <v>201740.68</v>
          </cell>
        </row>
        <row r="158">
          <cell r="A158">
            <v>15.300000190734863</v>
          </cell>
          <cell r="K158">
            <v>201618.13</v>
          </cell>
        </row>
        <row r="159">
          <cell r="A159">
            <v>15.40000057220459</v>
          </cell>
          <cell r="K159">
            <v>201495.58</v>
          </cell>
        </row>
        <row r="160">
          <cell r="A160">
            <v>15.5</v>
          </cell>
          <cell r="K160">
            <v>201373.03</v>
          </cell>
        </row>
        <row r="161">
          <cell r="A161">
            <v>15.600000381469727</v>
          </cell>
          <cell r="K161">
            <v>201250.47</v>
          </cell>
        </row>
        <row r="162">
          <cell r="A162">
            <v>15.699999809265137</v>
          </cell>
          <cell r="K162">
            <v>201127.92</v>
          </cell>
        </row>
        <row r="163">
          <cell r="A163">
            <v>15.800000190734863</v>
          </cell>
          <cell r="K163">
            <v>201005.37</v>
          </cell>
        </row>
        <row r="164">
          <cell r="A164">
            <v>15.90000057220459</v>
          </cell>
          <cell r="K164">
            <v>200882.81</v>
          </cell>
        </row>
        <row r="165">
          <cell r="A165">
            <v>16</v>
          </cell>
          <cell r="K165">
            <v>200760.26</v>
          </cell>
        </row>
        <row r="166">
          <cell r="A166">
            <v>16.100000381469727</v>
          </cell>
          <cell r="K166">
            <v>200637.71</v>
          </cell>
        </row>
        <row r="167">
          <cell r="A167">
            <v>16.200000762939453</v>
          </cell>
          <cell r="K167">
            <v>200515.16</v>
          </cell>
        </row>
        <row r="168">
          <cell r="A168">
            <v>16.30000114440918</v>
          </cell>
          <cell r="K168">
            <v>200392.6</v>
          </cell>
        </row>
        <row r="169">
          <cell r="A169">
            <v>16.399999618530273</v>
          </cell>
          <cell r="K169">
            <v>200270.05</v>
          </cell>
        </row>
        <row r="170">
          <cell r="A170">
            <v>16.5</v>
          </cell>
          <cell r="K170">
            <v>200147.5</v>
          </cell>
        </row>
        <row r="171">
          <cell r="A171">
            <v>16.600000381469727</v>
          </cell>
          <cell r="K171">
            <v>200024.95</v>
          </cell>
        </row>
        <row r="172">
          <cell r="A172">
            <v>16.700000762939453</v>
          </cell>
          <cell r="K172">
            <v>199902.4</v>
          </cell>
        </row>
        <row r="173">
          <cell r="A173">
            <v>16.80000114440918</v>
          </cell>
          <cell r="K173">
            <v>199779.84</v>
          </cell>
        </row>
        <row r="174">
          <cell r="A174">
            <v>16.899999618530273</v>
          </cell>
          <cell r="K174">
            <v>199657.29</v>
          </cell>
        </row>
        <row r="175">
          <cell r="A175">
            <v>17</v>
          </cell>
          <cell r="K175">
            <v>199534.74</v>
          </cell>
        </row>
        <row r="176">
          <cell r="A176">
            <v>17.100000381469727</v>
          </cell>
          <cell r="K176">
            <v>199412.19</v>
          </cell>
        </row>
        <row r="177">
          <cell r="A177">
            <v>17.200000762939453</v>
          </cell>
          <cell r="K177">
            <v>199289.63</v>
          </cell>
        </row>
        <row r="178">
          <cell r="A178">
            <v>17.30000114440918</v>
          </cell>
          <cell r="K178">
            <v>199167.08</v>
          </cell>
        </row>
        <row r="179">
          <cell r="A179">
            <v>17.399999618530273</v>
          </cell>
          <cell r="K179">
            <v>199044.53</v>
          </cell>
        </row>
        <row r="180">
          <cell r="A180">
            <v>17.5</v>
          </cell>
          <cell r="K180">
            <v>198921.98</v>
          </cell>
        </row>
        <row r="181">
          <cell r="A181">
            <v>17.600000381469727</v>
          </cell>
          <cell r="K181">
            <v>198799.42</v>
          </cell>
        </row>
        <row r="182">
          <cell r="A182">
            <v>17.700000762939453</v>
          </cell>
          <cell r="K182">
            <v>198676.87</v>
          </cell>
        </row>
        <row r="183">
          <cell r="A183">
            <v>17.80000114440918</v>
          </cell>
          <cell r="K183">
            <v>198554.32</v>
          </cell>
        </row>
        <row r="184">
          <cell r="A184">
            <v>17.899999618530273</v>
          </cell>
          <cell r="K184">
            <v>198431.77</v>
          </cell>
        </row>
        <row r="185">
          <cell r="A185">
            <v>18</v>
          </cell>
          <cell r="K185">
            <v>198309.21</v>
          </cell>
        </row>
        <row r="186">
          <cell r="A186">
            <v>18.100000381469727</v>
          </cell>
          <cell r="K186">
            <v>198186.66</v>
          </cell>
        </row>
        <row r="187">
          <cell r="A187">
            <v>18.200000762939453</v>
          </cell>
          <cell r="K187">
            <v>198064.11</v>
          </cell>
        </row>
        <row r="188">
          <cell r="A188">
            <v>18.30000114440918</v>
          </cell>
          <cell r="K188">
            <v>197941.56</v>
          </cell>
        </row>
        <row r="189">
          <cell r="A189">
            <v>18.399999618530273</v>
          </cell>
          <cell r="K189">
            <v>197819.01</v>
          </cell>
        </row>
        <row r="190">
          <cell r="A190">
            <v>18.5</v>
          </cell>
          <cell r="K190">
            <v>197696.45</v>
          </cell>
        </row>
        <row r="191">
          <cell r="A191">
            <v>18.600000381469727</v>
          </cell>
          <cell r="K191">
            <v>197573.9</v>
          </cell>
        </row>
        <row r="192">
          <cell r="A192">
            <v>18.700000762939453</v>
          </cell>
          <cell r="K192">
            <v>197451.35</v>
          </cell>
        </row>
        <row r="193">
          <cell r="A193">
            <v>18.80000114440918</v>
          </cell>
          <cell r="K193">
            <v>197328.79</v>
          </cell>
        </row>
        <row r="194">
          <cell r="A194">
            <v>18.899999618530273</v>
          </cell>
          <cell r="K194">
            <v>197206.24</v>
          </cell>
        </row>
        <row r="195">
          <cell r="A195">
            <v>19</v>
          </cell>
          <cell r="K195">
            <v>197083.69</v>
          </cell>
        </row>
        <row r="196">
          <cell r="A196">
            <v>19.100000381469727</v>
          </cell>
          <cell r="K196">
            <v>196961.14</v>
          </cell>
        </row>
        <row r="197">
          <cell r="A197">
            <v>19.200000762939453</v>
          </cell>
          <cell r="K197">
            <v>196838.58</v>
          </cell>
        </row>
        <row r="198">
          <cell r="A198">
            <v>19.30000114440918</v>
          </cell>
          <cell r="K198">
            <v>196716.03</v>
          </cell>
        </row>
        <row r="199">
          <cell r="A199">
            <v>19.399999618530273</v>
          </cell>
          <cell r="K199">
            <v>196593.48</v>
          </cell>
        </row>
        <row r="200">
          <cell r="A200">
            <v>19.5</v>
          </cell>
          <cell r="K200">
            <v>196470.93</v>
          </cell>
        </row>
        <row r="201">
          <cell r="A201">
            <v>19.600000381469727</v>
          </cell>
          <cell r="K201">
            <v>196348.38</v>
          </cell>
        </row>
        <row r="202">
          <cell r="A202">
            <v>19.700000762939453</v>
          </cell>
          <cell r="K202">
            <v>196225.82</v>
          </cell>
        </row>
        <row r="203">
          <cell r="A203">
            <v>19.80000114440918</v>
          </cell>
          <cell r="K203">
            <v>196103.27</v>
          </cell>
        </row>
        <row r="204">
          <cell r="A204">
            <v>19.899999618530273</v>
          </cell>
          <cell r="K204">
            <v>195980.72</v>
          </cell>
        </row>
        <row r="205">
          <cell r="A205">
            <v>20</v>
          </cell>
          <cell r="K205">
            <v>195858.17</v>
          </cell>
        </row>
        <row r="206">
          <cell r="A206">
            <v>20.100000381469727</v>
          </cell>
          <cell r="K206">
            <v>195735.61</v>
          </cell>
        </row>
        <row r="207">
          <cell r="A207">
            <v>20.200000762939453</v>
          </cell>
          <cell r="K207">
            <v>195613.06</v>
          </cell>
        </row>
        <row r="208">
          <cell r="A208">
            <v>20.30000114440918</v>
          </cell>
          <cell r="K208">
            <v>195490.51</v>
          </cell>
        </row>
        <row r="209">
          <cell r="A209">
            <v>20.399999618530273</v>
          </cell>
          <cell r="K209">
            <v>195367.96</v>
          </cell>
        </row>
        <row r="210">
          <cell r="A210">
            <v>20.5</v>
          </cell>
          <cell r="K210">
            <v>195245.4</v>
          </cell>
        </row>
        <row r="211">
          <cell r="A211">
            <v>20.600000381469727</v>
          </cell>
          <cell r="K211">
            <v>195122.85</v>
          </cell>
        </row>
        <row r="212">
          <cell r="A212">
            <v>20.700000762939453</v>
          </cell>
          <cell r="K212">
            <v>195000.3</v>
          </cell>
        </row>
        <row r="213">
          <cell r="A213">
            <v>20.80000114440918</v>
          </cell>
          <cell r="K213">
            <v>194877.74</v>
          </cell>
        </row>
        <row r="214">
          <cell r="A214">
            <v>20.899999618530273</v>
          </cell>
          <cell r="K214">
            <v>194755.19</v>
          </cell>
        </row>
        <row r="215">
          <cell r="A215">
            <v>21</v>
          </cell>
          <cell r="K215">
            <v>194632.64</v>
          </cell>
        </row>
        <row r="216">
          <cell r="A216">
            <v>21.100000381469727</v>
          </cell>
          <cell r="K216">
            <v>194510.09</v>
          </cell>
        </row>
        <row r="217">
          <cell r="A217">
            <v>21.200000762939453</v>
          </cell>
          <cell r="K217">
            <v>194387.54</v>
          </cell>
        </row>
        <row r="218">
          <cell r="A218">
            <v>21.30000114440918</v>
          </cell>
          <cell r="K218">
            <v>194264.98</v>
          </cell>
        </row>
        <row r="219">
          <cell r="A219">
            <v>21.399999618530273</v>
          </cell>
          <cell r="K219">
            <v>194142.43</v>
          </cell>
        </row>
        <row r="220">
          <cell r="A220">
            <v>21.5</v>
          </cell>
          <cell r="K220">
            <v>194019.88</v>
          </cell>
        </row>
        <row r="221">
          <cell r="A221">
            <v>21.600000381469727</v>
          </cell>
          <cell r="K221">
            <v>193897.33</v>
          </cell>
        </row>
        <row r="222">
          <cell r="A222">
            <v>21.700000762939453</v>
          </cell>
          <cell r="K222">
            <v>193774.77</v>
          </cell>
        </row>
        <row r="223">
          <cell r="A223">
            <v>21.80000114440918</v>
          </cell>
          <cell r="K223">
            <v>193652.22</v>
          </cell>
        </row>
        <row r="224">
          <cell r="A224">
            <v>21.899999618530273</v>
          </cell>
          <cell r="K224">
            <v>193529.67</v>
          </cell>
        </row>
        <row r="225">
          <cell r="A225">
            <v>22</v>
          </cell>
          <cell r="K225">
            <v>193407.12</v>
          </cell>
        </row>
        <row r="226">
          <cell r="A226">
            <v>22.100000381469727</v>
          </cell>
          <cell r="K226">
            <v>193284.56</v>
          </cell>
        </row>
        <row r="227">
          <cell r="A227">
            <v>22.200000762939453</v>
          </cell>
          <cell r="K227">
            <v>193162.01</v>
          </cell>
        </row>
        <row r="228">
          <cell r="A228">
            <v>22.30000114440918</v>
          </cell>
          <cell r="K228">
            <v>193039.46</v>
          </cell>
        </row>
        <row r="229">
          <cell r="A229">
            <v>22.399999618530273</v>
          </cell>
          <cell r="K229">
            <v>192916.91</v>
          </cell>
        </row>
        <row r="230">
          <cell r="A230">
            <v>22.5</v>
          </cell>
          <cell r="K230">
            <v>192794.35</v>
          </cell>
        </row>
        <row r="231">
          <cell r="A231">
            <v>22.600000381469727</v>
          </cell>
          <cell r="K231">
            <v>192671.8</v>
          </cell>
        </row>
        <row r="232">
          <cell r="A232">
            <v>22.700000762939453</v>
          </cell>
          <cell r="K232">
            <v>192549.25</v>
          </cell>
        </row>
        <row r="233">
          <cell r="A233">
            <v>22.80000114440918</v>
          </cell>
          <cell r="K233">
            <v>192426.7</v>
          </cell>
        </row>
        <row r="234">
          <cell r="A234">
            <v>22.899999618530273</v>
          </cell>
          <cell r="K234">
            <v>192304.15</v>
          </cell>
        </row>
        <row r="235">
          <cell r="A235">
            <v>23</v>
          </cell>
          <cell r="K235">
            <v>192181.59</v>
          </cell>
        </row>
        <row r="236">
          <cell r="A236">
            <v>23.100000381469727</v>
          </cell>
          <cell r="K236">
            <v>192059.04</v>
          </cell>
        </row>
        <row r="237">
          <cell r="A237">
            <v>23.200000762939453</v>
          </cell>
          <cell r="K237">
            <v>191936.49</v>
          </cell>
        </row>
        <row r="238">
          <cell r="A238">
            <v>23.30000114440918</v>
          </cell>
          <cell r="K238">
            <v>191813.93</v>
          </cell>
        </row>
        <row r="239">
          <cell r="A239">
            <v>23.399999618530273</v>
          </cell>
          <cell r="K239">
            <v>191691.38</v>
          </cell>
        </row>
        <row r="240">
          <cell r="A240">
            <v>23.5</v>
          </cell>
          <cell r="K240">
            <v>191568.83</v>
          </cell>
        </row>
        <row r="241">
          <cell r="A241">
            <v>23.600000381469727</v>
          </cell>
          <cell r="K241">
            <v>191446.28</v>
          </cell>
        </row>
        <row r="242">
          <cell r="A242">
            <v>23.700000762939453</v>
          </cell>
          <cell r="K242">
            <v>191323.72</v>
          </cell>
        </row>
        <row r="243">
          <cell r="A243">
            <v>23.80000114440918</v>
          </cell>
          <cell r="K243">
            <v>191201.17</v>
          </cell>
        </row>
        <row r="244">
          <cell r="A244">
            <v>23.899999618530273</v>
          </cell>
          <cell r="K244">
            <v>191078.62</v>
          </cell>
        </row>
        <row r="245">
          <cell r="A245">
            <v>24</v>
          </cell>
          <cell r="K245">
            <v>190956.07</v>
          </cell>
        </row>
        <row r="246">
          <cell r="A246">
            <v>24.100000381469727</v>
          </cell>
          <cell r="K246">
            <v>190833.52</v>
          </cell>
        </row>
        <row r="247">
          <cell r="A247">
            <v>24.200000762939453</v>
          </cell>
          <cell r="K247">
            <v>190710.96</v>
          </cell>
        </row>
        <row r="248">
          <cell r="A248">
            <v>24.30000114440918</v>
          </cell>
          <cell r="K248">
            <v>190588.41</v>
          </cell>
        </row>
        <row r="249">
          <cell r="A249">
            <v>24.399999618530273</v>
          </cell>
          <cell r="K249">
            <v>190465.86</v>
          </cell>
        </row>
        <row r="250">
          <cell r="A250">
            <v>24.5</v>
          </cell>
          <cell r="K250">
            <v>190343.31</v>
          </cell>
        </row>
        <row r="251">
          <cell r="A251">
            <v>24.600000381469727</v>
          </cell>
          <cell r="K251">
            <v>190220.75</v>
          </cell>
        </row>
        <row r="252">
          <cell r="A252">
            <v>24.700000762939453</v>
          </cell>
          <cell r="K252">
            <v>190098.2</v>
          </cell>
        </row>
        <row r="253">
          <cell r="A253">
            <v>24.80000114440918</v>
          </cell>
          <cell r="K253">
            <v>189975.65</v>
          </cell>
        </row>
        <row r="254">
          <cell r="A254">
            <v>24.899999618530273</v>
          </cell>
          <cell r="K254">
            <v>189853.1</v>
          </cell>
        </row>
        <row r="255">
          <cell r="A255">
            <v>25</v>
          </cell>
          <cell r="K255">
            <v>189730.54</v>
          </cell>
        </row>
        <row r="256">
          <cell r="A256">
            <v>25.100000381469727</v>
          </cell>
          <cell r="K256">
            <v>189607.99</v>
          </cell>
        </row>
        <row r="257">
          <cell r="A257">
            <v>25.200000762939453</v>
          </cell>
          <cell r="K257">
            <v>189485.44</v>
          </cell>
        </row>
        <row r="258">
          <cell r="A258">
            <v>25.30000114440918</v>
          </cell>
          <cell r="K258">
            <v>189362.89</v>
          </cell>
        </row>
        <row r="259">
          <cell r="A259">
            <v>25.399999618530273</v>
          </cell>
          <cell r="K259">
            <v>189240.33</v>
          </cell>
        </row>
        <row r="260">
          <cell r="A260">
            <v>25.5</v>
          </cell>
          <cell r="K260">
            <v>189117.78</v>
          </cell>
        </row>
        <row r="261">
          <cell r="A261">
            <v>25.600000381469727</v>
          </cell>
          <cell r="K261">
            <v>188995.23</v>
          </cell>
        </row>
        <row r="262">
          <cell r="A262">
            <v>25.700000762939453</v>
          </cell>
          <cell r="K262">
            <v>188872.68</v>
          </cell>
        </row>
        <row r="263">
          <cell r="A263">
            <v>25.80000114440918</v>
          </cell>
          <cell r="K263">
            <v>188750.12</v>
          </cell>
        </row>
        <row r="264">
          <cell r="A264">
            <v>25.899999618530273</v>
          </cell>
          <cell r="K264">
            <v>188627.57</v>
          </cell>
        </row>
        <row r="265">
          <cell r="A265">
            <v>26</v>
          </cell>
          <cell r="K265">
            <v>188505.02</v>
          </cell>
        </row>
        <row r="266">
          <cell r="A266">
            <v>26.100000381469727</v>
          </cell>
          <cell r="K266">
            <v>188382.47</v>
          </cell>
        </row>
        <row r="267">
          <cell r="A267">
            <v>26.200000762939453</v>
          </cell>
          <cell r="K267">
            <v>188259.91</v>
          </cell>
        </row>
        <row r="268">
          <cell r="A268">
            <v>26.30000114440918</v>
          </cell>
          <cell r="K268">
            <v>188137.36</v>
          </cell>
        </row>
        <row r="269">
          <cell r="A269">
            <v>26.399999618530273</v>
          </cell>
          <cell r="K269">
            <v>188014.81</v>
          </cell>
        </row>
        <row r="270">
          <cell r="A270">
            <v>26.5</v>
          </cell>
          <cell r="K270">
            <v>187892.26</v>
          </cell>
        </row>
        <row r="271">
          <cell r="A271">
            <v>26.600000381469727</v>
          </cell>
          <cell r="K271">
            <v>187769.7</v>
          </cell>
        </row>
        <row r="272">
          <cell r="A272">
            <v>26.700000762939453</v>
          </cell>
          <cell r="K272">
            <v>187647.15</v>
          </cell>
        </row>
        <row r="273">
          <cell r="A273">
            <v>26.80000114440918</v>
          </cell>
          <cell r="K273">
            <v>187524.6</v>
          </cell>
        </row>
        <row r="274">
          <cell r="A274">
            <v>26.899999618530273</v>
          </cell>
          <cell r="K274">
            <v>187402.05</v>
          </cell>
        </row>
        <row r="275">
          <cell r="A275">
            <v>27</v>
          </cell>
          <cell r="K275">
            <v>187279.5</v>
          </cell>
        </row>
        <row r="276">
          <cell r="A276">
            <v>27.100000381469727</v>
          </cell>
          <cell r="K276">
            <v>187156.94</v>
          </cell>
        </row>
        <row r="277">
          <cell r="A277">
            <v>27.200000762939453</v>
          </cell>
          <cell r="K277">
            <v>187034.39</v>
          </cell>
        </row>
        <row r="278">
          <cell r="A278">
            <v>27.30000114440918</v>
          </cell>
          <cell r="K278">
            <v>186911.84</v>
          </cell>
        </row>
        <row r="279">
          <cell r="A279">
            <v>27.399999618530273</v>
          </cell>
          <cell r="K279">
            <v>186789.29</v>
          </cell>
        </row>
        <row r="280">
          <cell r="A280">
            <v>27.5</v>
          </cell>
          <cell r="K280">
            <v>186666.73</v>
          </cell>
        </row>
        <row r="281">
          <cell r="A281">
            <v>27.600000381469727</v>
          </cell>
          <cell r="K281">
            <v>186544.18</v>
          </cell>
        </row>
        <row r="282">
          <cell r="A282">
            <v>27.700000762939453</v>
          </cell>
          <cell r="K282">
            <v>186421.63</v>
          </cell>
        </row>
        <row r="283">
          <cell r="A283">
            <v>27.80000114440918</v>
          </cell>
          <cell r="K283">
            <v>186299.07</v>
          </cell>
        </row>
        <row r="284">
          <cell r="A284">
            <v>27.899999618530273</v>
          </cell>
          <cell r="K284">
            <v>186176.52</v>
          </cell>
        </row>
        <row r="285">
          <cell r="A285">
            <v>28</v>
          </cell>
          <cell r="K285">
            <v>186053.97</v>
          </cell>
        </row>
        <row r="286">
          <cell r="A286">
            <v>28.100000381469727</v>
          </cell>
          <cell r="K286">
            <v>185931.42</v>
          </cell>
        </row>
        <row r="287">
          <cell r="A287">
            <v>28.200000762939453</v>
          </cell>
          <cell r="K287">
            <v>185808.87</v>
          </cell>
        </row>
        <row r="288">
          <cell r="A288">
            <v>28.30000114440918</v>
          </cell>
          <cell r="K288">
            <v>185686.31</v>
          </cell>
        </row>
        <row r="289">
          <cell r="A289">
            <v>28.399999618530273</v>
          </cell>
          <cell r="K289">
            <v>185563.76</v>
          </cell>
        </row>
        <row r="290">
          <cell r="A290">
            <v>28.5</v>
          </cell>
          <cell r="K290">
            <v>185441.21</v>
          </cell>
        </row>
        <row r="291">
          <cell r="A291">
            <v>28.600000381469727</v>
          </cell>
          <cell r="K291">
            <v>185318.66</v>
          </cell>
        </row>
        <row r="292">
          <cell r="A292">
            <v>28.700000762939453</v>
          </cell>
          <cell r="K292">
            <v>185218.88</v>
          </cell>
        </row>
        <row r="293">
          <cell r="A293">
            <v>28.80000114440918</v>
          </cell>
          <cell r="K293">
            <v>185120.76</v>
          </cell>
        </row>
        <row r="294">
          <cell r="A294">
            <v>28.899999618530273</v>
          </cell>
          <cell r="K294">
            <v>185022.64</v>
          </cell>
        </row>
        <row r="295">
          <cell r="A295">
            <v>29</v>
          </cell>
          <cell r="K295">
            <v>184924.52</v>
          </cell>
        </row>
        <row r="296">
          <cell r="A296">
            <v>29.100000381469727</v>
          </cell>
          <cell r="K296">
            <v>184826.4</v>
          </cell>
        </row>
        <row r="297">
          <cell r="A297">
            <v>29.200000762939453</v>
          </cell>
          <cell r="K297">
            <v>184728.28</v>
          </cell>
        </row>
        <row r="298">
          <cell r="A298">
            <v>29.30000114440918</v>
          </cell>
          <cell r="K298">
            <v>184630.16</v>
          </cell>
        </row>
        <row r="299">
          <cell r="A299">
            <v>29.399999618530273</v>
          </cell>
          <cell r="K299">
            <v>184532.04</v>
          </cell>
        </row>
        <row r="300">
          <cell r="A300">
            <v>29.5</v>
          </cell>
          <cell r="K300">
            <v>184436.59</v>
          </cell>
        </row>
        <row r="301">
          <cell r="A301">
            <v>29.600000381469727</v>
          </cell>
          <cell r="K301">
            <v>184341.55</v>
          </cell>
        </row>
        <row r="302">
          <cell r="A302">
            <v>29.700000762939453</v>
          </cell>
          <cell r="K302">
            <v>184246.51</v>
          </cell>
        </row>
        <row r="303">
          <cell r="A303">
            <v>29.80000114440918</v>
          </cell>
          <cell r="K303">
            <v>184151.46</v>
          </cell>
        </row>
        <row r="304">
          <cell r="A304">
            <v>29.899999618530273</v>
          </cell>
          <cell r="K304">
            <v>184056.42</v>
          </cell>
        </row>
        <row r="305">
          <cell r="A305">
            <v>30</v>
          </cell>
          <cell r="K305">
            <v>183961.38</v>
          </cell>
        </row>
        <row r="306">
          <cell r="A306">
            <v>30.100000381469727</v>
          </cell>
          <cell r="K306">
            <v>183866.34</v>
          </cell>
        </row>
        <row r="307">
          <cell r="A307">
            <v>30.200000762939453</v>
          </cell>
          <cell r="K307">
            <v>183771.3</v>
          </cell>
        </row>
        <row r="308">
          <cell r="A308">
            <v>30.30000114440918</v>
          </cell>
          <cell r="K308">
            <v>183676.25</v>
          </cell>
        </row>
        <row r="309">
          <cell r="A309">
            <v>30.399999618530273</v>
          </cell>
          <cell r="K309">
            <v>183581.21</v>
          </cell>
        </row>
        <row r="310">
          <cell r="A310">
            <v>30.5</v>
          </cell>
          <cell r="K310">
            <v>183486.17</v>
          </cell>
        </row>
        <row r="311">
          <cell r="A311">
            <v>30.600000381469727</v>
          </cell>
          <cell r="K311">
            <v>183391.13</v>
          </cell>
        </row>
        <row r="312">
          <cell r="A312">
            <v>30.700000762939453</v>
          </cell>
          <cell r="K312">
            <v>183296.09</v>
          </cell>
        </row>
        <row r="313">
          <cell r="A313">
            <v>30.80000114440918</v>
          </cell>
          <cell r="K313">
            <v>183201.04</v>
          </cell>
        </row>
        <row r="314">
          <cell r="A314">
            <v>30.899999618530273</v>
          </cell>
          <cell r="K314">
            <v>183150.34</v>
          </cell>
        </row>
        <row r="315">
          <cell r="A315">
            <v>31</v>
          </cell>
          <cell r="K315">
            <v>183135.11</v>
          </cell>
        </row>
        <row r="316">
          <cell r="A316">
            <v>31.100000381469727</v>
          </cell>
          <cell r="K316">
            <v>183135.11</v>
          </cell>
        </row>
        <row r="317">
          <cell r="A317">
            <v>31.200000762939453</v>
          </cell>
          <cell r="K317">
            <v>183135.11</v>
          </cell>
        </row>
        <row r="318">
          <cell r="A318">
            <v>31.30000114440918</v>
          </cell>
          <cell r="K318">
            <v>183135.11</v>
          </cell>
        </row>
        <row r="319">
          <cell r="A319">
            <v>31.399999618530273</v>
          </cell>
          <cell r="K319">
            <v>183135.11</v>
          </cell>
        </row>
        <row r="320">
          <cell r="A320">
            <v>31.5</v>
          </cell>
          <cell r="K320">
            <v>183135.11</v>
          </cell>
        </row>
        <row r="321">
          <cell r="A321">
            <v>31.600000381469727</v>
          </cell>
          <cell r="K321">
            <v>183135.11</v>
          </cell>
        </row>
        <row r="322">
          <cell r="A322">
            <v>31.700000762939453</v>
          </cell>
          <cell r="K322">
            <v>183135.11</v>
          </cell>
        </row>
        <row r="323">
          <cell r="A323">
            <v>31.80000114440918</v>
          </cell>
          <cell r="K323">
            <v>183135.11</v>
          </cell>
        </row>
        <row r="324">
          <cell r="A324">
            <v>31.899999618530273</v>
          </cell>
          <cell r="K324">
            <v>183135.11</v>
          </cell>
        </row>
        <row r="325">
          <cell r="A325">
            <v>32</v>
          </cell>
          <cell r="K325">
            <v>183135.11</v>
          </cell>
        </row>
        <row r="326">
          <cell r="A326">
            <v>32.100002288818359</v>
          </cell>
          <cell r="K326">
            <v>183135.11</v>
          </cell>
        </row>
        <row r="327">
          <cell r="A327">
            <v>32.200000762939453</v>
          </cell>
          <cell r="K327">
            <v>183135.11</v>
          </cell>
        </row>
        <row r="328">
          <cell r="A328">
            <v>32.299999237060547</v>
          </cell>
          <cell r="K328">
            <v>183135.11</v>
          </cell>
        </row>
        <row r="329">
          <cell r="A329">
            <v>32.400001525878906</v>
          </cell>
          <cell r="K329">
            <v>183135.11</v>
          </cell>
        </row>
        <row r="330">
          <cell r="A330">
            <v>32.5</v>
          </cell>
          <cell r="K330">
            <v>183135.11</v>
          </cell>
        </row>
        <row r="331">
          <cell r="A331">
            <v>32.600002288818359</v>
          </cell>
          <cell r="K331">
            <v>183135.11</v>
          </cell>
        </row>
        <row r="332">
          <cell r="A332">
            <v>32.700000762939453</v>
          </cell>
          <cell r="K332">
            <v>183135.11</v>
          </cell>
        </row>
        <row r="333">
          <cell r="A333">
            <v>32.799999237060547</v>
          </cell>
          <cell r="K333">
            <v>183135.11</v>
          </cell>
        </row>
        <row r="334">
          <cell r="A334">
            <v>32.900001525878906</v>
          </cell>
          <cell r="K334">
            <v>183135.11</v>
          </cell>
        </row>
        <row r="335">
          <cell r="A335">
            <v>33</v>
          </cell>
          <cell r="K335">
            <v>183135.11</v>
          </cell>
        </row>
        <row r="336">
          <cell r="A336">
            <v>33.100002288818359</v>
          </cell>
          <cell r="K336">
            <v>183135.11</v>
          </cell>
        </row>
        <row r="337">
          <cell r="A337">
            <v>33.200000762939453</v>
          </cell>
          <cell r="K337">
            <v>183135.11</v>
          </cell>
        </row>
        <row r="338">
          <cell r="A338">
            <v>33.299999237060547</v>
          </cell>
          <cell r="K338">
            <v>183135.11</v>
          </cell>
        </row>
        <row r="339">
          <cell r="A339">
            <v>33.400001525878906</v>
          </cell>
          <cell r="K339">
            <v>183135.11</v>
          </cell>
        </row>
        <row r="340">
          <cell r="A340">
            <v>33.5</v>
          </cell>
          <cell r="K340">
            <v>183135.11</v>
          </cell>
        </row>
        <row r="341">
          <cell r="A341">
            <v>33.600002288818359</v>
          </cell>
          <cell r="K341">
            <v>183135.11</v>
          </cell>
        </row>
        <row r="342">
          <cell r="A342">
            <v>33.700000762939453</v>
          </cell>
          <cell r="K342">
            <v>183135.11</v>
          </cell>
        </row>
        <row r="343">
          <cell r="A343">
            <v>33.799999237060547</v>
          </cell>
          <cell r="K343">
            <v>183135.11</v>
          </cell>
        </row>
        <row r="344">
          <cell r="A344">
            <v>33.900001525878906</v>
          </cell>
          <cell r="K344">
            <v>183135.11</v>
          </cell>
        </row>
        <row r="345">
          <cell r="A345">
            <v>34</v>
          </cell>
          <cell r="K345">
            <v>183135.11</v>
          </cell>
        </row>
        <row r="346">
          <cell r="A346">
            <v>34.100002288818359</v>
          </cell>
          <cell r="K346">
            <v>183135.11</v>
          </cell>
        </row>
        <row r="347">
          <cell r="A347">
            <v>34.200000762939453</v>
          </cell>
          <cell r="K347">
            <v>183135.11</v>
          </cell>
        </row>
        <row r="348">
          <cell r="A348">
            <v>34.299999237060547</v>
          </cell>
          <cell r="K348">
            <v>183135.11</v>
          </cell>
        </row>
        <row r="349">
          <cell r="A349">
            <v>34.400001525878906</v>
          </cell>
          <cell r="K349">
            <v>183135.11</v>
          </cell>
        </row>
        <row r="350">
          <cell r="A350">
            <v>34.5</v>
          </cell>
          <cell r="K350">
            <v>183135.11</v>
          </cell>
        </row>
        <row r="351">
          <cell r="A351">
            <v>34.600002288818359</v>
          </cell>
          <cell r="K351">
            <v>183135.11</v>
          </cell>
        </row>
        <row r="352">
          <cell r="A352">
            <v>34.700000762939453</v>
          </cell>
          <cell r="K352">
            <v>183135.11</v>
          </cell>
        </row>
        <row r="353">
          <cell r="A353">
            <v>34.799999237060547</v>
          </cell>
          <cell r="K353">
            <v>183135.11</v>
          </cell>
        </row>
        <row r="354">
          <cell r="A354">
            <v>34.900001525878906</v>
          </cell>
          <cell r="K354">
            <v>183135.11</v>
          </cell>
        </row>
        <row r="355">
          <cell r="A355">
            <v>35</v>
          </cell>
          <cell r="K355">
            <v>183135.11</v>
          </cell>
        </row>
        <row r="356">
          <cell r="A356">
            <v>35.100002288818359</v>
          </cell>
          <cell r="K356">
            <v>183135.11</v>
          </cell>
        </row>
        <row r="357">
          <cell r="A357">
            <v>35.200000762939453</v>
          </cell>
          <cell r="K357">
            <v>183135.11</v>
          </cell>
        </row>
        <row r="358">
          <cell r="A358">
            <v>35.299999237060547</v>
          </cell>
          <cell r="K358">
            <v>183135.11</v>
          </cell>
        </row>
        <row r="359">
          <cell r="A359">
            <v>35.400001525878906</v>
          </cell>
          <cell r="K359">
            <v>183135.11</v>
          </cell>
        </row>
        <row r="360">
          <cell r="A360">
            <v>35.5</v>
          </cell>
          <cell r="K360">
            <v>183135.11</v>
          </cell>
        </row>
        <row r="361">
          <cell r="A361">
            <v>35.600002288818359</v>
          </cell>
          <cell r="K361">
            <v>183135.11</v>
          </cell>
        </row>
        <row r="362">
          <cell r="A362">
            <v>35.700000762939453</v>
          </cell>
          <cell r="K362">
            <v>183135.11</v>
          </cell>
        </row>
        <row r="363">
          <cell r="A363">
            <v>35.799999237060547</v>
          </cell>
          <cell r="K363">
            <v>183135.11</v>
          </cell>
        </row>
        <row r="364">
          <cell r="A364">
            <v>35.900001525878906</v>
          </cell>
          <cell r="K364">
            <v>183135.11</v>
          </cell>
        </row>
        <row r="365">
          <cell r="A365">
            <v>36</v>
          </cell>
          <cell r="K365">
            <v>183135.11</v>
          </cell>
        </row>
        <row r="366">
          <cell r="A366">
            <v>36.100002288818359</v>
          </cell>
          <cell r="K366">
            <v>183135.11</v>
          </cell>
        </row>
        <row r="367">
          <cell r="A367">
            <v>36.200000762939453</v>
          </cell>
          <cell r="K367">
            <v>183135.11</v>
          </cell>
        </row>
        <row r="368">
          <cell r="A368">
            <v>36.299999237060547</v>
          </cell>
          <cell r="K368">
            <v>183135.11</v>
          </cell>
        </row>
        <row r="369">
          <cell r="A369">
            <v>36.400001525878906</v>
          </cell>
          <cell r="K369">
            <v>183135.11</v>
          </cell>
        </row>
        <row r="370">
          <cell r="A370">
            <v>36.5</v>
          </cell>
          <cell r="K370">
            <v>183135.11</v>
          </cell>
        </row>
        <row r="371">
          <cell r="A371">
            <v>36.600002288818359</v>
          </cell>
          <cell r="K371">
            <v>183135.11</v>
          </cell>
        </row>
        <row r="372">
          <cell r="A372">
            <v>36.700000762939453</v>
          </cell>
          <cell r="K372">
            <v>183135.11</v>
          </cell>
        </row>
        <row r="373">
          <cell r="A373">
            <v>36.799999237060547</v>
          </cell>
          <cell r="K373">
            <v>183135.11</v>
          </cell>
        </row>
        <row r="374">
          <cell r="A374">
            <v>36.900001525878906</v>
          </cell>
          <cell r="K374">
            <v>183135.11</v>
          </cell>
        </row>
        <row r="375">
          <cell r="A375">
            <v>37</v>
          </cell>
          <cell r="K375">
            <v>183135.11</v>
          </cell>
        </row>
        <row r="376">
          <cell r="A376">
            <v>37.100002288818359</v>
          </cell>
          <cell r="K376">
            <v>183135.11</v>
          </cell>
        </row>
        <row r="377">
          <cell r="A377">
            <v>37.200000762939453</v>
          </cell>
          <cell r="K377">
            <v>183135.11</v>
          </cell>
        </row>
        <row r="378">
          <cell r="A378">
            <v>37.299999237060547</v>
          </cell>
          <cell r="K378">
            <v>183135.11</v>
          </cell>
        </row>
        <row r="379">
          <cell r="A379">
            <v>37.400001525878906</v>
          </cell>
          <cell r="K379">
            <v>183135.11</v>
          </cell>
        </row>
        <row r="380">
          <cell r="A380">
            <v>37.5</v>
          </cell>
          <cell r="K380">
            <v>183135.11</v>
          </cell>
        </row>
        <row r="381">
          <cell r="A381">
            <v>37.600002288818359</v>
          </cell>
          <cell r="K381">
            <v>183135.11</v>
          </cell>
        </row>
        <row r="382">
          <cell r="A382">
            <v>37.700000762939453</v>
          </cell>
          <cell r="K382">
            <v>183135.11</v>
          </cell>
        </row>
        <row r="383">
          <cell r="A383">
            <v>37.799999237060547</v>
          </cell>
          <cell r="K383">
            <v>183135.11</v>
          </cell>
        </row>
        <row r="384">
          <cell r="A384">
            <v>37.900001525878906</v>
          </cell>
          <cell r="K384">
            <v>183135.11</v>
          </cell>
        </row>
        <row r="385">
          <cell r="A385">
            <v>38</v>
          </cell>
          <cell r="K385">
            <v>183135.11</v>
          </cell>
        </row>
        <row r="386">
          <cell r="A386">
            <v>38.100002288818359</v>
          </cell>
          <cell r="K386">
            <v>183135.11</v>
          </cell>
        </row>
        <row r="387">
          <cell r="A387">
            <v>38.200000762939453</v>
          </cell>
          <cell r="K387">
            <v>183135.11</v>
          </cell>
        </row>
        <row r="388">
          <cell r="A388">
            <v>38.299999237060547</v>
          </cell>
          <cell r="K388">
            <v>183135.11</v>
          </cell>
        </row>
        <row r="389">
          <cell r="A389">
            <v>38.400001525878906</v>
          </cell>
          <cell r="K389">
            <v>183135.11</v>
          </cell>
        </row>
        <row r="390">
          <cell r="A390">
            <v>38.5</v>
          </cell>
          <cell r="K390">
            <v>183135.11</v>
          </cell>
        </row>
        <row r="391">
          <cell r="A391">
            <v>38.600002288818359</v>
          </cell>
          <cell r="K391">
            <v>183135.11</v>
          </cell>
        </row>
        <row r="392">
          <cell r="A392">
            <v>38.700000762939453</v>
          </cell>
          <cell r="K392">
            <v>183135.11</v>
          </cell>
        </row>
        <row r="393">
          <cell r="A393">
            <v>38.799999237060547</v>
          </cell>
          <cell r="K393">
            <v>183135.11</v>
          </cell>
        </row>
        <row r="394">
          <cell r="A394">
            <v>38.900001525878906</v>
          </cell>
          <cell r="K394">
            <v>183135.11</v>
          </cell>
        </row>
        <row r="395">
          <cell r="A395">
            <v>39</v>
          </cell>
          <cell r="K395">
            <v>183135.11</v>
          </cell>
        </row>
        <row r="396">
          <cell r="A396">
            <v>39.100002288818359</v>
          </cell>
          <cell r="K396">
            <v>183135.11</v>
          </cell>
        </row>
        <row r="397">
          <cell r="A397">
            <v>39.200000762939453</v>
          </cell>
          <cell r="K397">
            <v>183135.11</v>
          </cell>
        </row>
        <row r="398">
          <cell r="A398">
            <v>39.299999237060547</v>
          </cell>
          <cell r="K398">
            <v>183135.11</v>
          </cell>
        </row>
        <row r="399">
          <cell r="A399">
            <v>39.400001525878906</v>
          </cell>
          <cell r="K399">
            <v>183135.11</v>
          </cell>
        </row>
        <row r="400">
          <cell r="A400">
            <v>39.5</v>
          </cell>
          <cell r="K400">
            <v>183135.11</v>
          </cell>
        </row>
        <row r="401">
          <cell r="A401">
            <v>39.600002288818359</v>
          </cell>
          <cell r="K401">
            <v>183135.11</v>
          </cell>
        </row>
        <row r="402">
          <cell r="A402">
            <v>39.700000762939453</v>
          </cell>
          <cell r="K402">
            <v>183135.11</v>
          </cell>
        </row>
        <row r="403">
          <cell r="A403">
            <v>39.799999237060547</v>
          </cell>
          <cell r="K403">
            <v>183135.11</v>
          </cell>
        </row>
        <row r="404">
          <cell r="A404">
            <v>39.900001525878906</v>
          </cell>
          <cell r="K404">
            <v>183135.11</v>
          </cell>
        </row>
        <row r="405">
          <cell r="A405">
            <v>40</v>
          </cell>
          <cell r="K405">
            <v>183135.11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mization Model"/>
      <sheetName val="Answer Report 1"/>
      <sheetName val="Sensitivity Report 1"/>
      <sheetName val="Limits Report 1"/>
      <sheetName val="Changing Disel Prices"/>
    </sheetNames>
    <definedNames>
      <definedName name="Profit" refersTo="='Optimization Model'!$H$53"/>
    </definedNames>
    <sheetDataSet>
      <sheetData sheetId="0">
        <row r="32">
          <cell r="H32">
            <v>1761.1940298507459</v>
          </cell>
          <cell r="I32">
            <v>2326.9048489203983</v>
          </cell>
        </row>
        <row r="39">
          <cell r="H39">
            <v>4015</v>
          </cell>
          <cell r="I39">
            <v>4390</v>
          </cell>
        </row>
        <row r="40">
          <cell r="H40">
            <v>8030</v>
          </cell>
          <cell r="I40">
            <v>8780</v>
          </cell>
        </row>
        <row r="43">
          <cell r="H43">
            <v>1000</v>
          </cell>
          <cell r="I43">
            <v>2000</v>
          </cell>
        </row>
        <row r="44">
          <cell r="H44">
            <v>2000</v>
          </cell>
          <cell r="I44">
            <v>4000</v>
          </cell>
        </row>
        <row r="53">
          <cell r="H53">
            <v>183135.10763500794</v>
          </cell>
        </row>
      </sheetData>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Data"/>
      <sheetName val="Answer Report 1"/>
      <sheetName val="Sensitivity Report 1"/>
      <sheetName val="Limits Report 1"/>
      <sheetName val="Answer Report 2"/>
      <sheetName val="Sensitivity Report 2"/>
      <sheetName val="plant capacity changes_STS"/>
    </sheetNames>
    <sheetDataSet>
      <sheetData sheetId="0">
        <row r="31">
          <cell r="H31">
            <v>1761.1940298507454</v>
          </cell>
          <cell r="I31">
            <v>2326.9048489203983</v>
          </cell>
        </row>
        <row r="38">
          <cell r="H38">
            <v>4015</v>
          </cell>
          <cell r="I38">
            <v>4390</v>
          </cell>
        </row>
        <row r="39">
          <cell r="H39">
            <v>8030</v>
          </cell>
          <cell r="I39">
            <v>8780</v>
          </cell>
        </row>
        <row r="42">
          <cell r="H42">
            <v>1000</v>
          </cell>
          <cell r="I42">
            <v>2000</v>
          </cell>
        </row>
        <row r="43">
          <cell r="H43">
            <v>2000</v>
          </cell>
          <cell r="I43">
            <v>4000</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12.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52577-1740-4300-A67C-2CB7213E5CF5}">
  <dimension ref="A2:C7"/>
  <sheetViews>
    <sheetView tabSelected="1" workbookViewId="0">
      <selection activeCell="B20" sqref="B20"/>
    </sheetView>
  </sheetViews>
  <sheetFormatPr defaultRowHeight="13" x14ac:dyDescent="0.6"/>
  <cols>
    <col min="1" max="1" width="15.81640625" bestFit="1" customWidth="1"/>
    <col min="3" max="3" width="28.1328125" bestFit="1" customWidth="1"/>
  </cols>
  <sheetData>
    <row r="2" spans="1:3" x14ac:dyDescent="0.6">
      <c r="A2" s="21" t="s">
        <v>371</v>
      </c>
      <c r="B2" s="40" t="s">
        <v>378</v>
      </c>
      <c r="C2" s="40" t="s">
        <v>377</v>
      </c>
    </row>
    <row r="3" spans="1:3" x14ac:dyDescent="0.6">
      <c r="A3" t="s">
        <v>372</v>
      </c>
      <c r="B3" s="53"/>
      <c r="C3" t="s">
        <v>59</v>
      </c>
    </row>
    <row r="4" spans="1:3" x14ac:dyDescent="0.6">
      <c r="A4" t="s">
        <v>374</v>
      </c>
      <c r="B4" s="88"/>
      <c r="C4" t="s">
        <v>379</v>
      </c>
    </row>
    <row r="5" spans="1:3" x14ac:dyDescent="0.6">
      <c r="A5" t="s">
        <v>373</v>
      </c>
      <c r="B5" s="67"/>
      <c r="C5" t="s">
        <v>380</v>
      </c>
    </row>
    <row r="6" spans="1:3" x14ac:dyDescent="0.6">
      <c r="A6" t="s">
        <v>375</v>
      </c>
      <c r="B6" s="19"/>
      <c r="C6" t="s">
        <v>381</v>
      </c>
    </row>
    <row r="7" spans="1:3" x14ac:dyDescent="0.6">
      <c r="A7" t="s">
        <v>376</v>
      </c>
      <c r="B7" s="89"/>
      <c r="C7" t="s">
        <v>382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9A162-DD22-4C61-8485-BDFD0FB48578}">
  <sheetPr>
    <tabColor theme="7" tint="0.59999389629810485"/>
  </sheetPr>
  <dimension ref="A1:AL15"/>
  <sheetViews>
    <sheetView topLeftCell="AG19" workbookViewId="0">
      <selection activeCell="P17" sqref="P17"/>
    </sheetView>
  </sheetViews>
  <sheetFormatPr defaultRowHeight="13" x14ac:dyDescent="0.6"/>
  <cols>
    <col min="2" max="2" width="12" bestFit="1" customWidth="1"/>
  </cols>
  <sheetData>
    <row r="1" spans="1:38" x14ac:dyDescent="0.6">
      <c r="A1" s="1" t="s">
        <v>387</v>
      </c>
      <c r="AL1" s="47" t="str">
        <f>CONCATENATE("Sensitivity of ",$AL$4," to ","Input")</f>
        <v>Sensitivity of Profit to Input</v>
      </c>
    </row>
    <row r="3" spans="1:38" x14ac:dyDescent="0.6">
      <c r="A3" t="s">
        <v>388</v>
      </c>
      <c r="AL3" t="s">
        <v>276</v>
      </c>
    </row>
    <row r="4" spans="1:38" ht="34" x14ac:dyDescent="0.6">
      <c r="B4" s="45" t="s">
        <v>58</v>
      </c>
      <c r="C4" s="45" t="s">
        <v>102</v>
      </c>
      <c r="D4" s="45" t="s">
        <v>105</v>
      </c>
      <c r="E4" s="45" t="s">
        <v>107</v>
      </c>
      <c r="F4" s="45" t="s">
        <v>109</v>
      </c>
      <c r="G4" s="45" t="s">
        <v>111</v>
      </c>
      <c r="H4" s="45" t="s">
        <v>113</v>
      </c>
      <c r="I4" s="45" t="s">
        <v>115</v>
      </c>
      <c r="J4" s="45" t="s">
        <v>117</v>
      </c>
      <c r="K4" s="45" t="s">
        <v>119</v>
      </c>
      <c r="L4" s="45" t="s">
        <v>121</v>
      </c>
      <c r="M4" s="45" t="s">
        <v>123</v>
      </c>
      <c r="N4" s="45" t="s">
        <v>125</v>
      </c>
      <c r="O4" s="45" t="s">
        <v>127</v>
      </c>
      <c r="P4" s="45" t="s">
        <v>129</v>
      </c>
      <c r="Q4" s="45" t="s">
        <v>130</v>
      </c>
      <c r="R4" s="45" t="s">
        <v>133</v>
      </c>
      <c r="S4" s="45" t="s">
        <v>135</v>
      </c>
      <c r="T4" s="45" t="s">
        <v>137</v>
      </c>
      <c r="U4" s="45" t="s">
        <v>139</v>
      </c>
      <c r="V4" s="45" t="s">
        <v>141</v>
      </c>
      <c r="W4" s="45" t="s">
        <v>143</v>
      </c>
      <c r="X4" s="45" t="s">
        <v>145</v>
      </c>
      <c r="Y4" s="45" t="s">
        <v>147</v>
      </c>
      <c r="Z4" s="45" t="s">
        <v>149</v>
      </c>
      <c r="AA4" s="45" t="s">
        <v>151</v>
      </c>
      <c r="AB4" s="45" t="s">
        <v>153</v>
      </c>
      <c r="AC4" s="45" t="s">
        <v>155</v>
      </c>
      <c r="AD4" s="45" t="s">
        <v>157</v>
      </c>
      <c r="AE4" s="45" t="s">
        <v>159</v>
      </c>
      <c r="AF4" s="45" t="s">
        <v>161</v>
      </c>
      <c r="AG4" s="45" t="s">
        <v>163</v>
      </c>
      <c r="AH4" s="45" t="s">
        <v>165</v>
      </c>
      <c r="AI4" s="45" t="s">
        <v>167</v>
      </c>
      <c r="AJ4" s="45" t="s">
        <v>169</v>
      </c>
      <c r="AK4" s="47">
        <f>MATCH($AL$4,OutputAddresses,0)</f>
        <v>1</v>
      </c>
      <c r="AL4" s="46" t="s">
        <v>58</v>
      </c>
    </row>
    <row r="5" spans="1:38" x14ac:dyDescent="0.6">
      <c r="A5" s="42">
        <v>0</v>
      </c>
      <c r="B5" s="54">
        <v>183135.11</v>
      </c>
      <c r="C5" s="94">
        <v>1000</v>
      </c>
      <c r="D5" s="94">
        <v>0</v>
      </c>
      <c r="E5" s="94">
        <v>1583</v>
      </c>
      <c r="F5" s="94">
        <v>0</v>
      </c>
      <c r="G5" s="94">
        <v>0</v>
      </c>
      <c r="H5" s="94">
        <v>2140</v>
      </c>
      <c r="I5" s="94">
        <v>530.18024471680576</v>
      </c>
      <c r="J5" s="94">
        <v>839.81975528319424</v>
      </c>
      <c r="K5" s="94">
        <v>2000</v>
      </c>
      <c r="L5" s="94">
        <v>0</v>
      </c>
      <c r="M5" s="94">
        <v>0</v>
      </c>
      <c r="N5" s="94">
        <v>1850</v>
      </c>
      <c r="O5" s="94">
        <v>0</v>
      </c>
      <c r="P5" s="94">
        <v>1260</v>
      </c>
      <c r="Q5" s="94">
        <v>0</v>
      </c>
      <c r="R5" s="94">
        <v>1700</v>
      </c>
      <c r="S5" s="94">
        <v>480</v>
      </c>
      <c r="T5" s="94">
        <v>0</v>
      </c>
      <c r="U5" s="94">
        <v>0</v>
      </c>
      <c r="V5" s="94">
        <v>850</v>
      </c>
      <c r="W5" s="94">
        <v>133.09515107960348</v>
      </c>
      <c r="X5" s="94">
        <v>506.90484892039649</v>
      </c>
      <c r="Y5" s="94">
        <v>651.09887877114261</v>
      </c>
      <c r="Z5" s="94">
        <v>0</v>
      </c>
      <c r="AA5" s="94">
        <v>0</v>
      </c>
      <c r="AB5" s="94">
        <v>970</v>
      </c>
      <c r="AC5" s="94">
        <v>107</v>
      </c>
      <c r="AD5" s="94">
        <v>0</v>
      </c>
      <c r="AE5" s="94">
        <v>80</v>
      </c>
      <c r="AF5" s="94">
        <v>0</v>
      </c>
      <c r="AG5" s="94">
        <v>310</v>
      </c>
      <c r="AH5" s="94">
        <v>0</v>
      </c>
      <c r="AI5" s="94">
        <v>0</v>
      </c>
      <c r="AJ5" s="93">
        <v>0</v>
      </c>
      <c r="AL5">
        <f>INDEX(OutputValues,1,$AK$4)</f>
        <v>183135.11</v>
      </c>
    </row>
    <row r="6" spans="1:38" x14ac:dyDescent="0.6">
      <c r="A6" s="42">
        <v>0.10000000149011612</v>
      </c>
      <c r="B6" s="55">
        <v>183135.11</v>
      </c>
      <c r="C6" s="36">
        <v>1000</v>
      </c>
      <c r="D6" s="36">
        <v>0</v>
      </c>
      <c r="E6" s="36">
        <v>1583</v>
      </c>
      <c r="F6" s="36">
        <v>0</v>
      </c>
      <c r="G6" s="36">
        <v>0</v>
      </c>
      <c r="H6" s="36">
        <v>2140</v>
      </c>
      <c r="I6" s="36">
        <v>530.18024471680565</v>
      </c>
      <c r="J6" s="36">
        <v>839.81975528319435</v>
      </c>
      <c r="K6" s="36">
        <v>2000</v>
      </c>
      <c r="L6" s="36">
        <v>0</v>
      </c>
      <c r="M6" s="36">
        <v>0</v>
      </c>
      <c r="N6" s="36">
        <v>1850</v>
      </c>
      <c r="O6" s="36">
        <v>0</v>
      </c>
      <c r="P6" s="36">
        <v>1260</v>
      </c>
      <c r="Q6" s="36">
        <v>0</v>
      </c>
      <c r="R6" s="36">
        <v>1700</v>
      </c>
      <c r="S6" s="36">
        <v>480</v>
      </c>
      <c r="T6" s="36">
        <v>0</v>
      </c>
      <c r="U6" s="36">
        <v>0</v>
      </c>
      <c r="V6" s="36">
        <v>850</v>
      </c>
      <c r="W6" s="36">
        <v>133.09515107960345</v>
      </c>
      <c r="X6" s="36">
        <v>506.90484892039649</v>
      </c>
      <c r="Y6" s="36">
        <v>651.09887877114261</v>
      </c>
      <c r="Z6" s="36">
        <v>0</v>
      </c>
      <c r="AA6" s="36">
        <v>0</v>
      </c>
      <c r="AB6" s="36">
        <v>970</v>
      </c>
      <c r="AC6" s="36">
        <v>107</v>
      </c>
      <c r="AD6" s="36">
        <v>0</v>
      </c>
      <c r="AE6" s="36">
        <v>80</v>
      </c>
      <c r="AF6" s="36">
        <v>0</v>
      </c>
      <c r="AG6" s="36">
        <v>310</v>
      </c>
      <c r="AH6" s="36">
        <v>0</v>
      </c>
      <c r="AI6" s="36">
        <v>0</v>
      </c>
      <c r="AJ6" s="92">
        <v>0</v>
      </c>
      <c r="AL6">
        <f>INDEX(OutputValues,2,$AK$4)</f>
        <v>183135.11</v>
      </c>
    </row>
    <row r="7" spans="1:38" x14ac:dyDescent="0.6">
      <c r="A7" s="42">
        <v>0.20000000298023224</v>
      </c>
      <c r="B7" s="55">
        <v>183135.11</v>
      </c>
      <c r="C7" s="36">
        <v>1000</v>
      </c>
      <c r="D7" s="36">
        <v>0</v>
      </c>
      <c r="E7" s="36">
        <v>1583</v>
      </c>
      <c r="F7" s="36">
        <v>0</v>
      </c>
      <c r="G7" s="36">
        <v>0</v>
      </c>
      <c r="H7" s="36">
        <v>2140</v>
      </c>
      <c r="I7" s="36">
        <v>530.18024471680576</v>
      </c>
      <c r="J7" s="36">
        <v>839.81975528319447</v>
      </c>
      <c r="K7" s="36">
        <v>2000</v>
      </c>
      <c r="L7" s="36">
        <v>0</v>
      </c>
      <c r="M7" s="36">
        <v>0</v>
      </c>
      <c r="N7" s="36">
        <v>1849.9999999999995</v>
      </c>
      <c r="O7" s="36">
        <v>0</v>
      </c>
      <c r="P7" s="36">
        <v>1260.0000000000005</v>
      </c>
      <c r="Q7" s="36">
        <v>0</v>
      </c>
      <c r="R7" s="36">
        <v>1700</v>
      </c>
      <c r="S7" s="36">
        <v>480</v>
      </c>
      <c r="T7" s="36">
        <v>0</v>
      </c>
      <c r="U7" s="36">
        <v>0</v>
      </c>
      <c r="V7" s="36">
        <v>849.99999999999989</v>
      </c>
      <c r="W7" s="36">
        <v>133.09515107960195</v>
      </c>
      <c r="X7" s="36">
        <v>506.90484892039797</v>
      </c>
      <c r="Y7" s="36">
        <v>651.09887877114409</v>
      </c>
      <c r="Z7" s="36">
        <v>0</v>
      </c>
      <c r="AA7" s="36">
        <v>0</v>
      </c>
      <c r="AB7" s="36">
        <v>970</v>
      </c>
      <c r="AC7" s="36">
        <v>107</v>
      </c>
      <c r="AD7" s="36">
        <v>0</v>
      </c>
      <c r="AE7" s="36">
        <v>80</v>
      </c>
      <c r="AF7" s="36">
        <v>0</v>
      </c>
      <c r="AG7" s="36">
        <v>310</v>
      </c>
      <c r="AH7" s="36">
        <v>0</v>
      </c>
      <c r="AI7" s="36">
        <v>0</v>
      </c>
      <c r="AJ7" s="92">
        <v>0</v>
      </c>
      <c r="AL7">
        <f>INDEX(OutputValues,3,$AK$4)</f>
        <v>183135.11</v>
      </c>
    </row>
    <row r="8" spans="1:38" x14ac:dyDescent="0.6">
      <c r="A8" s="42">
        <v>0.30000001192092896</v>
      </c>
      <c r="B8" s="55">
        <v>183135.11</v>
      </c>
      <c r="C8" s="36">
        <v>1000</v>
      </c>
      <c r="D8" s="36">
        <v>0</v>
      </c>
      <c r="E8" s="36">
        <v>1583</v>
      </c>
      <c r="F8" s="36">
        <v>0</v>
      </c>
      <c r="G8" s="36">
        <v>0</v>
      </c>
      <c r="H8" s="36">
        <v>2140</v>
      </c>
      <c r="I8" s="36">
        <v>530.18024471680565</v>
      </c>
      <c r="J8" s="36">
        <v>839.81975528319447</v>
      </c>
      <c r="K8" s="36">
        <v>2000</v>
      </c>
      <c r="L8" s="36">
        <v>0</v>
      </c>
      <c r="M8" s="36">
        <v>0</v>
      </c>
      <c r="N8" s="36">
        <v>1850</v>
      </c>
      <c r="O8" s="36">
        <v>0</v>
      </c>
      <c r="P8" s="36">
        <v>1260</v>
      </c>
      <c r="Q8" s="36">
        <v>0</v>
      </c>
      <c r="R8" s="36">
        <v>1700</v>
      </c>
      <c r="S8" s="36">
        <v>480</v>
      </c>
      <c r="T8" s="36">
        <v>0</v>
      </c>
      <c r="U8" s="36">
        <v>0</v>
      </c>
      <c r="V8" s="36">
        <v>850</v>
      </c>
      <c r="W8" s="36">
        <v>133.09515107960209</v>
      </c>
      <c r="X8" s="36">
        <v>506.90484892039797</v>
      </c>
      <c r="Y8" s="36">
        <v>651.09887877114363</v>
      </c>
      <c r="Z8" s="36">
        <v>0</v>
      </c>
      <c r="AA8" s="36">
        <v>0</v>
      </c>
      <c r="AB8" s="36">
        <v>970</v>
      </c>
      <c r="AC8" s="36">
        <v>107</v>
      </c>
      <c r="AD8" s="36">
        <v>0</v>
      </c>
      <c r="AE8" s="36">
        <v>80</v>
      </c>
      <c r="AF8" s="36">
        <v>0</v>
      </c>
      <c r="AG8" s="36">
        <v>310</v>
      </c>
      <c r="AH8" s="36">
        <v>0</v>
      </c>
      <c r="AI8" s="36">
        <v>0</v>
      </c>
      <c r="AJ8" s="92">
        <v>0</v>
      </c>
      <c r="AL8">
        <f>INDEX(OutputValues,4,$AK$4)</f>
        <v>183135.11</v>
      </c>
    </row>
    <row r="9" spans="1:38" x14ac:dyDescent="0.6">
      <c r="A9" s="42">
        <v>0.40000000596046448</v>
      </c>
      <c r="B9" s="55">
        <v>183135.11</v>
      </c>
      <c r="C9" s="36">
        <v>160.18024471680405</v>
      </c>
      <c r="D9" s="36">
        <v>839.81975528319595</v>
      </c>
      <c r="E9" s="36">
        <v>1583</v>
      </c>
      <c r="F9" s="36">
        <v>0</v>
      </c>
      <c r="G9" s="36">
        <v>0</v>
      </c>
      <c r="H9" s="36">
        <v>2139.9999999999995</v>
      </c>
      <c r="I9" s="36">
        <v>1370</v>
      </c>
      <c r="J9" s="36">
        <v>0</v>
      </c>
      <c r="K9" s="36">
        <v>2000</v>
      </c>
      <c r="L9" s="36">
        <v>0</v>
      </c>
      <c r="M9" s="36">
        <v>0</v>
      </c>
      <c r="N9" s="36">
        <v>1849.9999999999986</v>
      </c>
      <c r="O9" s="36">
        <v>0</v>
      </c>
      <c r="P9" s="36">
        <v>1259.9999999999998</v>
      </c>
      <c r="Q9" s="36">
        <v>0</v>
      </c>
      <c r="R9" s="36">
        <v>1700</v>
      </c>
      <c r="S9" s="36">
        <v>479.99999999999994</v>
      </c>
      <c r="T9" s="36">
        <v>0</v>
      </c>
      <c r="U9" s="36">
        <v>0</v>
      </c>
      <c r="V9" s="36">
        <v>850.00000000000068</v>
      </c>
      <c r="W9" s="36">
        <v>133.09515107960371</v>
      </c>
      <c r="X9" s="36">
        <v>506.90484892039638</v>
      </c>
      <c r="Y9" s="36">
        <v>651.09887877114306</v>
      </c>
      <c r="Z9" s="36">
        <v>0</v>
      </c>
      <c r="AA9" s="36">
        <v>0</v>
      </c>
      <c r="AB9" s="36">
        <v>970.00000000000011</v>
      </c>
      <c r="AC9" s="36">
        <v>107</v>
      </c>
      <c r="AD9" s="36">
        <v>0</v>
      </c>
      <c r="AE9" s="36">
        <v>80</v>
      </c>
      <c r="AF9" s="36">
        <v>0</v>
      </c>
      <c r="AG9" s="36">
        <v>310</v>
      </c>
      <c r="AH9" s="36">
        <v>0</v>
      </c>
      <c r="AI9" s="36">
        <v>0</v>
      </c>
      <c r="AJ9" s="92">
        <v>0</v>
      </c>
      <c r="AL9">
        <f>INDEX(OutputValues,5,$AK$4)</f>
        <v>183135.11</v>
      </c>
    </row>
    <row r="10" spans="1:38" x14ac:dyDescent="0.6">
      <c r="A10" s="42">
        <v>0.5</v>
      </c>
      <c r="B10" s="55">
        <v>183135.11</v>
      </c>
      <c r="C10" s="36">
        <v>1000</v>
      </c>
      <c r="D10" s="36">
        <v>0</v>
      </c>
      <c r="E10" s="36">
        <v>1583.0000000000002</v>
      </c>
      <c r="F10" s="36">
        <v>0</v>
      </c>
      <c r="G10" s="36">
        <v>0</v>
      </c>
      <c r="H10" s="36">
        <v>2140.0000000000005</v>
      </c>
      <c r="I10" s="36">
        <v>530.18024471680462</v>
      </c>
      <c r="J10" s="36">
        <v>839.81975528319538</v>
      </c>
      <c r="K10" s="36">
        <v>2000</v>
      </c>
      <c r="L10" s="36">
        <v>0</v>
      </c>
      <c r="M10" s="36">
        <v>0</v>
      </c>
      <c r="N10" s="36">
        <v>1849.9999999999991</v>
      </c>
      <c r="O10" s="36">
        <v>0</v>
      </c>
      <c r="P10" s="36">
        <v>1260.0000000000005</v>
      </c>
      <c r="Q10" s="36">
        <v>0</v>
      </c>
      <c r="R10" s="36">
        <v>1700</v>
      </c>
      <c r="S10" s="36">
        <v>480</v>
      </c>
      <c r="T10" s="36">
        <v>0</v>
      </c>
      <c r="U10" s="36">
        <v>0</v>
      </c>
      <c r="V10" s="36">
        <v>850</v>
      </c>
      <c r="W10" s="36">
        <v>133.09515107960249</v>
      </c>
      <c r="X10" s="36">
        <v>506.90484892039785</v>
      </c>
      <c r="Y10" s="36">
        <v>651.09887877114329</v>
      </c>
      <c r="Z10" s="36">
        <v>0</v>
      </c>
      <c r="AA10" s="36">
        <v>0</v>
      </c>
      <c r="AB10" s="36">
        <v>970</v>
      </c>
      <c r="AC10" s="36">
        <v>107</v>
      </c>
      <c r="AD10" s="36">
        <v>0</v>
      </c>
      <c r="AE10" s="36">
        <v>80</v>
      </c>
      <c r="AF10" s="36">
        <v>0</v>
      </c>
      <c r="AG10" s="36">
        <v>310</v>
      </c>
      <c r="AH10" s="36">
        <v>0</v>
      </c>
      <c r="AI10" s="36">
        <v>0</v>
      </c>
      <c r="AJ10" s="92">
        <v>0</v>
      </c>
      <c r="AL10">
        <f>INDEX(OutputValues,6,$AK$4)</f>
        <v>183135.11</v>
      </c>
    </row>
    <row r="11" spans="1:38" x14ac:dyDescent="0.6">
      <c r="A11" s="42">
        <v>0.60000002384185791</v>
      </c>
      <c r="B11" s="55">
        <v>183135.11</v>
      </c>
      <c r="C11" s="36">
        <v>1000</v>
      </c>
      <c r="D11" s="36">
        <v>0</v>
      </c>
      <c r="E11" s="36">
        <v>1583</v>
      </c>
      <c r="F11" s="36">
        <v>0</v>
      </c>
      <c r="G11" s="36">
        <v>0</v>
      </c>
      <c r="H11" s="36">
        <v>2140.0000000000005</v>
      </c>
      <c r="I11" s="36">
        <v>530.18024471680508</v>
      </c>
      <c r="J11" s="36">
        <v>839.81975528319492</v>
      </c>
      <c r="K11" s="36">
        <v>2000</v>
      </c>
      <c r="L11" s="36">
        <v>0</v>
      </c>
      <c r="M11" s="36">
        <v>0</v>
      </c>
      <c r="N11" s="36">
        <v>1850</v>
      </c>
      <c r="O11" s="36">
        <v>0</v>
      </c>
      <c r="P11" s="36">
        <v>1260</v>
      </c>
      <c r="Q11" s="36">
        <v>0</v>
      </c>
      <c r="R11" s="36">
        <v>1700</v>
      </c>
      <c r="S11" s="36">
        <v>480</v>
      </c>
      <c r="T11" s="36">
        <v>0</v>
      </c>
      <c r="U11" s="36">
        <v>0</v>
      </c>
      <c r="V11" s="36">
        <v>850</v>
      </c>
      <c r="W11" s="36">
        <v>133.09515107960198</v>
      </c>
      <c r="X11" s="36">
        <v>506.90484892039791</v>
      </c>
      <c r="Y11" s="36">
        <v>651.09887877114409</v>
      </c>
      <c r="Z11" s="36">
        <v>0</v>
      </c>
      <c r="AA11" s="36">
        <v>0</v>
      </c>
      <c r="AB11" s="36">
        <v>970</v>
      </c>
      <c r="AC11" s="36">
        <v>107</v>
      </c>
      <c r="AD11" s="36">
        <v>0</v>
      </c>
      <c r="AE11" s="36">
        <v>80</v>
      </c>
      <c r="AF11" s="36">
        <v>0</v>
      </c>
      <c r="AG11" s="36">
        <v>310</v>
      </c>
      <c r="AH11" s="36">
        <v>0</v>
      </c>
      <c r="AI11" s="36">
        <v>0</v>
      </c>
      <c r="AJ11" s="92">
        <v>0</v>
      </c>
      <c r="AL11">
        <f>INDEX(OutputValues,7,$AK$4)</f>
        <v>183135.11</v>
      </c>
    </row>
    <row r="12" spans="1:38" x14ac:dyDescent="0.6">
      <c r="A12" s="42">
        <v>0.69999998807907104</v>
      </c>
      <c r="B12" s="55">
        <v>183135.11</v>
      </c>
      <c r="C12" s="36">
        <v>160.18024471680576</v>
      </c>
      <c r="D12" s="36">
        <v>839.81975528319424</v>
      </c>
      <c r="E12" s="36">
        <v>1583</v>
      </c>
      <c r="F12" s="36">
        <v>0</v>
      </c>
      <c r="G12" s="36">
        <v>0</v>
      </c>
      <c r="H12" s="36">
        <v>2140</v>
      </c>
      <c r="I12" s="36">
        <v>1370</v>
      </c>
      <c r="J12" s="36">
        <v>0</v>
      </c>
      <c r="K12" s="36">
        <v>2000</v>
      </c>
      <c r="L12" s="36">
        <v>0</v>
      </c>
      <c r="M12" s="36">
        <v>0</v>
      </c>
      <c r="N12" s="36">
        <v>1850</v>
      </c>
      <c r="O12" s="36">
        <v>0</v>
      </c>
      <c r="P12" s="36">
        <v>1260.0000000000005</v>
      </c>
      <c r="Q12" s="36">
        <v>0</v>
      </c>
      <c r="R12" s="36">
        <v>1700</v>
      </c>
      <c r="S12" s="36">
        <v>480</v>
      </c>
      <c r="T12" s="36">
        <v>0</v>
      </c>
      <c r="U12" s="36">
        <v>0</v>
      </c>
      <c r="V12" s="36">
        <v>850</v>
      </c>
      <c r="W12" s="36">
        <v>133.0951510796022</v>
      </c>
      <c r="X12" s="36">
        <v>506.90484892039785</v>
      </c>
      <c r="Y12" s="36">
        <v>651.0988787711442</v>
      </c>
      <c r="Z12" s="36">
        <v>0</v>
      </c>
      <c r="AA12" s="36">
        <v>0</v>
      </c>
      <c r="AB12" s="36">
        <v>969.99999999999977</v>
      </c>
      <c r="AC12" s="36">
        <v>107</v>
      </c>
      <c r="AD12" s="36">
        <v>0</v>
      </c>
      <c r="AE12" s="36">
        <v>80</v>
      </c>
      <c r="AF12" s="36">
        <v>0</v>
      </c>
      <c r="AG12" s="36">
        <v>310</v>
      </c>
      <c r="AH12" s="36">
        <v>0</v>
      </c>
      <c r="AI12" s="36">
        <v>0</v>
      </c>
      <c r="AJ12" s="92">
        <v>0</v>
      </c>
      <c r="AL12">
        <f>INDEX(OutputValues,8,$AK$4)</f>
        <v>183135.11</v>
      </c>
    </row>
    <row r="13" spans="1:38" x14ac:dyDescent="0.6">
      <c r="A13" s="42">
        <v>0.80000001192092896</v>
      </c>
      <c r="B13" s="55">
        <v>183135.11</v>
      </c>
      <c r="C13" s="36">
        <v>160.18024471680567</v>
      </c>
      <c r="D13" s="36">
        <v>839.81975528319435</v>
      </c>
      <c r="E13" s="36">
        <v>1583.0000000000002</v>
      </c>
      <c r="F13" s="36">
        <v>0</v>
      </c>
      <c r="G13" s="36">
        <v>0</v>
      </c>
      <c r="H13" s="36">
        <v>2140.0000000000005</v>
      </c>
      <c r="I13" s="36">
        <v>1370</v>
      </c>
      <c r="J13" s="36">
        <v>0</v>
      </c>
      <c r="K13" s="36">
        <v>2000</v>
      </c>
      <c r="L13" s="36">
        <v>0</v>
      </c>
      <c r="M13" s="36">
        <v>0</v>
      </c>
      <c r="N13" s="36">
        <v>1850.0000000000005</v>
      </c>
      <c r="O13" s="36">
        <v>0</v>
      </c>
      <c r="P13" s="36">
        <v>1260</v>
      </c>
      <c r="Q13" s="36">
        <v>0</v>
      </c>
      <c r="R13" s="36">
        <v>1700</v>
      </c>
      <c r="S13" s="36">
        <v>480</v>
      </c>
      <c r="T13" s="36">
        <v>0</v>
      </c>
      <c r="U13" s="36">
        <v>0</v>
      </c>
      <c r="V13" s="36">
        <v>850</v>
      </c>
      <c r="W13" s="36">
        <v>133.0951510796022</v>
      </c>
      <c r="X13" s="36">
        <v>506.90484892039774</v>
      </c>
      <c r="Y13" s="36">
        <v>651.09887877114409</v>
      </c>
      <c r="Z13" s="36">
        <v>0</v>
      </c>
      <c r="AA13" s="36">
        <v>0</v>
      </c>
      <c r="AB13" s="36">
        <v>970.00000000000011</v>
      </c>
      <c r="AC13" s="36">
        <v>107</v>
      </c>
      <c r="AD13" s="36">
        <v>0</v>
      </c>
      <c r="AE13" s="36">
        <v>80</v>
      </c>
      <c r="AF13" s="36">
        <v>0</v>
      </c>
      <c r="AG13" s="36">
        <v>310</v>
      </c>
      <c r="AH13" s="36">
        <v>0</v>
      </c>
      <c r="AI13" s="36">
        <v>0</v>
      </c>
      <c r="AJ13" s="92">
        <v>0</v>
      </c>
      <c r="AL13">
        <f>INDEX(OutputValues,9,$AK$4)</f>
        <v>183135.11</v>
      </c>
    </row>
    <row r="14" spans="1:38" x14ac:dyDescent="0.6">
      <c r="A14" s="42">
        <v>0.90000003576278687</v>
      </c>
      <c r="B14" s="91" t="s">
        <v>385</v>
      </c>
      <c r="AJ14" s="65"/>
      <c r="AL14" t="str">
        <f>INDEX(OutputValues,10,$AK$4)</f>
        <v>Not feasible</v>
      </c>
    </row>
    <row r="15" spans="1:38" x14ac:dyDescent="0.6">
      <c r="A15" s="42">
        <v>1</v>
      </c>
      <c r="B15" s="90" t="s">
        <v>385</v>
      </c>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66"/>
      <c r="AL15" t="str">
        <f>INDEX(OutputValues,11,$AK$4)</f>
        <v>Not feasible</v>
      </c>
    </row>
  </sheetData>
  <dataValidations count="1">
    <dataValidation type="list" allowBlank="1" showInputMessage="1" showErrorMessage="1" sqref="AL4" xr:uid="{62F7E568-9984-4E21-BEDB-71A323A92E15}">
      <formula1>OutputAddresses</formula1>
    </dataValidation>
  </dataValidations>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8166D-351A-474F-9E79-8C25F3F4E900}">
  <sheetPr>
    <tabColor theme="7" tint="0.59999389629810485"/>
  </sheetPr>
  <dimension ref="A1:AL45"/>
  <sheetViews>
    <sheetView topLeftCell="AC49" workbookViewId="0">
      <selection activeCell="AH68" sqref="AH68"/>
    </sheetView>
  </sheetViews>
  <sheetFormatPr defaultRowHeight="13" x14ac:dyDescent="0.6"/>
  <cols>
    <col min="2" max="2" width="12" bestFit="1" customWidth="1"/>
  </cols>
  <sheetData>
    <row r="1" spans="1:38" x14ac:dyDescent="0.6">
      <c r="A1" s="1" t="s">
        <v>387</v>
      </c>
      <c r="AL1" s="47" t="str">
        <f>CONCATENATE("Sensitivity of ",$AL$4," to ","Input")</f>
        <v>Sensitivity of Profit to Input</v>
      </c>
    </row>
    <row r="3" spans="1:38" x14ac:dyDescent="0.6">
      <c r="A3" t="s">
        <v>389</v>
      </c>
      <c r="AL3" t="s">
        <v>276</v>
      </c>
    </row>
    <row r="4" spans="1:38" ht="34" x14ac:dyDescent="0.6">
      <c r="B4" s="45" t="s">
        <v>58</v>
      </c>
      <c r="C4" s="45" t="s">
        <v>102</v>
      </c>
      <c r="D4" s="45" t="s">
        <v>105</v>
      </c>
      <c r="E4" s="45" t="s">
        <v>107</v>
      </c>
      <c r="F4" s="45" t="s">
        <v>109</v>
      </c>
      <c r="G4" s="45" t="s">
        <v>111</v>
      </c>
      <c r="H4" s="45" t="s">
        <v>113</v>
      </c>
      <c r="I4" s="45" t="s">
        <v>115</v>
      </c>
      <c r="J4" s="45" t="s">
        <v>117</v>
      </c>
      <c r="K4" s="45" t="s">
        <v>119</v>
      </c>
      <c r="L4" s="45" t="s">
        <v>121</v>
      </c>
      <c r="M4" s="45" t="s">
        <v>123</v>
      </c>
      <c r="N4" s="45" t="s">
        <v>125</v>
      </c>
      <c r="O4" s="45" t="s">
        <v>127</v>
      </c>
      <c r="P4" s="45" t="s">
        <v>129</v>
      </c>
      <c r="Q4" s="45" t="s">
        <v>130</v>
      </c>
      <c r="R4" s="45" t="s">
        <v>133</v>
      </c>
      <c r="S4" s="45" t="s">
        <v>135</v>
      </c>
      <c r="T4" s="45" t="s">
        <v>137</v>
      </c>
      <c r="U4" s="45" t="s">
        <v>139</v>
      </c>
      <c r="V4" s="45" t="s">
        <v>141</v>
      </c>
      <c r="W4" s="45" t="s">
        <v>143</v>
      </c>
      <c r="X4" s="45" t="s">
        <v>145</v>
      </c>
      <c r="Y4" s="45" t="s">
        <v>147</v>
      </c>
      <c r="Z4" s="45" t="s">
        <v>149</v>
      </c>
      <c r="AA4" s="45" t="s">
        <v>151</v>
      </c>
      <c r="AB4" s="45" t="s">
        <v>153</v>
      </c>
      <c r="AC4" s="45" t="s">
        <v>155</v>
      </c>
      <c r="AD4" s="45" t="s">
        <v>157</v>
      </c>
      <c r="AE4" s="45" t="s">
        <v>159</v>
      </c>
      <c r="AF4" s="45" t="s">
        <v>161</v>
      </c>
      <c r="AG4" s="45" t="s">
        <v>163</v>
      </c>
      <c r="AH4" s="45" t="s">
        <v>165</v>
      </c>
      <c r="AI4" s="45" t="s">
        <v>167</v>
      </c>
      <c r="AJ4" s="45" t="s">
        <v>169</v>
      </c>
      <c r="AK4" s="47">
        <f>MATCH($AL$4,OutputAddresses,0)</f>
        <v>1</v>
      </c>
      <c r="AL4" s="46" t="s">
        <v>58</v>
      </c>
    </row>
    <row r="5" spans="1:38" x14ac:dyDescent="0.6">
      <c r="A5">
        <v>2000</v>
      </c>
      <c r="B5" s="54">
        <v>183135.11</v>
      </c>
      <c r="C5" s="94">
        <v>1000</v>
      </c>
      <c r="D5" s="94">
        <v>0</v>
      </c>
      <c r="E5" s="94">
        <v>1583.0000000000002</v>
      </c>
      <c r="F5" s="94">
        <v>0</v>
      </c>
      <c r="G5" s="94">
        <v>0</v>
      </c>
      <c r="H5" s="94">
        <v>2140.0000000000005</v>
      </c>
      <c r="I5" s="94">
        <v>530.18024471680462</v>
      </c>
      <c r="J5" s="94">
        <v>839.81975528319538</v>
      </c>
      <c r="K5" s="94">
        <v>2000</v>
      </c>
      <c r="L5" s="94">
        <v>0</v>
      </c>
      <c r="M5" s="94">
        <v>0</v>
      </c>
      <c r="N5" s="94">
        <v>1849.9999999999991</v>
      </c>
      <c r="O5" s="94">
        <v>0</v>
      </c>
      <c r="P5" s="94">
        <v>1260.0000000000005</v>
      </c>
      <c r="Q5" s="94">
        <v>0</v>
      </c>
      <c r="R5" s="94">
        <v>1700</v>
      </c>
      <c r="S5" s="94">
        <v>480</v>
      </c>
      <c r="T5" s="94">
        <v>0</v>
      </c>
      <c r="U5" s="94">
        <v>0</v>
      </c>
      <c r="V5" s="94">
        <v>850</v>
      </c>
      <c r="W5" s="94">
        <v>133.09515107960249</v>
      </c>
      <c r="X5" s="94">
        <v>506.90484892039785</v>
      </c>
      <c r="Y5" s="94">
        <v>651.09887877114329</v>
      </c>
      <c r="Z5" s="94">
        <v>0</v>
      </c>
      <c r="AA5" s="94">
        <v>0</v>
      </c>
      <c r="AB5" s="94">
        <v>970</v>
      </c>
      <c r="AC5" s="94">
        <v>107</v>
      </c>
      <c r="AD5" s="94">
        <v>0</v>
      </c>
      <c r="AE5" s="94">
        <v>80</v>
      </c>
      <c r="AF5" s="94">
        <v>0</v>
      </c>
      <c r="AG5" s="94">
        <v>310</v>
      </c>
      <c r="AH5" s="94">
        <v>0</v>
      </c>
      <c r="AI5" s="94">
        <v>0</v>
      </c>
      <c r="AJ5" s="93">
        <v>0</v>
      </c>
      <c r="AL5">
        <f>INDEX(OutputValues,1,$AK$4)</f>
        <v>183135.11</v>
      </c>
    </row>
    <row r="6" spans="1:38" x14ac:dyDescent="0.6">
      <c r="A6">
        <v>2050</v>
      </c>
      <c r="B6" s="55">
        <v>186124.37</v>
      </c>
      <c r="C6" s="36">
        <v>1000</v>
      </c>
      <c r="D6" s="36">
        <v>0</v>
      </c>
      <c r="E6" s="36">
        <v>1583</v>
      </c>
      <c r="F6" s="36">
        <v>0</v>
      </c>
      <c r="G6" s="36">
        <v>0</v>
      </c>
      <c r="H6" s="36">
        <v>2140</v>
      </c>
      <c r="I6" s="36">
        <v>658.00975083472508</v>
      </c>
      <c r="J6" s="36">
        <v>711.99024916527492</v>
      </c>
      <c r="K6" s="36">
        <v>2000</v>
      </c>
      <c r="L6" s="36">
        <v>0</v>
      </c>
      <c r="M6" s="36">
        <v>0</v>
      </c>
      <c r="N6" s="36">
        <v>1849.9999999999991</v>
      </c>
      <c r="O6" s="36">
        <v>0</v>
      </c>
      <c r="P6" s="36">
        <v>1260.0000000000002</v>
      </c>
      <c r="Q6" s="36">
        <v>0</v>
      </c>
      <c r="R6" s="36">
        <v>1700</v>
      </c>
      <c r="S6" s="36">
        <v>480</v>
      </c>
      <c r="T6" s="36">
        <v>0</v>
      </c>
      <c r="U6" s="36">
        <v>0</v>
      </c>
      <c r="V6" s="36">
        <v>850</v>
      </c>
      <c r="W6" s="36">
        <v>171.27923068159271</v>
      </c>
      <c r="X6" s="36">
        <v>468.72076931840775</v>
      </c>
      <c r="Y6" s="36">
        <v>656.94464991542191</v>
      </c>
      <c r="Z6" s="36">
        <v>0</v>
      </c>
      <c r="AA6" s="36">
        <v>0</v>
      </c>
      <c r="AB6" s="36">
        <v>970</v>
      </c>
      <c r="AC6" s="36">
        <v>107</v>
      </c>
      <c r="AD6" s="36">
        <v>0</v>
      </c>
      <c r="AE6" s="36">
        <v>80</v>
      </c>
      <c r="AF6" s="36">
        <v>0</v>
      </c>
      <c r="AG6" s="36">
        <v>310</v>
      </c>
      <c r="AH6" s="36">
        <v>0</v>
      </c>
      <c r="AI6" s="36">
        <v>0</v>
      </c>
      <c r="AJ6" s="92">
        <v>0</v>
      </c>
      <c r="AL6">
        <f>INDEX(OutputValues,2,$AK$4)</f>
        <v>186124.37</v>
      </c>
    </row>
    <row r="7" spans="1:38" x14ac:dyDescent="0.6">
      <c r="A7">
        <v>2100</v>
      </c>
      <c r="B7" s="55">
        <v>189113.63</v>
      </c>
      <c r="C7" s="36">
        <v>1000</v>
      </c>
      <c r="D7" s="36">
        <v>0</v>
      </c>
      <c r="E7" s="36">
        <v>1583.0000000000002</v>
      </c>
      <c r="F7" s="36">
        <v>0</v>
      </c>
      <c r="G7" s="36">
        <v>0</v>
      </c>
      <c r="H7" s="36">
        <v>2140</v>
      </c>
      <c r="I7" s="36">
        <v>785.83925695264611</v>
      </c>
      <c r="J7" s="36">
        <v>584.16074304735389</v>
      </c>
      <c r="K7" s="36">
        <v>2000</v>
      </c>
      <c r="L7" s="36">
        <v>0</v>
      </c>
      <c r="M7" s="36">
        <v>0</v>
      </c>
      <c r="N7" s="36">
        <v>1849.9999999999986</v>
      </c>
      <c r="O7" s="36">
        <v>0</v>
      </c>
      <c r="P7" s="36">
        <v>1260.0000000000009</v>
      </c>
      <c r="Q7" s="36">
        <v>0</v>
      </c>
      <c r="R7" s="36">
        <v>1700</v>
      </c>
      <c r="S7" s="36">
        <v>480</v>
      </c>
      <c r="T7" s="36">
        <v>0</v>
      </c>
      <c r="U7" s="36">
        <v>0</v>
      </c>
      <c r="V7" s="36">
        <v>850</v>
      </c>
      <c r="W7" s="36">
        <v>209.46331028358281</v>
      </c>
      <c r="X7" s="36">
        <v>430.53668971641741</v>
      </c>
      <c r="Y7" s="36">
        <v>662.79042105970041</v>
      </c>
      <c r="Z7" s="36">
        <v>0</v>
      </c>
      <c r="AA7" s="36">
        <v>0</v>
      </c>
      <c r="AB7" s="36">
        <v>970</v>
      </c>
      <c r="AC7" s="36">
        <v>107</v>
      </c>
      <c r="AD7" s="36">
        <v>0</v>
      </c>
      <c r="AE7" s="36">
        <v>80</v>
      </c>
      <c r="AF7" s="36">
        <v>0</v>
      </c>
      <c r="AG7" s="36">
        <v>310</v>
      </c>
      <c r="AH7" s="36">
        <v>0</v>
      </c>
      <c r="AI7" s="36">
        <v>0</v>
      </c>
      <c r="AJ7" s="92">
        <v>0</v>
      </c>
      <c r="AL7">
        <f>INDEX(OutputValues,3,$AK$4)</f>
        <v>189113.63</v>
      </c>
    </row>
    <row r="8" spans="1:38" x14ac:dyDescent="0.6">
      <c r="A8">
        <v>2150</v>
      </c>
      <c r="B8" s="55">
        <v>192102.89</v>
      </c>
      <c r="C8" s="36">
        <v>1000</v>
      </c>
      <c r="D8" s="36">
        <v>0</v>
      </c>
      <c r="E8" s="36">
        <v>1583.0000000000002</v>
      </c>
      <c r="F8" s="36">
        <v>0</v>
      </c>
      <c r="G8" s="36">
        <v>0</v>
      </c>
      <c r="H8" s="36">
        <v>2140</v>
      </c>
      <c r="I8" s="36">
        <v>913.668763070566</v>
      </c>
      <c r="J8" s="36">
        <v>456.331236929434</v>
      </c>
      <c r="K8" s="36">
        <v>2000</v>
      </c>
      <c r="L8" s="36">
        <v>0</v>
      </c>
      <c r="M8" s="36">
        <v>0</v>
      </c>
      <c r="N8" s="36">
        <v>1849.9999999999986</v>
      </c>
      <c r="O8" s="36">
        <v>0</v>
      </c>
      <c r="P8" s="36">
        <v>1260.0000000000005</v>
      </c>
      <c r="Q8" s="36">
        <v>0</v>
      </c>
      <c r="R8" s="36">
        <v>1700</v>
      </c>
      <c r="S8" s="36">
        <v>480</v>
      </c>
      <c r="T8" s="36">
        <v>0</v>
      </c>
      <c r="U8" s="36">
        <v>0</v>
      </c>
      <c r="V8" s="36">
        <v>850</v>
      </c>
      <c r="W8" s="36">
        <v>247.64738988557292</v>
      </c>
      <c r="X8" s="36">
        <v>392.35261011442742</v>
      </c>
      <c r="Y8" s="36">
        <v>668.63619220397891</v>
      </c>
      <c r="Z8" s="36">
        <v>0</v>
      </c>
      <c r="AA8" s="36">
        <v>0</v>
      </c>
      <c r="AB8" s="36">
        <v>970</v>
      </c>
      <c r="AC8" s="36">
        <v>107</v>
      </c>
      <c r="AD8" s="36">
        <v>0</v>
      </c>
      <c r="AE8" s="36">
        <v>80</v>
      </c>
      <c r="AF8" s="36">
        <v>0</v>
      </c>
      <c r="AG8" s="36">
        <v>310</v>
      </c>
      <c r="AH8" s="36">
        <v>0</v>
      </c>
      <c r="AI8" s="36">
        <v>0</v>
      </c>
      <c r="AJ8" s="92">
        <v>0</v>
      </c>
      <c r="AL8">
        <f>INDEX(OutputValues,4,$AK$4)</f>
        <v>192102.89</v>
      </c>
    </row>
    <row r="9" spans="1:38" x14ac:dyDescent="0.6">
      <c r="A9">
        <v>2200</v>
      </c>
      <c r="B9" s="55">
        <v>195092.14</v>
      </c>
      <c r="C9" s="36">
        <v>1000</v>
      </c>
      <c r="D9" s="36">
        <v>0</v>
      </c>
      <c r="E9" s="36">
        <v>1583.0000000000005</v>
      </c>
      <c r="F9" s="36">
        <v>0</v>
      </c>
      <c r="G9" s="36">
        <v>0</v>
      </c>
      <c r="H9" s="36">
        <v>2140</v>
      </c>
      <c r="I9" s="36">
        <v>1041.4982691884859</v>
      </c>
      <c r="J9" s="36">
        <v>328.50173081151411</v>
      </c>
      <c r="K9" s="36">
        <v>2000</v>
      </c>
      <c r="L9" s="36">
        <v>0</v>
      </c>
      <c r="M9" s="36">
        <v>0</v>
      </c>
      <c r="N9" s="36">
        <v>1849.9999999999989</v>
      </c>
      <c r="O9" s="36">
        <v>0</v>
      </c>
      <c r="P9" s="36">
        <v>1260.0000000000007</v>
      </c>
      <c r="Q9" s="36">
        <v>0</v>
      </c>
      <c r="R9" s="36">
        <v>1700</v>
      </c>
      <c r="S9" s="36">
        <v>480</v>
      </c>
      <c r="T9" s="36">
        <v>0</v>
      </c>
      <c r="U9" s="36">
        <v>0</v>
      </c>
      <c r="V9" s="36">
        <v>850</v>
      </c>
      <c r="W9" s="36">
        <v>285.8314694875628</v>
      </c>
      <c r="X9" s="36">
        <v>354.16853051243743</v>
      </c>
      <c r="Y9" s="36">
        <v>674.48196334825764</v>
      </c>
      <c r="Z9" s="36">
        <v>0</v>
      </c>
      <c r="AA9" s="36">
        <v>0</v>
      </c>
      <c r="AB9" s="36">
        <v>970</v>
      </c>
      <c r="AC9" s="36">
        <v>107</v>
      </c>
      <c r="AD9" s="36">
        <v>0</v>
      </c>
      <c r="AE9" s="36">
        <v>80</v>
      </c>
      <c r="AF9" s="36">
        <v>0</v>
      </c>
      <c r="AG9" s="36">
        <v>310</v>
      </c>
      <c r="AH9" s="36">
        <v>0</v>
      </c>
      <c r="AI9" s="36">
        <v>0</v>
      </c>
      <c r="AJ9" s="92">
        <v>0</v>
      </c>
      <c r="AL9">
        <f>INDEX(OutputValues,5,$AK$4)</f>
        <v>195092.14</v>
      </c>
    </row>
    <row r="10" spans="1:38" x14ac:dyDescent="0.6">
      <c r="A10">
        <v>2250</v>
      </c>
      <c r="B10" s="55">
        <v>198081.4</v>
      </c>
      <c r="C10" s="36">
        <v>1000</v>
      </c>
      <c r="D10" s="36">
        <v>0</v>
      </c>
      <c r="E10" s="36">
        <v>1583.0000000000005</v>
      </c>
      <c r="F10" s="36">
        <v>0</v>
      </c>
      <c r="G10" s="36">
        <v>0</v>
      </c>
      <c r="H10" s="36">
        <v>2140</v>
      </c>
      <c r="I10" s="36">
        <v>1169.3277753064067</v>
      </c>
      <c r="J10" s="36">
        <v>200.67222469359331</v>
      </c>
      <c r="K10" s="36">
        <v>2000</v>
      </c>
      <c r="L10" s="36">
        <v>0</v>
      </c>
      <c r="M10" s="36">
        <v>0</v>
      </c>
      <c r="N10" s="36">
        <v>1849.9999999999998</v>
      </c>
      <c r="O10" s="36">
        <v>0</v>
      </c>
      <c r="P10" s="36">
        <v>1260.0000000000009</v>
      </c>
      <c r="Q10" s="36">
        <v>0</v>
      </c>
      <c r="R10" s="36">
        <v>1700</v>
      </c>
      <c r="S10" s="36">
        <v>480</v>
      </c>
      <c r="T10" s="36">
        <v>0</v>
      </c>
      <c r="U10" s="36">
        <v>0</v>
      </c>
      <c r="V10" s="36">
        <v>850</v>
      </c>
      <c r="W10" s="36">
        <v>324.01554908955279</v>
      </c>
      <c r="X10" s="36">
        <v>315.98445091044744</v>
      </c>
      <c r="Y10" s="36">
        <v>680.32773449253636</v>
      </c>
      <c r="Z10" s="36">
        <v>0</v>
      </c>
      <c r="AA10" s="36">
        <v>0</v>
      </c>
      <c r="AB10" s="36">
        <v>969.99999999999989</v>
      </c>
      <c r="AC10" s="36">
        <v>106.99999999999999</v>
      </c>
      <c r="AD10" s="36">
        <v>0</v>
      </c>
      <c r="AE10" s="36">
        <v>80</v>
      </c>
      <c r="AF10" s="36">
        <v>0</v>
      </c>
      <c r="AG10" s="36">
        <v>310</v>
      </c>
      <c r="AH10" s="36">
        <v>0</v>
      </c>
      <c r="AI10" s="36">
        <v>0</v>
      </c>
      <c r="AJ10" s="92">
        <v>0</v>
      </c>
      <c r="AL10">
        <f>INDEX(OutputValues,6,$AK$4)</f>
        <v>198081.4</v>
      </c>
    </row>
    <row r="11" spans="1:38" x14ac:dyDescent="0.6">
      <c r="A11">
        <v>2300</v>
      </c>
      <c r="B11" s="55">
        <v>201070.66</v>
      </c>
      <c r="C11" s="36">
        <v>1000</v>
      </c>
      <c r="D11" s="36">
        <v>0</v>
      </c>
      <c r="E11" s="36">
        <v>1583</v>
      </c>
      <c r="F11" s="36">
        <v>0</v>
      </c>
      <c r="G11" s="36">
        <v>0</v>
      </c>
      <c r="H11" s="36">
        <v>2140.0000000000005</v>
      </c>
      <c r="I11" s="36">
        <v>1297.1572814243266</v>
      </c>
      <c r="J11" s="36">
        <v>72.842718575673416</v>
      </c>
      <c r="K11" s="36">
        <v>2000</v>
      </c>
      <c r="L11" s="36">
        <v>0</v>
      </c>
      <c r="M11" s="36">
        <v>0</v>
      </c>
      <c r="N11" s="36">
        <v>1849.9999999999995</v>
      </c>
      <c r="O11" s="36">
        <v>0</v>
      </c>
      <c r="P11" s="36">
        <v>1260.0000000000009</v>
      </c>
      <c r="Q11" s="36">
        <v>0</v>
      </c>
      <c r="R11" s="36">
        <v>1700</v>
      </c>
      <c r="S11" s="36">
        <v>480</v>
      </c>
      <c r="T11" s="36">
        <v>0</v>
      </c>
      <c r="U11" s="36">
        <v>0</v>
      </c>
      <c r="V11" s="36">
        <v>850</v>
      </c>
      <c r="W11" s="36">
        <v>362.1996286915429</v>
      </c>
      <c r="X11" s="36">
        <v>277.80037130845722</v>
      </c>
      <c r="Y11" s="36">
        <v>686.17350563681487</v>
      </c>
      <c r="Z11" s="36">
        <v>0</v>
      </c>
      <c r="AA11" s="36">
        <v>0</v>
      </c>
      <c r="AB11" s="36">
        <v>970</v>
      </c>
      <c r="AC11" s="36">
        <v>107</v>
      </c>
      <c r="AD11" s="36">
        <v>0</v>
      </c>
      <c r="AE11" s="36">
        <v>80</v>
      </c>
      <c r="AF11" s="36">
        <v>0</v>
      </c>
      <c r="AG11" s="36">
        <v>310</v>
      </c>
      <c r="AH11" s="36">
        <v>0</v>
      </c>
      <c r="AI11" s="36">
        <v>0</v>
      </c>
      <c r="AJ11" s="92">
        <v>0</v>
      </c>
      <c r="AL11">
        <f>INDEX(OutputValues,7,$AK$4)</f>
        <v>201070.66</v>
      </c>
    </row>
    <row r="12" spans="1:38" x14ac:dyDescent="0.6">
      <c r="A12">
        <v>2350</v>
      </c>
      <c r="B12" s="55">
        <v>203881.22</v>
      </c>
      <c r="C12" s="36">
        <v>1000</v>
      </c>
      <c r="D12" s="36">
        <v>0</v>
      </c>
      <c r="E12" s="36">
        <v>1583</v>
      </c>
      <c r="F12" s="36">
        <v>0</v>
      </c>
      <c r="G12" s="36">
        <v>0</v>
      </c>
      <c r="H12" s="36">
        <v>2140</v>
      </c>
      <c r="I12" s="36">
        <v>1370</v>
      </c>
      <c r="J12" s="36">
        <v>0</v>
      </c>
      <c r="K12" s="36">
        <v>2000</v>
      </c>
      <c r="L12" s="36">
        <v>0</v>
      </c>
      <c r="M12" s="36">
        <v>54.986787542246248</v>
      </c>
      <c r="N12" s="36">
        <v>1795.0132124577535</v>
      </c>
      <c r="O12" s="36">
        <v>0</v>
      </c>
      <c r="P12" s="36">
        <v>1260.0000000000009</v>
      </c>
      <c r="Q12" s="36">
        <v>0</v>
      </c>
      <c r="R12" s="36">
        <v>1700</v>
      </c>
      <c r="S12" s="36">
        <v>480</v>
      </c>
      <c r="T12" s="36">
        <v>0</v>
      </c>
      <c r="U12" s="36">
        <v>0</v>
      </c>
      <c r="V12" s="36">
        <v>850</v>
      </c>
      <c r="W12" s="36">
        <v>400.38370829353289</v>
      </c>
      <c r="X12" s="36">
        <v>239.61629170646711</v>
      </c>
      <c r="Y12" s="36">
        <v>692.01927678109348</v>
      </c>
      <c r="Z12" s="36">
        <v>0</v>
      </c>
      <c r="AA12" s="36">
        <v>0</v>
      </c>
      <c r="AB12" s="36">
        <v>970</v>
      </c>
      <c r="AC12" s="36">
        <v>107</v>
      </c>
      <c r="AD12" s="36">
        <v>0</v>
      </c>
      <c r="AE12" s="36">
        <v>80</v>
      </c>
      <c r="AF12" s="36">
        <v>0</v>
      </c>
      <c r="AG12" s="36">
        <v>310</v>
      </c>
      <c r="AH12" s="36">
        <v>0</v>
      </c>
      <c r="AI12" s="36">
        <v>0</v>
      </c>
      <c r="AJ12" s="92">
        <v>0</v>
      </c>
      <c r="AL12">
        <f>INDEX(OutputValues,8,$AK$4)</f>
        <v>203881.22</v>
      </c>
    </row>
    <row r="13" spans="1:38" x14ac:dyDescent="0.6">
      <c r="A13">
        <v>2400</v>
      </c>
      <c r="B13" s="55">
        <v>206455.03</v>
      </c>
      <c r="C13" s="36">
        <v>1000</v>
      </c>
      <c r="D13" s="36">
        <v>0</v>
      </c>
      <c r="E13" s="36">
        <v>1582.9999999999998</v>
      </c>
      <c r="F13" s="36">
        <v>0</v>
      </c>
      <c r="G13" s="36">
        <v>0</v>
      </c>
      <c r="H13" s="36">
        <v>2140.0000000000005</v>
      </c>
      <c r="I13" s="36">
        <v>1370</v>
      </c>
      <c r="J13" s="36">
        <v>0</v>
      </c>
      <c r="K13" s="36">
        <v>2000</v>
      </c>
      <c r="L13" s="36">
        <v>0</v>
      </c>
      <c r="M13" s="36">
        <v>182.81629366016637</v>
      </c>
      <c r="N13" s="36">
        <v>1667.1837063398325</v>
      </c>
      <c r="O13" s="36">
        <v>0</v>
      </c>
      <c r="P13" s="36">
        <v>1260</v>
      </c>
      <c r="Q13" s="36">
        <v>0</v>
      </c>
      <c r="R13" s="36">
        <v>1700</v>
      </c>
      <c r="S13" s="36">
        <v>480</v>
      </c>
      <c r="T13" s="36">
        <v>0</v>
      </c>
      <c r="U13" s="36">
        <v>0</v>
      </c>
      <c r="V13" s="36">
        <v>850</v>
      </c>
      <c r="W13" s="36">
        <v>438.567787895523</v>
      </c>
      <c r="X13" s="36">
        <v>201.432212104477</v>
      </c>
      <c r="Y13" s="36">
        <v>697.8650479253721</v>
      </c>
      <c r="Z13" s="36">
        <v>0</v>
      </c>
      <c r="AA13" s="36">
        <v>0</v>
      </c>
      <c r="AB13" s="36">
        <v>970</v>
      </c>
      <c r="AC13" s="36">
        <v>107</v>
      </c>
      <c r="AD13" s="36">
        <v>0</v>
      </c>
      <c r="AE13" s="36">
        <v>80</v>
      </c>
      <c r="AF13" s="36">
        <v>0</v>
      </c>
      <c r="AG13" s="36">
        <v>310</v>
      </c>
      <c r="AH13" s="36">
        <v>0</v>
      </c>
      <c r="AI13" s="36">
        <v>0</v>
      </c>
      <c r="AJ13" s="92">
        <v>0</v>
      </c>
      <c r="AL13">
        <f>INDEX(OutputValues,9,$AK$4)</f>
        <v>206455.03</v>
      </c>
    </row>
    <row r="14" spans="1:38" x14ac:dyDescent="0.6">
      <c r="A14">
        <v>2450</v>
      </c>
      <c r="B14" s="55">
        <v>209028.84</v>
      </c>
      <c r="C14" s="36">
        <v>1000</v>
      </c>
      <c r="D14" s="36">
        <v>0</v>
      </c>
      <c r="E14" s="36">
        <v>1583</v>
      </c>
      <c r="F14" s="36">
        <v>0</v>
      </c>
      <c r="G14" s="36">
        <v>0</v>
      </c>
      <c r="H14" s="36">
        <v>2140.0000000000005</v>
      </c>
      <c r="I14" s="36">
        <v>1370</v>
      </c>
      <c r="J14" s="36">
        <v>0</v>
      </c>
      <c r="K14" s="36">
        <v>2000</v>
      </c>
      <c r="L14" s="36">
        <v>0</v>
      </c>
      <c r="M14" s="36">
        <v>310.64579977808671</v>
      </c>
      <c r="N14" s="36">
        <v>1539.3542002219137</v>
      </c>
      <c r="O14" s="36">
        <v>0</v>
      </c>
      <c r="P14" s="36">
        <v>1260</v>
      </c>
      <c r="Q14" s="36">
        <v>0</v>
      </c>
      <c r="R14" s="36">
        <v>1700</v>
      </c>
      <c r="S14" s="36">
        <v>480</v>
      </c>
      <c r="T14" s="36">
        <v>0</v>
      </c>
      <c r="U14" s="36">
        <v>0</v>
      </c>
      <c r="V14" s="36">
        <v>850</v>
      </c>
      <c r="W14" s="36">
        <v>476.75186749751299</v>
      </c>
      <c r="X14" s="36">
        <v>163.24813250248758</v>
      </c>
      <c r="Y14" s="36">
        <v>703.71081906965082</v>
      </c>
      <c r="Z14" s="36">
        <v>0</v>
      </c>
      <c r="AA14" s="36">
        <v>0</v>
      </c>
      <c r="AB14" s="36">
        <v>970</v>
      </c>
      <c r="AC14" s="36">
        <v>107</v>
      </c>
      <c r="AD14" s="36">
        <v>0</v>
      </c>
      <c r="AE14" s="36">
        <v>80</v>
      </c>
      <c r="AF14" s="36">
        <v>0</v>
      </c>
      <c r="AG14" s="36">
        <v>310</v>
      </c>
      <c r="AH14" s="36">
        <v>0</v>
      </c>
      <c r="AI14" s="36">
        <v>0</v>
      </c>
      <c r="AJ14" s="92">
        <v>0</v>
      </c>
      <c r="AL14">
        <f>INDEX(OutputValues,10,$AK$4)</f>
        <v>209028.84</v>
      </c>
    </row>
    <row r="15" spans="1:38" x14ac:dyDescent="0.6">
      <c r="A15">
        <v>2500</v>
      </c>
      <c r="B15" s="55">
        <v>211602.66</v>
      </c>
      <c r="C15" s="36">
        <v>1000</v>
      </c>
      <c r="D15" s="36">
        <v>0</v>
      </c>
      <c r="E15" s="36">
        <v>1583</v>
      </c>
      <c r="F15" s="36">
        <v>0</v>
      </c>
      <c r="G15" s="36">
        <v>0</v>
      </c>
      <c r="H15" s="36">
        <v>2140.0000000000005</v>
      </c>
      <c r="I15" s="36">
        <v>1370</v>
      </c>
      <c r="J15" s="36">
        <v>0</v>
      </c>
      <c r="K15" s="36">
        <v>2000</v>
      </c>
      <c r="L15" s="36">
        <v>0</v>
      </c>
      <c r="M15" s="36">
        <v>438.47530589600751</v>
      </c>
      <c r="N15" s="36">
        <v>1411.5246941039927</v>
      </c>
      <c r="O15" s="36">
        <v>0</v>
      </c>
      <c r="P15" s="36">
        <v>1260</v>
      </c>
      <c r="Q15" s="36">
        <v>0</v>
      </c>
      <c r="R15" s="36">
        <v>1700</v>
      </c>
      <c r="S15" s="36">
        <v>480</v>
      </c>
      <c r="T15" s="36">
        <v>0</v>
      </c>
      <c r="U15" s="36">
        <v>0</v>
      </c>
      <c r="V15" s="36">
        <v>850</v>
      </c>
      <c r="W15" s="36">
        <v>514.93594709950287</v>
      </c>
      <c r="X15" s="36">
        <v>125.0640529004977</v>
      </c>
      <c r="Y15" s="36">
        <v>709.55659021392944</v>
      </c>
      <c r="Z15" s="36">
        <v>0</v>
      </c>
      <c r="AA15" s="36">
        <v>0</v>
      </c>
      <c r="AB15" s="36">
        <v>970</v>
      </c>
      <c r="AC15" s="36">
        <v>107</v>
      </c>
      <c r="AD15" s="36">
        <v>0</v>
      </c>
      <c r="AE15" s="36">
        <v>80.000000000000071</v>
      </c>
      <c r="AF15" s="36">
        <v>0</v>
      </c>
      <c r="AG15" s="36">
        <v>310</v>
      </c>
      <c r="AH15" s="36">
        <v>0</v>
      </c>
      <c r="AI15" s="36">
        <v>0</v>
      </c>
      <c r="AJ15" s="92">
        <v>0</v>
      </c>
      <c r="AL15">
        <f>INDEX(OutputValues,11,$AK$4)</f>
        <v>211602.66</v>
      </c>
    </row>
    <row r="16" spans="1:38" x14ac:dyDescent="0.6">
      <c r="A16">
        <v>2550</v>
      </c>
      <c r="B16" s="55">
        <v>214176.47</v>
      </c>
      <c r="C16" s="36">
        <v>1000</v>
      </c>
      <c r="D16" s="36">
        <v>0</v>
      </c>
      <c r="E16" s="36">
        <v>1583</v>
      </c>
      <c r="F16" s="36">
        <v>0</v>
      </c>
      <c r="G16" s="36">
        <v>0</v>
      </c>
      <c r="H16" s="36">
        <v>2140</v>
      </c>
      <c r="I16" s="36">
        <v>1370</v>
      </c>
      <c r="J16" s="36">
        <v>0</v>
      </c>
      <c r="K16" s="36">
        <v>2000</v>
      </c>
      <c r="L16" s="36">
        <v>0</v>
      </c>
      <c r="M16" s="36">
        <v>566.30481201392718</v>
      </c>
      <c r="N16" s="36">
        <v>1283.6951879860726</v>
      </c>
      <c r="O16" s="36">
        <v>0</v>
      </c>
      <c r="P16" s="36">
        <v>1260.0000000000002</v>
      </c>
      <c r="Q16" s="36">
        <v>0</v>
      </c>
      <c r="R16" s="36">
        <v>1700</v>
      </c>
      <c r="S16" s="36">
        <v>480</v>
      </c>
      <c r="T16" s="36">
        <v>0</v>
      </c>
      <c r="U16" s="36">
        <v>0</v>
      </c>
      <c r="V16" s="36">
        <v>850</v>
      </c>
      <c r="W16" s="36">
        <v>553.12002670149275</v>
      </c>
      <c r="X16" s="36">
        <v>86.879973298507593</v>
      </c>
      <c r="Y16" s="36">
        <v>715.40236135820805</v>
      </c>
      <c r="Z16" s="36">
        <v>0</v>
      </c>
      <c r="AA16" s="36">
        <v>0</v>
      </c>
      <c r="AB16" s="36">
        <v>970</v>
      </c>
      <c r="AC16" s="36">
        <v>107</v>
      </c>
      <c r="AD16" s="36">
        <v>0</v>
      </c>
      <c r="AE16" s="36">
        <v>80</v>
      </c>
      <c r="AF16" s="36">
        <v>0</v>
      </c>
      <c r="AG16" s="36">
        <v>310</v>
      </c>
      <c r="AH16" s="36">
        <v>0</v>
      </c>
      <c r="AI16" s="36">
        <v>0</v>
      </c>
      <c r="AJ16" s="92">
        <v>0</v>
      </c>
      <c r="AL16">
        <f>INDEX(OutputValues,12,$AK$4)</f>
        <v>214176.47</v>
      </c>
    </row>
    <row r="17" spans="1:38" x14ac:dyDescent="0.6">
      <c r="A17">
        <v>2600</v>
      </c>
      <c r="B17" s="55">
        <v>216750.28</v>
      </c>
      <c r="C17" s="36">
        <v>1000</v>
      </c>
      <c r="D17" s="36">
        <v>0</v>
      </c>
      <c r="E17" s="36">
        <v>1583</v>
      </c>
      <c r="F17" s="36">
        <v>0</v>
      </c>
      <c r="G17" s="36">
        <v>0</v>
      </c>
      <c r="H17" s="36">
        <v>2140.0000000000005</v>
      </c>
      <c r="I17" s="36">
        <v>1370</v>
      </c>
      <c r="J17" s="36">
        <v>0</v>
      </c>
      <c r="K17" s="36">
        <v>2000</v>
      </c>
      <c r="L17" s="36">
        <v>0</v>
      </c>
      <c r="M17" s="36">
        <v>694.13431813184707</v>
      </c>
      <c r="N17" s="36">
        <v>1155.8656818681523</v>
      </c>
      <c r="O17" s="36">
        <v>0</v>
      </c>
      <c r="P17" s="36">
        <v>1260.0000000000002</v>
      </c>
      <c r="Q17" s="36">
        <v>0</v>
      </c>
      <c r="R17" s="36">
        <v>1700</v>
      </c>
      <c r="S17" s="36">
        <v>480</v>
      </c>
      <c r="T17" s="36">
        <v>0</v>
      </c>
      <c r="U17" s="36">
        <v>0</v>
      </c>
      <c r="V17" s="36">
        <v>850</v>
      </c>
      <c r="W17" s="36">
        <v>591.30410630348297</v>
      </c>
      <c r="X17" s="36">
        <v>48.695893696517373</v>
      </c>
      <c r="Y17" s="36">
        <v>721.2481325024869</v>
      </c>
      <c r="Z17" s="36">
        <v>0</v>
      </c>
      <c r="AA17" s="36">
        <v>0</v>
      </c>
      <c r="AB17" s="36">
        <v>970</v>
      </c>
      <c r="AC17" s="36">
        <v>107</v>
      </c>
      <c r="AD17" s="36">
        <v>0</v>
      </c>
      <c r="AE17" s="36">
        <v>80</v>
      </c>
      <c r="AF17" s="36">
        <v>0</v>
      </c>
      <c r="AG17" s="36">
        <v>310</v>
      </c>
      <c r="AH17" s="36">
        <v>0</v>
      </c>
      <c r="AI17" s="36">
        <v>0</v>
      </c>
      <c r="AJ17" s="92">
        <v>0</v>
      </c>
      <c r="AL17">
        <f>INDEX(OutputValues,13,$AK$4)</f>
        <v>216750.28</v>
      </c>
    </row>
    <row r="18" spans="1:38" x14ac:dyDescent="0.6">
      <c r="A18">
        <v>2650</v>
      </c>
      <c r="B18" s="55">
        <v>219324.1</v>
      </c>
      <c r="C18" s="36">
        <v>1000</v>
      </c>
      <c r="D18" s="36">
        <v>0</v>
      </c>
      <c r="E18" s="36">
        <v>1583</v>
      </c>
      <c r="F18" s="36">
        <v>0</v>
      </c>
      <c r="G18" s="36">
        <v>0</v>
      </c>
      <c r="H18" s="36">
        <v>2140.0000000000005</v>
      </c>
      <c r="I18" s="36">
        <v>1370</v>
      </c>
      <c r="J18" s="36">
        <v>0</v>
      </c>
      <c r="K18" s="36">
        <v>2000</v>
      </c>
      <c r="L18" s="36">
        <v>0</v>
      </c>
      <c r="M18" s="36">
        <v>821.96382424976741</v>
      </c>
      <c r="N18" s="36">
        <v>1028.0361757502321</v>
      </c>
      <c r="O18" s="36">
        <v>0</v>
      </c>
      <c r="P18" s="36">
        <v>1260.0000000000005</v>
      </c>
      <c r="Q18" s="36">
        <v>0</v>
      </c>
      <c r="R18" s="36">
        <v>1700</v>
      </c>
      <c r="S18" s="36">
        <v>480</v>
      </c>
      <c r="T18" s="36">
        <v>0</v>
      </c>
      <c r="U18" s="36">
        <v>0</v>
      </c>
      <c r="V18" s="36">
        <v>850</v>
      </c>
      <c r="W18" s="36">
        <v>629.48818590547285</v>
      </c>
      <c r="X18" s="36">
        <v>10.511814094527381</v>
      </c>
      <c r="Y18" s="36">
        <v>727.09390364676551</v>
      </c>
      <c r="Z18" s="36">
        <v>0</v>
      </c>
      <c r="AA18" s="36">
        <v>0</v>
      </c>
      <c r="AB18" s="36">
        <v>970</v>
      </c>
      <c r="AC18" s="36">
        <v>107</v>
      </c>
      <c r="AD18" s="36">
        <v>0</v>
      </c>
      <c r="AE18" s="36">
        <v>80</v>
      </c>
      <c r="AF18" s="36">
        <v>0</v>
      </c>
      <c r="AG18" s="36">
        <v>310</v>
      </c>
      <c r="AH18" s="36">
        <v>0</v>
      </c>
      <c r="AI18" s="36">
        <v>0</v>
      </c>
      <c r="AJ18" s="92">
        <v>0</v>
      </c>
      <c r="AL18">
        <f>INDEX(OutputValues,14,$AK$4)</f>
        <v>219324.1</v>
      </c>
    </row>
    <row r="19" spans="1:38" x14ac:dyDescent="0.6">
      <c r="A19">
        <v>2700</v>
      </c>
      <c r="B19" s="55">
        <v>221842.57</v>
      </c>
      <c r="C19" s="36">
        <v>1000</v>
      </c>
      <c r="D19" s="36">
        <v>0</v>
      </c>
      <c r="E19" s="36">
        <v>1583</v>
      </c>
      <c r="F19" s="36">
        <v>0</v>
      </c>
      <c r="G19" s="36">
        <v>0</v>
      </c>
      <c r="H19" s="36">
        <v>2140</v>
      </c>
      <c r="I19" s="36">
        <v>1370</v>
      </c>
      <c r="J19" s="36">
        <v>0</v>
      </c>
      <c r="K19" s="36">
        <v>2000</v>
      </c>
      <c r="L19" s="36">
        <v>0</v>
      </c>
      <c r="M19" s="36">
        <v>949.79333036768753</v>
      </c>
      <c r="N19" s="36">
        <v>900.20666963231247</v>
      </c>
      <c r="O19" s="36">
        <v>0</v>
      </c>
      <c r="P19" s="36">
        <v>1260.0000000000002</v>
      </c>
      <c r="Q19" s="36">
        <v>0</v>
      </c>
      <c r="R19" s="36">
        <v>1700</v>
      </c>
      <c r="S19" s="36">
        <v>480</v>
      </c>
      <c r="T19" s="36">
        <v>0</v>
      </c>
      <c r="U19" s="36">
        <v>0</v>
      </c>
      <c r="V19" s="36">
        <v>850</v>
      </c>
      <c r="W19" s="36">
        <v>640</v>
      </c>
      <c r="X19" s="36">
        <v>0</v>
      </c>
      <c r="Y19" s="36">
        <v>732.93967479104424</v>
      </c>
      <c r="Z19" s="36">
        <v>0</v>
      </c>
      <c r="AA19" s="36">
        <v>27.672265507462953</v>
      </c>
      <c r="AB19" s="36">
        <v>942.32773449253705</v>
      </c>
      <c r="AC19" s="36">
        <v>107</v>
      </c>
      <c r="AD19" s="36">
        <v>0</v>
      </c>
      <c r="AE19" s="36">
        <v>80</v>
      </c>
      <c r="AF19" s="36">
        <v>0</v>
      </c>
      <c r="AG19" s="36">
        <v>310</v>
      </c>
      <c r="AH19" s="36">
        <v>0</v>
      </c>
      <c r="AI19" s="36">
        <v>0</v>
      </c>
      <c r="AJ19" s="92">
        <v>0</v>
      </c>
      <c r="AL19">
        <f>INDEX(OutputValues,15,$AK$4)</f>
        <v>221842.57</v>
      </c>
    </row>
    <row r="20" spans="1:38" x14ac:dyDescent="0.6">
      <c r="A20">
        <v>2750</v>
      </c>
      <c r="B20" s="55">
        <v>224340.01</v>
      </c>
      <c r="C20" s="36">
        <v>1000</v>
      </c>
      <c r="D20" s="36">
        <v>0</v>
      </c>
      <c r="E20" s="36">
        <v>1583</v>
      </c>
      <c r="F20" s="36">
        <v>0</v>
      </c>
      <c r="G20" s="36">
        <v>0</v>
      </c>
      <c r="H20" s="36">
        <v>2140</v>
      </c>
      <c r="I20" s="36">
        <v>1370</v>
      </c>
      <c r="J20" s="36">
        <v>0</v>
      </c>
      <c r="K20" s="36">
        <v>2000</v>
      </c>
      <c r="L20" s="36">
        <v>0</v>
      </c>
      <c r="M20" s="36">
        <v>1077.6228364856076</v>
      </c>
      <c r="N20" s="36">
        <v>772.37716351439235</v>
      </c>
      <c r="O20" s="36">
        <v>0</v>
      </c>
      <c r="P20" s="36">
        <v>1260.0000000000002</v>
      </c>
      <c r="Q20" s="36">
        <v>0</v>
      </c>
      <c r="R20" s="36">
        <v>1700</v>
      </c>
      <c r="S20" s="36">
        <v>480</v>
      </c>
      <c r="T20" s="36">
        <v>0</v>
      </c>
      <c r="U20" s="36">
        <v>0</v>
      </c>
      <c r="V20" s="36">
        <v>850</v>
      </c>
      <c r="W20" s="36">
        <v>640</v>
      </c>
      <c r="X20" s="36">
        <v>0</v>
      </c>
      <c r="Y20" s="36">
        <v>738.78544593532297</v>
      </c>
      <c r="Z20" s="36">
        <v>0</v>
      </c>
      <c r="AA20" s="36">
        <v>65.856345109452832</v>
      </c>
      <c r="AB20" s="36">
        <v>904.14365489054717</v>
      </c>
      <c r="AC20" s="36">
        <v>107</v>
      </c>
      <c r="AD20" s="36">
        <v>0</v>
      </c>
      <c r="AE20" s="36">
        <v>80</v>
      </c>
      <c r="AF20" s="36">
        <v>0</v>
      </c>
      <c r="AG20" s="36">
        <v>310</v>
      </c>
      <c r="AH20" s="36">
        <v>0</v>
      </c>
      <c r="AI20" s="36">
        <v>0</v>
      </c>
      <c r="AJ20" s="92">
        <v>0</v>
      </c>
      <c r="AL20">
        <f>INDEX(OutputValues,16,$AK$4)</f>
        <v>224340.01</v>
      </c>
    </row>
    <row r="21" spans="1:38" x14ac:dyDescent="0.6">
      <c r="A21">
        <v>2800</v>
      </c>
      <c r="B21" s="55">
        <v>226837.46</v>
      </c>
      <c r="C21" s="36">
        <v>1000</v>
      </c>
      <c r="D21" s="36">
        <v>0</v>
      </c>
      <c r="E21" s="36">
        <v>1583</v>
      </c>
      <c r="F21" s="36">
        <v>0</v>
      </c>
      <c r="G21" s="36">
        <v>0</v>
      </c>
      <c r="H21" s="36">
        <v>2140</v>
      </c>
      <c r="I21" s="36">
        <v>1370</v>
      </c>
      <c r="J21" s="36">
        <v>0</v>
      </c>
      <c r="K21" s="36">
        <v>2000</v>
      </c>
      <c r="L21" s="36">
        <v>0</v>
      </c>
      <c r="M21" s="36">
        <v>1205.452342603528</v>
      </c>
      <c r="N21" s="36">
        <v>644.54765739647189</v>
      </c>
      <c r="O21" s="36">
        <v>0</v>
      </c>
      <c r="P21" s="36">
        <v>1260.0000000000002</v>
      </c>
      <c r="Q21" s="36">
        <v>0</v>
      </c>
      <c r="R21" s="36">
        <v>1700</v>
      </c>
      <c r="S21" s="36">
        <v>480</v>
      </c>
      <c r="T21" s="36">
        <v>0</v>
      </c>
      <c r="U21" s="36">
        <v>0</v>
      </c>
      <c r="V21" s="36">
        <v>850</v>
      </c>
      <c r="W21" s="36">
        <v>640</v>
      </c>
      <c r="X21" s="36">
        <v>0</v>
      </c>
      <c r="Y21" s="36">
        <v>744.63121707960147</v>
      </c>
      <c r="Z21" s="36">
        <v>0</v>
      </c>
      <c r="AA21" s="36">
        <v>104.04042471144294</v>
      </c>
      <c r="AB21" s="36">
        <v>865.95957528855706</v>
      </c>
      <c r="AC21" s="36">
        <v>107</v>
      </c>
      <c r="AD21" s="36">
        <v>0</v>
      </c>
      <c r="AE21" s="36">
        <v>80</v>
      </c>
      <c r="AF21" s="36">
        <v>0</v>
      </c>
      <c r="AG21" s="36">
        <v>310</v>
      </c>
      <c r="AH21" s="36">
        <v>0</v>
      </c>
      <c r="AI21" s="36">
        <v>0</v>
      </c>
      <c r="AJ21" s="92">
        <v>0</v>
      </c>
      <c r="AL21">
        <f>INDEX(OutputValues,17,$AK$4)</f>
        <v>226837.46</v>
      </c>
    </row>
    <row r="22" spans="1:38" x14ac:dyDescent="0.6">
      <c r="A22">
        <v>2850</v>
      </c>
      <c r="B22" s="55">
        <v>229334.9</v>
      </c>
      <c r="C22" s="36">
        <v>1000</v>
      </c>
      <c r="D22" s="36">
        <v>0</v>
      </c>
      <c r="E22" s="36">
        <v>1583</v>
      </c>
      <c r="F22" s="36">
        <v>0</v>
      </c>
      <c r="G22" s="36">
        <v>0</v>
      </c>
      <c r="H22" s="36">
        <v>2140</v>
      </c>
      <c r="I22" s="36">
        <v>1370</v>
      </c>
      <c r="J22" s="36">
        <v>0</v>
      </c>
      <c r="K22" s="36">
        <v>2000</v>
      </c>
      <c r="L22" s="36">
        <v>0</v>
      </c>
      <c r="M22" s="36">
        <v>1333.2818487214481</v>
      </c>
      <c r="N22" s="36">
        <v>516.718151278552</v>
      </c>
      <c r="O22" s="36">
        <v>0</v>
      </c>
      <c r="P22" s="36">
        <v>1260.0000000000005</v>
      </c>
      <c r="Q22" s="36">
        <v>0</v>
      </c>
      <c r="R22" s="36">
        <v>1700</v>
      </c>
      <c r="S22" s="36">
        <v>480</v>
      </c>
      <c r="T22" s="36">
        <v>0</v>
      </c>
      <c r="U22" s="36">
        <v>0</v>
      </c>
      <c r="V22" s="36">
        <v>850</v>
      </c>
      <c r="W22" s="36">
        <v>640</v>
      </c>
      <c r="X22" s="36">
        <v>0</v>
      </c>
      <c r="Y22" s="36">
        <v>750.47698822388008</v>
      </c>
      <c r="Z22" s="36">
        <v>0</v>
      </c>
      <c r="AA22" s="36">
        <v>142.22450431343293</v>
      </c>
      <c r="AB22" s="36">
        <v>827.77549568656707</v>
      </c>
      <c r="AC22" s="36">
        <v>107</v>
      </c>
      <c r="AD22" s="36">
        <v>0</v>
      </c>
      <c r="AE22" s="36">
        <v>80</v>
      </c>
      <c r="AF22" s="36">
        <v>0</v>
      </c>
      <c r="AG22" s="36">
        <v>310</v>
      </c>
      <c r="AH22" s="36">
        <v>0</v>
      </c>
      <c r="AI22" s="36">
        <v>0</v>
      </c>
      <c r="AJ22" s="92">
        <v>0</v>
      </c>
      <c r="AL22">
        <f>INDEX(OutputValues,18,$AK$4)</f>
        <v>229334.9</v>
      </c>
    </row>
    <row r="23" spans="1:38" x14ac:dyDescent="0.6">
      <c r="A23">
        <v>2900</v>
      </c>
      <c r="B23" s="55">
        <v>231832.35</v>
      </c>
      <c r="C23" s="36">
        <v>1000</v>
      </c>
      <c r="D23" s="36">
        <v>0</v>
      </c>
      <c r="E23" s="36">
        <v>1583</v>
      </c>
      <c r="F23" s="36">
        <v>0</v>
      </c>
      <c r="G23" s="36">
        <v>0</v>
      </c>
      <c r="H23" s="36">
        <v>2140</v>
      </c>
      <c r="I23" s="36">
        <v>1370</v>
      </c>
      <c r="J23" s="36">
        <v>0</v>
      </c>
      <c r="K23" s="36">
        <v>2000</v>
      </c>
      <c r="L23" s="36">
        <v>0</v>
      </c>
      <c r="M23" s="36">
        <v>1461.1113548393682</v>
      </c>
      <c r="N23" s="36">
        <v>388.88864516063188</v>
      </c>
      <c r="O23" s="36">
        <v>0</v>
      </c>
      <c r="P23" s="36">
        <v>1260.0000000000002</v>
      </c>
      <c r="Q23" s="36">
        <v>0</v>
      </c>
      <c r="R23" s="36">
        <v>1700</v>
      </c>
      <c r="S23" s="36">
        <v>480</v>
      </c>
      <c r="T23" s="36">
        <v>0</v>
      </c>
      <c r="U23" s="36">
        <v>0</v>
      </c>
      <c r="V23" s="36">
        <v>850</v>
      </c>
      <c r="W23" s="36">
        <v>640</v>
      </c>
      <c r="X23" s="36">
        <v>0</v>
      </c>
      <c r="Y23" s="36">
        <v>756.32275936815859</v>
      </c>
      <c r="Z23" s="36">
        <v>0</v>
      </c>
      <c r="AA23" s="36">
        <v>180.40858391542292</v>
      </c>
      <c r="AB23" s="36">
        <v>789.59141608457696</v>
      </c>
      <c r="AC23" s="36">
        <v>107</v>
      </c>
      <c r="AD23" s="36">
        <v>0</v>
      </c>
      <c r="AE23" s="36">
        <v>80</v>
      </c>
      <c r="AF23" s="36">
        <v>0</v>
      </c>
      <c r="AG23" s="36">
        <v>310</v>
      </c>
      <c r="AH23" s="36">
        <v>0</v>
      </c>
      <c r="AI23" s="36">
        <v>0</v>
      </c>
      <c r="AJ23" s="92">
        <v>0</v>
      </c>
      <c r="AL23">
        <f>INDEX(OutputValues,19,$AK$4)</f>
        <v>231832.35</v>
      </c>
    </row>
    <row r="24" spans="1:38" x14ac:dyDescent="0.6">
      <c r="A24">
        <v>2950</v>
      </c>
      <c r="B24" s="55">
        <v>234329.79</v>
      </c>
      <c r="C24" s="36">
        <v>1000</v>
      </c>
      <c r="D24" s="36">
        <v>0</v>
      </c>
      <c r="E24" s="36">
        <v>1583</v>
      </c>
      <c r="F24" s="36">
        <v>0</v>
      </c>
      <c r="G24" s="36">
        <v>0</v>
      </c>
      <c r="H24" s="36">
        <v>2140.0000000000005</v>
      </c>
      <c r="I24" s="36">
        <v>1370</v>
      </c>
      <c r="J24" s="36">
        <v>0</v>
      </c>
      <c r="K24" s="36">
        <v>2000</v>
      </c>
      <c r="L24" s="36">
        <v>0</v>
      </c>
      <c r="M24" s="36">
        <v>1588.9408609572886</v>
      </c>
      <c r="N24" s="36">
        <v>261.05913904271148</v>
      </c>
      <c r="O24" s="36">
        <v>0</v>
      </c>
      <c r="P24" s="36">
        <v>1260.0000000000005</v>
      </c>
      <c r="Q24" s="36">
        <v>0</v>
      </c>
      <c r="R24" s="36">
        <v>1700</v>
      </c>
      <c r="S24" s="36">
        <v>480</v>
      </c>
      <c r="T24" s="36">
        <v>0</v>
      </c>
      <c r="U24" s="36">
        <v>0</v>
      </c>
      <c r="V24" s="36">
        <v>850</v>
      </c>
      <c r="W24" s="36">
        <v>640</v>
      </c>
      <c r="X24" s="36">
        <v>0</v>
      </c>
      <c r="Y24" s="36">
        <v>762.1685305124372</v>
      </c>
      <c r="Z24" s="36">
        <v>0</v>
      </c>
      <c r="AA24" s="36">
        <v>218.59266351741292</v>
      </c>
      <c r="AB24" s="36">
        <v>751.40733648258697</v>
      </c>
      <c r="AC24" s="36">
        <v>107</v>
      </c>
      <c r="AD24" s="36">
        <v>0</v>
      </c>
      <c r="AE24" s="36">
        <v>80</v>
      </c>
      <c r="AF24" s="36">
        <v>0</v>
      </c>
      <c r="AG24" s="36">
        <v>310</v>
      </c>
      <c r="AH24" s="36">
        <v>0</v>
      </c>
      <c r="AI24" s="36">
        <v>0</v>
      </c>
      <c r="AJ24" s="92">
        <v>0</v>
      </c>
      <c r="AL24">
        <f>INDEX(OutputValues,20,$AK$4)</f>
        <v>234329.79</v>
      </c>
    </row>
    <row r="25" spans="1:38" x14ac:dyDescent="0.6">
      <c r="A25">
        <v>3000</v>
      </c>
      <c r="B25" s="55">
        <v>236827.24</v>
      </c>
      <c r="C25" s="36">
        <v>1000</v>
      </c>
      <c r="D25" s="36">
        <v>0</v>
      </c>
      <c r="E25" s="36">
        <v>1583</v>
      </c>
      <c r="F25" s="36">
        <v>0</v>
      </c>
      <c r="G25" s="36">
        <v>0</v>
      </c>
      <c r="H25" s="36">
        <v>2140.0000000000005</v>
      </c>
      <c r="I25" s="36">
        <v>1370</v>
      </c>
      <c r="J25" s="36">
        <v>0</v>
      </c>
      <c r="K25" s="36">
        <v>2000</v>
      </c>
      <c r="L25" s="36">
        <v>0</v>
      </c>
      <c r="M25" s="36">
        <v>1716.7703670752087</v>
      </c>
      <c r="N25" s="36">
        <v>133.22963292479133</v>
      </c>
      <c r="O25" s="36">
        <v>0</v>
      </c>
      <c r="P25" s="36">
        <v>1260.0000000000005</v>
      </c>
      <c r="Q25" s="36">
        <v>0</v>
      </c>
      <c r="R25" s="36">
        <v>1700</v>
      </c>
      <c r="S25" s="36">
        <v>480</v>
      </c>
      <c r="T25" s="36">
        <v>0</v>
      </c>
      <c r="U25" s="36">
        <v>0</v>
      </c>
      <c r="V25" s="36">
        <v>850</v>
      </c>
      <c r="W25" s="36">
        <v>640</v>
      </c>
      <c r="X25" s="36">
        <v>0</v>
      </c>
      <c r="Y25" s="36">
        <v>768.01430165671593</v>
      </c>
      <c r="Z25" s="36">
        <v>0</v>
      </c>
      <c r="AA25" s="36">
        <v>256.77674311940291</v>
      </c>
      <c r="AB25" s="36">
        <v>713.22325688059698</v>
      </c>
      <c r="AC25" s="36">
        <v>107</v>
      </c>
      <c r="AD25" s="36">
        <v>0</v>
      </c>
      <c r="AE25" s="36">
        <v>80</v>
      </c>
      <c r="AF25" s="36">
        <v>0</v>
      </c>
      <c r="AG25" s="36">
        <v>310</v>
      </c>
      <c r="AH25" s="36">
        <v>0</v>
      </c>
      <c r="AI25" s="36">
        <v>0</v>
      </c>
      <c r="AJ25" s="92">
        <v>0</v>
      </c>
      <c r="AL25">
        <f>INDEX(OutputValues,21,$AK$4)</f>
        <v>236827.24</v>
      </c>
    </row>
    <row r="26" spans="1:38" x14ac:dyDescent="0.6">
      <c r="A26">
        <v>3050</v>
      </c>
      <c r="B26" s="55">
        <v>239324.68</v>
      </c>
      <c r="C26" s="36">
        <v>1000</v>
      </c>
      <c r="D26" s="36">
        <v>0</v>
      </c>
      <c r="E26" s="36">
        <v>1583</v>
      </c>
      <c r="F26" s="36">
        <v>0</v>
      </c>
      <c r="G26" s="36">
        <v>0</v>
      </c>
      <c r="H26" s="36">
        <v>2140</v>
      </c>
      <c r="I26" s="36">
        <v>1370</v>
      </c>
      <c r="J26" s="36">
        <v>0</v>
      </c>
      <c r="K26" s="36">
        <v>2000</v>
      </c>
      <c r="L26" s="36">
        <v>0</v>
      </c>
      <c r="M26" s="36">
        <v>1844.599873193129</v>
      </c>
      <c r="N26" s="36">
        <v>5.4001268068709587</v>
      </c>
      <c r="O26" s="36">
        <v>0</v>
      </c>
      <c r="P26" s="36">
        <v>1260.0000000000002</v>
      </c>
      <c r="Q26" s="36">
        <v>0</v>
      </c>
      <c r="R26" s="36">
        <v>1700</v>
      </c>
      <c r="S26" s="36">
        <v>480</v>
      </c>
      <c r="T26" s="36">
        <v>0</v>
      </c>
      <c r="U26" s="36">
        <v>0</v>
      </c>
      <c r="V26" s="36">
        <v>850</v>
      </c>
      <c r="W26" s="36">
        <v>640</v>
      </c>
      <c r="X26" s="36">
        <v>0</v>
      </c>
      <c r="Y26" s="36">
        <v>773.86007280099432</v>
      </c>
      <c r="Z26" s="36">
        <v>0</v>
      </c>
      <c r="AA26" s="36">
        <v>294.96082272139324</v>
      </c>
      <c r="AB26" s="36">
        <v>675.03917727860676</v>
      </c>
      <c r="AC26" s="36">
        <v>107</v>
      </c>
      <c r="AD26" s="36">
        <v>0</v>
      </c>
      <c r="AE26" s="36">
        <v>80</v>
      </c>
      <c r="AF26" s="36">
        <v>0</v>
      </c>
      <c r="AG26" s="36">
        <v>310</v>
      </c>
      <c r="AH26" s="36">
        <v>0</v>
      </c>
      <c r="AI26" s="36">
        <v>0</v>
      </c>
      <c r="AJ26" s="92">
        <v>0</v>
      </c>
      <c r="AL26">
        <f>INDEX(OutputValues,22,$AK$4)</f>
        <v>239324.68</v>
      </c>
    </row>
    <row r="27" spans="1:38" x14ac:dyDescent="0.6">
      <c r="A27">
        <v>3100</v>
      </c>
      <c r="B27" s="55">
        <v>240675.53</v>
      </c>
      <c r="C27" s="36">
        <v>1000</v>
      </c>
      <c r="D27" s="36">
        <v>0</v>
      </c>
      <c r="E27" s="36">
        <v>1583</v>
      </c>
      <c r="F27" s="36">
        <v>0</v>
      </c>
      <c r="G27" s="36">
        <v>0</v>
      </c>
      <c r="H27" s="36">
        <v>2140</v>
      </c>
      <c r="I27" s="36">
        <v>1370</v>
      </c>
      <c r="J27" s="36">
        <v>0</v>
      </c>
      <c r="K27" s="36">
        <v>2000</v>
      </c>
      <c r="L27" s="36">
        <v>0</v>
      </c>
      <c r="M27" s="36">
        <v>1850</v>
      </c>
      <c r="N27" s="36">
        <v>0</v>
      </c>
      <c r="O27" s="36">
        <v>0</v>
      </c>
      <c r="P27" s="36">
        <v>1260.0000000000002</v>
      </c>
      <c r="Q27" s="36">
        <v>122.4293793110493</v>
      </c>
      <c r="R27" s="36">
        <v>1577.5706206889506</v>
      </c>
      <c r="S27" s="36">
        <v>480</v>
      </c>
      <c r="T27" s="36">
        <v>0</v>
      </c>
      <c r="U27" s="36">
        <v>0</v>
      </c>
      <c r="V27" s="36">
        <v>850</v>
      </c>
      <c r="W27" s="36">
        <v>644.70584394527305</v>
      </c>
      <c r="X27" s="36">
        <v>0</v>
      </c>
      <c r="Y27" s="36">
        <v>775</v>
      </c>
      <c r="Z27" s="36">
        <v>0</v>
      </c>
      <c r="AA27" s="36">
        <v>333.14490232338335</v>
      </c>
      <c r="AB27" s="36">
        <v>636.85509767661665</v>
      </c>
      <c r="AC27" s="36">
        <v>107</v>
      </c>
      <c r="AD27" s="36">
        <v>0</v>
      </c>
      <c r="AE27" s="36">
        <v>80</v>
      </c>
      <c r="AF27" s="36">
        <v>0</v>
      </c>
      <c r="AG27" s="36">
        <v>310</v>
      </c>
      <c r="AH27" s="36">
        <v>0</v>
      </c>
      <c r="AI27" s="36">
        <v>0</v>
      </c>
      <c r="AJ27" s="92">
        <v>0</v>
      </c>
      <c r="AL27">
        <f>INDEX(OutputValues,23,$AK$4)</f>
        <v>240675.53</v>
      </c>
    </row>
    <row r="28" spans="1:38" x14ac:dyDescent="0.6">
      <c r="A28">
        <v>3150</v>
      </c>
      <c r="B28" s="55">
        <v>241975.43</v>
      </c>
      <c r="C28" s="36">
        <v>1000</v>
      </c>
      <c r="D28" s="36">
        <v>0</v>
      </c>
      <c r="E28" s="36">
        <v>1583</v>
      </c>
      <c r="F28" s="36">
        <v>0</v>
      </c>
      <c r="G28" s="36">
        <v>0</v>
      </c>
      <c r="H28" s="36">
        <v>2140</v>
      </c>
      <c r="I28" s="36">
        <v>1370</v>
      </c>
      <c r="J28" s="36">
        <v>0</v>
      </c>
      <c r="K28" s="36">
        <v>2000</v>
      </c>
      <c r="L28" s="36">
        <v>0</v>
      </c>
      <c r="M28" s="36">
        <v>1850</v>
      </c>
      <c r="N28" s="36">
        <v>0</v>
      </c>
      <c r="O28" s="36">
        <v>0</v>
      </c>
      <c r="P28" s="36">
        <v>1260.0000000000002</v>
      </c>
      <c r="Q28" s="36">
        <v>250.25888542896922</v>
      </c>
      <c r="R28" s="36">
        <v>1449.7411145710307</v>
      </c>
      <c r="S28" s="36">
        <v>480</v>
      </c>
      <c r="T28" s="36">
        <v>0</v>
      </c>
      <c r="U28" s="36">
        <v>0</v>
      </c>
      <c r="V28" s="36">
        <v>850</v>
      </c>
      <c r="W28" s="36">
        <v>650.55161508955166</v>
      </c>
      <c r="X28" s="36">
        <v>0</v>
      </c>
      <c r="Y28" s="36">
        <v>775</v>
      </c>
      <c r="Z28" s="36">
        <v>0</v>
      </c>
      <c r="AA28" s="36">
        <v>371.32898192537334</v>
      </c>
      <c r="AB28" s="36">
        <v>598.67101807462666</v>
      </c>
      <c r="AC28" s="36">
        <v>107</v>
      </c>
      <c r="AD28" s="36">
        <v>0</v>
      </c>
      <c r="AE28" s="36">
        <v>80</v>
      </c>
      <c r="AF28" s="36">
        <v>0</v>
      </c>
      <c r="AG28" s="36">
        <v>310</v>
      </c>
      <c r="AH28" s="36">
        <v>0</v>
      </c>
      <c r="AI28" s="36">
        <v>0</v>
      </c>
      <c r="AJ28" s="92">
        <v>0</v>
      </c>
      <c r="AL28">
        <f>INDEX(OutputValues,24,$AK$4)</f>
        <v>241975.43</v>
      </c>
    </row>
    <row r="29" spans="1:38" x14ac:dyDescent="0.6">
      <c r="A29">
        <v>3200</v>
      </c>
      <c r="B29" s="55">
        <v>243275.33</v>
      </c>
      <c r="C29" s="36">
        <v>1000</v>
      </c>
      <c r="D29" s="36">
        <v>0</v>
      </c>
      <c r="E29" s="36">
        <v>1583</v>
      </c>
      <c r="F29" s="36">
        <v>0</v>
      </c>
      <c r="G29" s="36">
        <v>0</v>
      </c>
      <c r="H29" s="36">
        <v>2140</v>
      </c>
      <c r="I29" s="36">
        <v>1370</v>
      </c>
      <c r="J29" s="36">
        <v>0</v>
      </c>
      <c r="K29" s="36">
        <v>2000</v>
      </c>
      <c r="L29" s="36">
        <v>0</v>
      </c>
      <c r="M29" s="36">
        <v>1849.9999999999998</v>
      </c>
      <c r="N29" s="36">
        <v>0</v>
      </c>
      <c r="O29" s="36">
        <v>0</v>
      </c>
      <c r="P29" s="36">
        <v>1260.0000000000002</v>
      </c>
      <c r="Q29" s="36">
        <v>378.08839154688951</v>
      </c>
      <c r="R29" s="36">
        <v>1321.9116084531106</v>
      </c>
      <c r="S29" s="36">
        <v>480</v>
      </c>
      <c r="T29" s="36">
        <v>0</v>
      </c>
      <c r="U29" s="36">
        <v>0</v>
      </c>
      <c r="V29" s="36">
        <v>850</v>
      </c>
      <c r="W29" s="36">
        <v>656.39738623383028</v>
      </c>
      <c r="X29" s="36">
        <v>0</v>
      </c>
      <c r="Y29" s="36">
        <v>774.99999999999989</v>
      </c>
      <c r="Z29" s="36">
        <v>0</v>
      </c>
      <c r="AA29" s="36">
        <v>409.51306152736345</v>
      </c>
      <c r="AB29" s="36">
        <v>560.48693847263655</v>
      </c>
      <c r="AC29" s="36">
        <v>107</v>
      </c>
      <c r="AD29" s="36">
        <v>0</v>
      </c>
      <c r="AE29" s="36">
        <v>80</v>
      </c>
      <c r="AF29" s="36">
        <v>0</v>
      </c>
      <c r="AG29" s="36">
        <v>310</v>
      </c>
      <c r="AH29" s="36">
        <v>0</v>
      </c>
      <c r="AI29" s="36">
        <v>0</v>
      </c>
      <c r="AJ29" s="92">
        <v>0</v>
      </c>
      <c r="AL29">
        <f>INDEX(OutputValues,25,$AK$4)</f>
        <v>243275.33</v>
      </c>
    </row>
    <row r="30" spans="1:38" x14ac:dyDescent="0.6">
      <c r="A30">
        <v>3250</v>
      </c>
      <c r="B30" s="55">
        <v>244575.23</v>
      </c>
      <c r="C30" s="36">
        <v>1000</v>
      </c>
      <c r="D30" s="36">
        <v>0</v>
      </c>
      <c r="E30" s="36">
        <v>1583</v>
      </c>
      <c r="F30" s="36">
        <v>0</v>
      </c>
      <c r="G30" s="36">
        <v>0</v>
      </c>
      <c r="H30" s="36">
        <v>2140</v>
      </c>
      <c r="I30" s="36">
        <v>1370</v>
      </c>
      <c r="J30" s="36">
        <v>0</v>
      </c>
      <c r="K30" s="36">
        <v>2000</v>
      </c>
      <c r="L30" s="36">
        <v>0</v>
      </c>
      <c r="M30" s="36">
        <v>1850</v>
      </c>
      <c r="N30" s="36">
        <v>0</v>
      </c>
      <c r="O30" s="36">
        <v>0</v>
      </c>
      <c r="P30" s="36">
        <v>1260.0000000000002</v>
      </c>
      <c r="Q30" s="36">
        <v>505.91789766480974</v>
      </c>
      <c r="R30" s="36">
        <v>1194.0821023351903</v>
      </c>
      <c r="S30" s="36">
        <v>480</v>
      </c>
      <c r="T30" s="36">
        <v>0</v>
      </c>
      <c r="U30" s="36">
        <v>0</v>
      </c>
      <c r="V30" s="36">
        <v>850</v>
      </c>
      <c r="W30" s="36">
        <v>662.24315737810889</v>
      </c>
      <c r="X30" s="36">
        <v>0</v>
      </c>
      <c r="Y30" s="36">
        <v>775</v>
      </c>
      <c r="Z30" s="36">
        <v>0</v>
      </c>
      <c r="AA30" s="36">
        <v>447.69714112935344</v>
      </c>
      <c r="AB30" s="36">
        <v>522.30285887064656</v>
      </c>
      <c r="AC30" s="36">
        <v>107</v>
      </c>
      <c r="AD30" s="36">
        <v>0</v>
      </c>
      <c r="AE30" s="36">
        <v>80</v>
      </c>
      <c r="AF30" s="36">
        <v>0</v>
      </c>
      <c r="AG30" s="36">
        <v>310</v>
      </c>
      <c r="AH30" s="36">
        <v>0</v>
      </c>
      <c r="AI30" s="36">
        <v>0</v>
      </c>
      <c r="AJ30" s="92">
        <v>0</v>
      </c>
      <c r="AL30">
        <f>INDEX(OutputValues,26,$AK$4)</f>
        <v>244575.23</v>
      </c>
    </row>
    <row r="31" spans="1:38" x14ac:dyDescent="0.6">
      <c r="A31">
        <v>3300</v>
      </c>
      <c r="B31" s="55">
        <v>245453.94</v>
      </c>
      <c r="C31" s="36">
        <v>1000</v>
      </c>
      <c r="D31" s="36">
        <v>0</v>
      </c>
      <c r="E31" s="36">
        <v>1583</v>
      </c>
      <c r="F31" s="36">
        <v>0</v>
      </c>
      <c r="G31" s="36">
        <v>0</v>
      </c>
      <c r="H31" s="36">
        <v>2140</v>
      </c>
      <c r="I31" s="36">
        <v>1370</v>
      </c>
      <c r="J31" s="36">
        <v>0</v>
      </c>
      <c r="K31" s="36">
        <v>2000</v>
      </c>
      <c r="L31" s="36">
        <v>0</v>
      </c>
      <c r="M31" s="36">
        <v>1850</v>
      </c>
      <c r="N31" s="36">
        <v>0</v>
      </c>
      <c r="O31" s="36">
        <v>0</v>
      </c>
      <c r="P31" s="36">
        <v>1260.0000000000005</v>
      </c>
      <c r="Q31" s="36">
        <v>592.32794215755337</v>
      </c>
      <c r="R31" s="36">
        <v>1107.6720578424465</v>
      </c>
      <c r="S31" s="36">
        <v>480</v>
      </c>
      <c r="T31" s="36">
        <v>0</v>
      </c>
      <c r="U31" s="36">
        <v>0</v>
      </c>
      <c r="V31" s="36">
        <v>850</v>
      </c>
      <c r="W31" s="36">
        <v>666.19477512280662</v>
      </c>
      <c r="X31" s="36">
        <v>0</v>
      </c>
      <c r="Y31" s="36">
        <v>775</v>
      </c>
      <c r="Z31" s="36">
        <v>0</v>
      </c>
      <c r="AA31" s="36">
        <v>473.50877192982534</v>
      </c>
      <c r="AB31" s="36">
        <v>496.49122807017466</v>
      </c>
      <c r="AC31" s="36">
        <v>107</v>
      </c>
      <c r="AD31" s="36">
        <v>0</v>
      </c>
      <c r="AE31" s="36">
        <v>80</v>
      </c>
      <c r="AF31" s="36">
        <v>0</v>
      </c>
      <c r="AG31" s="36">
        <v>310</v>
      </c>
      <c r="AH31" s="36">
        <v>0</v>
      </c>
      <c r="AI31" s="36">
        <v>0</v>
      </c>
      <c r="AJ31" s="92">
        <v>0</v>
      </c>
      <c r="AL31">
        <f>INDEX(OutputValues,27,$AK$4)</f>
        <v>245453.94</v>
      </c>
    </row>
    <row r="32" spans="1:38" x14ac:dyDescent="0.6">
      <c r="A32">
        <v>3350</v>
      </c>
      <c r="B32" s="55">
        <v>245453.94</v>
      </c>
      <c r="C32" s="36">
        <v>1000</v>
      </c>
      <c r="D32" s="36">
        <v>0</v>
      </c>
      <c r="E32" s="36">
        <v>1583</v>
      </c>
      <c r="F32" s="36">
        <v>0</v>
      </c>
      <c r="G32" s="36">
        <v>0</v>
      </c>
      <c r="H32" s="36">
        <v>2140</v>
      </c>
      <c r="I32" s="36">
        <v>1370</v>
      </c>
      <c r="J32" s="36">
        <v>0</v>
      </c>
      <c r="K32" s="36">
        <v>2000</v>
      </c>
      <c r="L32" s="36">
        <v>0</v>
      </c>
      <c r="M32" s="36">
        <v>1850</v>
      </c>
      <c r="N32" s="36">
        <v>0</v>
      </c>
      <c r="O32" s="36">
        <v>0</v>
      </c>
      <c r="P32" s="36">
        <v>1260.0000000000005</v>
      </c>
      <c r="Q32" s="36">
        <v>592.32794215755337</v>
      </c>
      <c r="R32" s="36">
        <v>1107.6720578424465</v>
      </c>
      <c r="S32" s="36">
        <v>480</v>
      </c>
      <c r="T32" s="36">
        <v>0</v>
      </c>
      <c r="U32" s="36">
        <v>0</v>
      </c>
      <c r="V32" s="36">
        <v>850</v>
      </c>
      <c r="W32" s="36">
        <v>666.19477512280662</v>
      </c>
      <c r="X32" s="36">
        <v>0</v>
      </c>
      <c r="Y32" s="36">
        <v>775</v>
      </c>
      <c r="Z32" s="36">
        <v>0</v>
      </c>
      <c r="AA32" s="36">
        <v>473.50877192982534</v>
      </c>
      <c r="AB32" s="36">
        <v>496.49122807017466</v>
      </c>
      <c r="AC32" s="36">
        <v>107</v>
      </c>
      <c r="AD32" s="36">
        <v>0</v>
      </c>
      <c r="AE32" s="36">
        <v>80</v>
      </c>
      <c r="AF32" s="36">
        <v>0</v>
      </c>
      <c r="AG32" s="36">
        <v>310</v>
      </c>
      <c r="AH32" s="36">
        <v>0</v>
      </c>
      <c r="AI32" s="36">
        <v>0</v>
      </c>
      <c r="AJ32" s="92">
        <v>0</v>
      </c>
      <c r="AL32">
        <f>INDEX(OutputValues,28,$AK$4)</f>
        <v>245453.94</v>
      </c>
    </row>
    <row r="33" spans="1:38" x14ac:dyDescent="0.6">
      <c r="A33">
        <v>3400</v>
      </c>
      <c r="B33" s="55">
        <v>245453.94</v>
      </c>
      <c r="C33" s="36">
        <v>1000</v>
      </c>
      <c r="D33" s="36">
        <v>0</v>
      </c>
      <c r="E33" s="36">
        <v>1583</v>
      </c>
      <c r="F33" s="36">
        <v>0</v>
      </c>
      <c r="G33" s="36">
        <v>0</v>
      </c>
      <c r="H33" s="36">
        <v>2140</v>
      </c>
      <c r="I33" s="36">
        <v>1370</v>
      </c>
      <c r="J33" s="36">
        <v>0</v>
      </c>
      <c r="K33" s="36">
        <v>2000</v>
      </c>
      <c r="L33" s="36">
        <v>0</v>
      </c>
      <c r="M33" s="36">
        <v>1850</v>
      </c>
      <c r="N33" s="36">
        <v>0</v>
      </c>
      <c r="O33" s="36">
        <v>0</v>
      </c>
      <c r="P33" s="36">
        <v>1260.0000000000005</v>
      </c>
      <c r="Q33" s="36">
        <v>592.32794215755337</v>
      </c>
      <c r="R33" s="36">
        <v>1107.6720578424465</v>
      </c>
      <c r="S33" s="36">
        <v>480</v>
      </c>
      <c r="T33" s="36">
        <v>0</v>
      </c>
      <c r="U33" s="36">
        <v>0</v>
      </c>
      <c r="V33" s="36">
        <v>850</v>
      </c>
      <c r="W33" s="36">
        <v>666.19477512280662</v>
      </c>
      <c r="X33" s="36">
        <v>0</v>
      </c>
      <c r="Y33" s="36">
        <v>775</v>
      </c>
      <c r="Z33" s="36">
        <v>0</v>
      </c>
      <c r="AA33" s="36">
        <v>473.50877192982534</v>
      </c>
      <c r="AB33" s="36">
        <v>496.49122807017466</v>
      </c>
      <c r="AC33" s="36">
        <v>107</v>
      </c>
      <c r="AD33" s="36">
        <v>0</v>
      </c>
      <c r="AE33" s="36">
        <v>80</v>
      </c>
      <c r="AF33" s="36">
        <v>0</v>
      </c>
      <c r="AG33" s="36">
        <v>310</v>
      </c>
      <c r="AH33" s="36">
        <v>0</v>
      </c>
      <c r="AI33" s="36">
        <v>0</v>
      </c>
      <c r="AJ33" s="92">
        <v>0</v>
      </c>
      <c r="AL33">
        <f>INDEX(OutputValues,29,$AK$4)</f>
        <v>245453.94</v>
      </c>
    </row>
    <row r="34" spans="1:38" x14ac:dyDescent="0.6">
      <c r="A34">
        <v>3450</v>
      </c>
      <c r="B34" s="55">
        <v>245453.94</v>
      </c>
      <c r="C34" s="36">
        <v>1000</v>
      </c>
      <c r="D34" s="36">
        <v>0</v>
      </c>
      <c r="E34" s="36">
        <v>1583</v>
      </c>
      <c r="F34" s="36">
        <v>0</v>
      </c>
      <c r="G34" s="36">
        <v>0</v>
      </c>
      <c r="H34" s="36">
        <v>2140</v>
      </c>
      <c r="I34" s="36">
        <v>1370</v>
      </c>
      <c r="J34" s="36">
        <v>0</v>
      </c>
      <c r="K34" s="36">
        <v>2000</v>
      </c>
      <c r="L34" s="36">
        <v>0</v>
      </c>
      <c r="M34" s="36">
        <v>1850</v>
      </c>
      <c r="N34" s="36">
        <v>0</v>
      </c>
      <c r="O34" s="36">
        <v>0</v>
      </c>
      <c r="P34" s="36">
        <v>1260.0000000000005</v>
      </c>
      <c r="Q34" s="36">
        <v>592.32794215755337</v>
      </c>
      <c r="R34" s="36">
        <v>1107.6720578424465</v>
      </c>
      <c r="S34" s="36">
        <v>480</v>
      </c>
      <c r="T34" s="36">
        <v>0</v>
      </c>
      <c r="U34" s="36">
        <v>0</v>
      </c>
      <c r="V34" s="36">
        <v>850</v>
      </c>
      <c r="W34" s="36">
        <v>666.19477512280662</v>
      </c>
      <c r="X34" s="36">
        <v>0</v>
      </c>
      <c r="Y34" s="36">
        <v>775</v>
      </c>
      <c r="Z34" s="36">
        <v>0</v>
      </c>
      <c r="AA34" s="36">
        <v>473.50877192982534</v>
      </c>
      <c r="AB34" s="36">
        <v>496.49122807017466</v>
      </c>
      <c r="AC34" s="36">
        <v>107</v>
      </c>
      <c r="AD34" s="36">
        <v>0</v>
      </c>
      <c r="AE34" s="36">
        <v>80</v>
      </c>
      <c r="AF34" s="36">
        <v>0</v>
      </c>
      <c r="AG34" s="36">
        <v>310</v>
      </c>
      <c r="AH34" s="36">
        <v>0</v>
      </c>
      <c r="AI34" s="36">
        <v>0</v>
      </c>
      <c r="AJ34" s="92">
        <v>0</v>
      </c>
      <c r="AL34">
        <f>INDEX(OutputValues,30,$AK$4)</f>
        <v>245453.94</v>
      </c>
    </row>
    <row r="35" spans="1:38" x14ac:dyDescent="0.6">
      <c r="A35">
        <v>3500</v>
      </c>
      <c r="B35" s="55">
        <v>245453.94</v>
      </c>
      <c r="C35" s="36">
        <v>1000</v>
      </c>
      <c r="D35" s="36">
        <v>0</v>
      </c>
      <c r="E35" s="36">
        <v>1583</v>
      </c>
      <c r="F35" s="36">
        <v>0</v>
      </c>
      <c r="G35" s="36">
        <v>0</v>
      </c>
      <c r="H35" s="36">
        <v>2140</v>
      </c>
      <c r="I35" s="36">
        <v>1370</v>
      </c>
      <c r="J35" s="36">
        <v>0</v>
      </c>
      <c r="K35" s="36">
        <v>2000</v>
      </c>
      <c r="L35" s="36">
        <v>0</v>
      </c>
      <c r="M35" s="36">
        <v>1850</v>
      </c>
      <c r="N35" s="36">
        <v>0</v>
      </c>
      <c r="O35" s="36">
        <v>0</v>
      </c>
      <c r="P35" s="36">
        <v>1260.0000000000005</v>
      </c>
      <c r="Q35" s="36">
        <v>592.32794215755337</v>
      </c>
      <c r="R35" s="36">
        <v>1107.6720578424465</v>
      </c>
      <c r="S35" s="36">
        <v>480</v>
      </c>
      <c r="T35" s="36">
        <v>0</v>
      </c>
      <c r="U35" s="36">
        <v>0</v>
      </c>
      <c r="V35" s="36">
        <v>850</v>
      </c>
      <c r="W35" s="36">
        <v>666.19477512280662</v>
      </c>
      <c r="X35" s="36">
        <v>0</v>
      </c>
      <c r="Y35" s="36">
        <v>775</v>
      </c>
      <c r="Z35" s="36">
        <v>0</v>
      </c>
      <c r="AA35" s="36">
        <v>473.50877192982534</v>
      </c>
      <c r="AB35" s="36">
        <v>496.49122807017466</v>
      </c>
      <c r="AC35" s="36">
        <v>107</v>
      </c>
      <c r="AD35" s="36">
        <v>0</v>
      </c>
      <c r="AE35" s="36">
        <v>80</v>
      </c>
      <c r="AF35" s="36">
        <v>0</v>
      </c>
      <c r="AG35" s="36">
        <v>310</v>
      </c>
      <c r="AH35" s="36">
        <v>0</v>
      </c>
      <c r="AI35" s="36">
        <v>0</v>
      </c>
      <c r="AJ35" s="92">
        <v>0</v>
      </c>
      <c r="AL35">
        <f>INDEX(OutputValues,31,$AK$4)</f>
        <v>245453.94</v>
      </c>
    </row>
    <row r="36" spans="1:38" x14ac:dyDescent="0.6">
      <c r="A36">
        <v>3550</v>
      </c>
      <c r="B36" s="55">
        <v>245453.94</v>
      </c>
      <c r="C36" s="36">
        <v>1000</v>
      </c>
      <c r="D36" s="36">
        <v>0</v>
      </c>
      <c r="E36" s="36">
        <v>1583</v>
      </c>
      <c r="F36" s="36">
        <v>0</v>
      </c>
      <c r="G36" s="36">
        <v>0</v>
      </c>
      <c r="H36" s="36">
        <v>2140</v>
      </c>
      <c r="I36" s="36">
        <v>1370</v>
      </c>
      <c r="J36" s="36">
        <v>0</v>
      </c>
      <c r="K36" s="36">
        <v>2000</v>
      </c>
      <c r="L36" s="36">
        <v>0</v>
      </c>
      <c r="M36" s="36">
        <v>1850</v>
      </c>
      <c r="N36" s="36">
        <v>0</v>
      </c>
      <c r="O36" s="36">
        <v>0</v>
      </c>
      <c r="P36" s="36">
        <v>1260.0000000000005</v>
      </c>
      <c r="Q36" s="36">
        <v>592.32794215755337</v>
      </c>
      <c r="R36" s="36">
        <v>1107.6720578424465</v>
      </c>
      <c r="S36" s="36">
        <v>480</v>
      </c>
      <c r="T36" s="36">
        <v>0</v>
      </c>
      <c r="U36" s="36">
        <v>0</v>
      </c>
      <c r="V36" s="36">
        <v>850</v>
      </c>
      <c r="W36" s="36">
        <v>666.19477512280662</v>
      </c>
      <c r="X36" s="36">
        <v>0</v>
      </c>
      <c r="Y36" s="36">
        <v>775</v>
      </c>
      <c r="Z36" s="36">
        <v>0</v>
      </c>
      <c r="AA36" s="36">
        <v>473.50877192982534</v>
      </c>
      <c r="AB36" s="36">
        <v>496.49122807017466</v>
      </c>
      <c r="AC36" s="36">
        <v>107</v>
      </c>
      <c r="AD36" s="36">
        <v>0</v>
      </c>
      <c r="AE36" s="36">
        <v>80</v>
      </c>
      <c r="AF36" s="36">
        <v>0</v>
      </c>
      <c r="AG36" s="36">
        <v>310</v>
      </c>
      <c r="AH36" s="36">
        <v>0</v>
      </c>
      <c r="AI36" s="36">
        <v>0</v>
      </c>
      <c r="AJ36" s="92">
        <v>0</v>
      </c>
      <c r="AL36">
        <f>INDEX(OutputValues,32,$AK$4)</f>
        <v>245453.94</v>
      </c>
    </row>
    <row r="37" spans="1:38" x14ac:dyDescent="0.6">
      <c r="A37">
        <v>3600</v>
      </c>
      <c r="B37" s="55">
        <v>245453.94</v>
      </c>
      <c r="C37" s="36">
        <v>1000</v>
      </c>
      <c r="D37" s="36">
        <v>0</v>
      </c>
      <c r="E37" s="36">
        <v>1583</v>
      </c>
      <c r="F37" s="36">
        <v>0</v>
      </c>
      <c r="G37" s="36">
        <v>0</v>
      </c>
      <c r="H37" s="36">
        <v>2140</v>
      </c>
      <c r="I37" s="36">
        <v>1370</v>
      </c>
      <c r="J37" s="36">
        <v>0</v>
      </c>
      <c r="K37" s="36">
        <v>2000</v>
      </c>
      <c r="L37" s="36">
        <v>0</v>
      </c>
      <c r="M37" s="36">
        <v>1850</v>
      </c>
      <c r="N37" s="36">
        <v>0</v>
      </c>
      <c r="O37" s="36">
        <v>0</v>
      </c>
      <c r="P37" s="36">
        <v>1260.0000000000005</v>
      </c>
      <c r="Q37" s="36">
        <v>592.32794215755337</v>
      </c>
      <c r="R37" s="36">
        <v>1107.6720578424465</v>
      </c>
      <c r="S37" s="36">
        <v>480</v>
      </c>
      <c r="T37" s="36">
        <v>0</v>
      </c>
      <c r="U37" s="36">
        <v>0</v>
      </c>
      <c r="V37" s="36">
        <v>850</v>
      </c>
      <c r="W37" s="36">
        <v>666.19477512280662</v>
      </c>
      <c r="X37" s="36">
        <v>0</v>
      </c>
      <c r="Y37" s="36">
        <v>775</v>
      </c>
      <c r="Z37" s="36">
        <v>0</v>
      </c>
      <c r="AA37" s="36">
        <v>473.50877192982534</v>
      </c>
      <c r="AB37" s="36">
        <v>496.49122807017466</v>
      </c>
      <c r="AC37" s="36">
        <v>107</v>
      </c>
      <c r="AD37" s="36">
        <v>0</v>
      </c>
      <c r="AE37" s="36">
        <v>80</v>
      </c>
      <c r="AF37" s="36">
        <v>0</v>
      </c>
      <c r="AG37" s="36">
        <v>310</v>
      </c>
      <c r="AH37" s="36">
        <v>0</v>
      </c>
      <c r="AI37" s="36">
        <v>0</v>
      </c>
      <c r="AJ37" s="92">
        <v>0</v>
      </c>
      <c r="AL37">
        <f>INDEX(OutputValues,33,$AK$4)</f>
        <v>245453.94</v>
      </c>
    </row>
    <row r="38" spans="1:38" x14ac:dyDescent="0.6">
      <c r="A38">
        <v>3650</v>
      </c>
      <c r="B38" s="55">
        <v>245453.94</v>
      </c>
      <c r="C38" s="36">
        <v>1000</v>
      </c>
      <c r="D38" s="36">
        <v>0</v>
      </c>
      <c r="E38" s="36">
        <v>1583</v>
      </c>
      <c r="F38" s="36">
        <v>0</v>
      </c>
      <c r="G38" s="36">
        <v>0</v>
      </c>
      <c r="H38" s="36">
        <v>2140</v>
      </c>
      <c r="I38" s="36">
        <v>1370</v>
      </c>
      <c r="J38" s="36">
        <v>0</v>
      </c>
      <c r="K38" s="36">
        <v>2000</v>
      </c>
      <c r="L38" s="36">
        <v>0</v>
      </c>
      <c r="M38" s="36">
        <v>1850</v>
      </c>
      <c r="N38" s="36">
        <v>0</v>
      </c>
      <c r="O38" s="36">
        <v>0</v>
      </c>
      <c r="P38" s="36">
        <v>1260.0000000000005</v>
      </c>
      <c r="Q38" s="36">
        <v>592.32794215755337</v>
      </c>
      <c r="R38" s="36">
        <v>1107.6720578424465</v>
      </c>
      <c r="S38" s="36">
        <v>480</v>
      </c>
      <c r="T38" s="36">
        <v>0</v>
      </c>
      <c r="U38" s="36">
        <v>0</v>
      </c>
      <c r="V38" s="36">
        <v>850</v>
      </c>
      <c r="W38" s="36">
        <v>666.19477512280662</v>
      </c>
      <c r="X38" s="36">
        <v>0</v>
      </c>
      <c r="Y38" s="36">
        <v>775</v>
      </c>
      <c r="Z38" s="36">
        <v>0</v>
      </c>
      <c r="AA38" s="36">
        <v>473.50877192982534</v>
      </c>
      <c r="AB38" s="36">
        <v>496.49122807017466</v>
      </c>
      <c r="AC38" s="36">
        <v>107</v>
      </c>
      <c r="AD38" s="36">
        <v>0</v>
      </c>
      <c r="AE38" s="36">
        <v>80</v>
      </c>
      <c r="AF38" s="36">
        <v>0</v>
      </c>
      <c r="AG38" s="36">
        <v>310</v>
      </c>
      <c r="AH38" s="36">
        <v>0</v>
      </c>
      <c r="AI38" s="36">
        <v>0</v>
      </c>
      <c r="AJ38" s="92">
        <v>0</v>
      </c>
      <c r="AL38">
        <f>INDEX(OutputValues,34,$AK$4)</f>
        <v>245453.94</v>
      </c>
    </row>
    <row r="39" spans="1:38" x14ac:dyDescent="0.6">
      <c r="A39">
        <v>3700</v>
      </c>
      <c r="B39" s="55">
        <v>245453.94</v>
      </c>
      <c r="C39" s="36">
        <v>1000</v>
      </c>
      <c r="D39" s="36">
        <v>0</v>
      </c>
      <c r="E39" s="36">
        <v>1583</v>
      </c>
      <c r="F39" s="36">
        <v>0</v>
      </c>
      <c r="G39" s="36">
        <v>0</v>
      </c>
      <c r="H39" s="36">
        <v>2140</v>
      </c>
      <c r="I39" s="36">
        <v>1370</v>
      </c>
      <c r="J39" s="36">
        <v>0</v>
      </c>
      <c r="K39" s="36">
        <v>2000</v>
      </c>
      <c r="L39" s="36">
        <v>0</v>
      </c>
      <c r="M39" s="36">
        <v>1850</v>
      </c>
      <c r="N39" s="36">
        <v>0</v>
      </c>
      <c r="O39" s="36">
        <v>0</v>
      </c>
      <c r="P39" s="36">
        <v>1260.0000000000005</v>
      </c>
      <c r="Q39" s="36">
        <v>592.32794215755337</v>
      </c>
      <c r="R39" s="36">
        <v>1107.6720578424465</v>
      </c>
      <c r="S39" s="36">
        <v>480</v>
      </c>
      <c r="T39" s="36">
        <v>0</v>
      </c>
      <c r="U39" s="36">
        <v>0</v>
      </c>
      <c r="V39" s="36">
        <v>850</v>
      </c>
      <c r="W39" s="36">
        <v>666.19477512280662</v>
      </c>
      <c r="X39" s="36">
        <v>0</v>
      </c>
      <c r="Y39" s="36">
        <v>775</v>
      </c>
      <c r="Z39" s="36">
        <v>0</v>
      </c>
      <c r="AA39" s="36">
        <v>473.50877192982534</v>
      </c>
      <c r="AB39" s="36">
        <v>496.49122807017466</v>
      </c>
      <c r="AC39" s="36">
        <v>107</v>
      </c>
      <c r="AD39" s="36">
        <v>0</v>
      </c>
      <c r="AE39" s="36">
        <v>80</v>
      </c>
      <c r="AF39" s="36">
        <v>0</v>
      </c>
      <c r="AG39" s="36">
        <v>310</v>
      </c>
      <c r="AH39" s="36">
        <v>0</v>
      </c>
      <c r="AI39" s="36">
        <v>0</v>
      </c>
      <c r="AJ39" s="92">
        <v>0</v>
      </c>
      <c r="AL39">
        <f>INDEX(OutputValues,35,$AK$4)</f>
        <v>245453.94</v>
      </c>
    </row>
    <row r="40" spans="1:38" x14ac:dyDescent="0.6">
      <c r="A40">
        <v>3750</v>
      </c>
      <c r="B40" s="55">
        <v>245453.94</v>
      </c>
      <c r="C40" s="36">
        <v>1000</v>
      </c>
      <c r="D40" s="36">
        <v>0</v>
      </c>
      <c r="E40" s="36">
        <v>1583</v>
      </c>
      <c r="F40" s="36">
        <v>0</v>
      </c>
      <c r="G40" s="36">
        <v>0</v>
      </c>
      <c r="H40" s="36">
        <v>2140</v>
      </c>
      <c r="I40" s="36">
        <v>1370</v>
      </c>
      <c r="J40" s="36">
        <v>0</v>
      </c>
      <c r="K40" s="36">
        <v>2000</v>
      </c>
      <c r="L40" s="36">
        <v>0</v>
      </c>
      <c r="M40" s="36">
        <v>1850</v>
      </c>
      <c r="N40" s="36">
        <v>0</v>
      </c>
      <c r="O40" s="36">
        <v>0</v>
      </c>
      <c r="P40" s="36">
        <v>1260.0000000000005</v>
      </c>
      <c r="Q40" s="36">
        <v>592.32794215755337</v>
      </c>
      <c r="R40" s="36">
        <v>1107.6720578424465</v>
      </c>
      <c r="S40" s="36">
        <v>480</v>
      </c>
      <c r="T40" s="36">
        <v>0</v>
      </c>
      <c r="U40" s="36">
        <v>0</v>
      </c>
      <c r="V40" s="36">
        <v>850</v>
      </c>
      <c r="W40" s="36">
        <v>666.19477512280662</v>
      </c>
      <c r="X40" s="36">
        <v>0</v>
      </c>
      <c r="Y40" s="36">
        <v>775</v>
      </c>
      <c r="Z40" s="36">
        <v>0</v>
      </c>
      <c r="AA40" s="36">
        <v>473.50877192982534</v>
      </c>
      <c r="AB40" s="36">
        <v>496.49122807017466</v>
      </c>
      <c r="AC40" s="36">
        <v>107</v>
      </c>
      <c r="AD40" s="36">
        <v>0</v>
      </c>
      <c r="AE40" s="36">
        <v>80</v>
      </c>
      <c r="AF40" s="36">
        <v>0</v>
      </c>
      <c r="AG40" s="36">
        <v>310</v>
      </c>
      <c r="AH40" s="36">
        <v>0</v>
      </c>
      <c r="AI40" s="36">
        <v>0</v>
      </c>
      <c r="AJ40" s="92">
        <v>0</v>
      </c>
      <c r="AL40">
        <f>INDEX(OutputValues,36,$AK$4)</f>
        <v>245453.94</v>
      </c>
    </row>
    <row r="41" spans="1:38" x14ac:dyDescent="0.6">
      <c r="A41">
        <v>3800</v>
      </c>
      <c r="B41" s="55">
        <v>245453.94</v>
      </c>
      <c r="C41" s="36">
        <v>1000</v>
      </c>
      <c r="D41" s="36">
        <v>0</v>
      </c>
      <c r="E41" s="36">
        <v>1583</v>
      </c>
      <c r="F41" s="36">
        <v>0</v>
      </c>
      <c r="G41" s="36">
        <v>0</v>
      </c>
      <c r="H41" s="36">
        <v>2140</v>
      </c>
      <c r="I41" s="36">
        <v>1370</v>
      </c>
      <c r="J41" s="36">
        <v>0</v>
      </c>
      <c r="K41" s="36">
        <v>2000</v>
      </c>
      <c r="L41" s="36">
        <v>0</v>
      </c>
      <c r="M41" s="36">
        <v>1850</v>
      </c>
      <c r="N41" s="36">
        <v>0</v>
      </c>
      <c r="O41" s="36">
        <v>0</v>
      </c>
      <c r="P41" s="36">
        <v>1260.0000000000005</v>
      </c>
      <c r="Q41" s="36">
        <v>592.32794215755337</v>
      </c>
      <c r="R41" s="36">
        <v>1107.6720578424465</v>
      </c>
      <c r="S41" s="36">
        <v>480</v>
      </c>
      <c r="T41" s="36">
        <v>0</v>
      </c>
      <c r="U41" s="36">
        <v>0</v>
      </c>
      <c r="V41" s="36">
        <v>850</v>
      </c>
      <c r="W41" s="36">
        <v>666.19477512280662</v>
      </c>
      <c r="X41" s="36">
        <v>0</v>
      </c>
      <c r="Y41" s="36">
        <v>775</v>
      </c>
      <c r="Z41" s="36">
        <v>0</v>
      </c>
      <c r="AA41" s="36">
        <v>473.50877192982534</v>
      </c>
      <c r="AB41" s="36">
        <v>496.49122807017466</v>
      </c>
      <c r="AC41" s="36">
        <v>107</v>
      </c>
      <c r="AD41" s="36">
        <v>0</v>
      </c>
      <c r="AE41" s="36">
        <v>80</v>
      </c>
      <c r="AF41" s="36">
        <v>0</v>
      </c>
      <c r="AG41" s="36">
        <v>310</v>
      </c>
      <c r="AH41" s="36">
        <v>0</v>
      </c>
      <c r="AI41" s="36">
        <v>0</v>
      </c>
      <c r="AJ41" s="92">
        <v>0</v>
      </c>
      <c r="AL41">
        <f>INDEX(OutputValues,37,$AK$4)</f>
        <v>245453.94</v>
      </c>
    </row>
    <row r="42" spans="1:38" x14ac:dyDescent="0.6">
      <c r="A42">
        <v>3850</v>
      </c>
      <c r="B42" s="55">
        <v>245453.94</v>
      </c>
      <c r="C42" s="36">
        <v>1000</v>
      </c>
      <c r="D42" s="36">
        <v>0</v>
      </c>
      <c r="E42" s="36">
        <v>1583</v>
      </c>
      <c r="F42" s="36">
        <v>0</v>
      </c>
      <c r="G42" s="36">
        <v>0</v>
      </c>
      <c r="H42" s="36">
        <v>2140</v>
      </c>
      <c r="I42" s="36">
        <v>1370</v>
      </c>
      <c r="J42" s="36">
        <v>0</v>
      </c>
      <c r="K42" s="36">
        <v>2000</v>
      </c>
      <c r="L42" s="36">
        <v>0</v>
      </c>
      <c r="M42" s="36">
        <v>1850</v>
      </c>
      <c r="N42" s="36">
        <v>0</v>
      </c>
      <c r="O42" s="36">
        <v>0</v>
      </c>
      <c r="P42" s="36">
        <v>1260.0000000000005</v>
      </c>
      <c r="Q42" s="36">
        <v>592.32794215755337</v>
      </c>
      <c r="R42" s="36">
        <v>1107.6720578424465</v>
      </c>
      <c r="S42" s="36">
        <v>480</v>
      </c>
      <c r="T42" s="36">
        <v>0</v>
      </c>
      <c r="U42" s="36">
        <v>0</v>
      </c>
      <c r="V42" s="36">
        <v>850</v>
      </c>
      <c r="W42" s="36">
        <v>666.19477512280662</v>
      </c>
      <c r="X42" s="36">
        <v>0</v>
      </c>
      <c r="Y42" s="36">
        <v>775</v>
      </c>
      <c r="Z42" s="36">
        <v>0</v>
      </c>
      <c r="AA42" s="36">
        <v>473.50877192982534</v>
      </c>
      <c r="AB42" s="36">
        <v>496.49122807017466</v>
      </c>
      <c r="AC42" s="36">
        <v>107</v>
      </c>
      <c r="AD42" s="36">
        <v>0</v>
      </c>
      <c r="AE42" s="36">
        <v>80</v>
      </c>
      <c r="AF42" s="36">
        <v>0</v>
      </c>
      <c r="AG42" s="36">
        <v>310</v>
      </c>
      <c r="AH42" s="36">
        <v>0</v>
      </c>
      <c r="AI42" s="36">
        <v>0</v>
      </c>
      <c r="AJ42" s="92">
        <v>0</v>
      </c>
      <c r="AL42">
        <f>INDEX(OutputValues,38,$AK$4)</f>
        <v>245453.94</v>
      </c>
    </row>
    <row r="43" spans="1:38" x14ac:dyDescent="0.6">
      <c r="A43">
        <v>3900</v>
      </c>
      <c r="B43" s="55">
        <v>245453.94</v>
      </c>
      <c r="C43" s="36">
        <v>1000</v>
      </c>
      <c r="D43" s="36">
        <v>0</v>
      </c>
      <c r="E43" s="36">
        <v>1583</v>
      </c>
      <c r="F43" s="36">
        <v>0</v>
      </c>
      <c r="G43" s="36">
        <v>0</v>
      </c>
      <c r="H43" s="36">
        <v>2140</v>
      </c>
      <c r="I43" s="36">
        <v>1370</v>
      </c>
      <c r="J43" s="36">
        <v>0</v>
      </c>
      <c r="K43" s="36">
        <v>2000</v>
      </c>
      <c r="L43" s="36">
        <v>0</v>
      </c>
      <c r="M43" s="36">
        <v>1850</v>
      </c>
      <c r="N43" s="36">
        <v>0</v>
      </c>
      <c r="O43" s="36">
        <v>0</v>
      </c>
      <c r="P43" s="36">
        <v>1260.0000000000005</v>
      </c>
      <c r="Q43" s="36">
        <v>592.32794215755337</v>
      </c>
      <c r="R43" s="36">
        <v>1107.6720578424465</v>
      </c>
      <c r="S43" s="36">
        <v>480</v>
      </c>
      <c r="T43" s="36">
        <v>0</v>
      </c>
      <c r="U43" s="36">
        <v>0</v>
      </c>
      <c r="V43" s="36">
        <v>850</v>
      </c>
      <c r="W43" s="36">
        <v>666.19477512280662</v>
      </c>
      <c r="X43" s="36">
        <v>0</v>
      </c>
      <c r="Y43" s="36">
        <v>775</v>
      </c>
      <c r="Z43" s="36">
        <v>0</v>
      </c>
      <c r="AA43" s="36">
        <v>473.50877192982534</v>
      </c>
      <c r="AB43" s="36">
        <v>496.49122807017466</v>
      </c>
      <c r="AC43" s="36">
        <v>107</v>
      </c>
      <c r="AD43" s="36">
        <v>0</v>
      </c>
      <c r="AE43" s="36">
        <v>80</v>
      </c>
      <c r="AF43" s="36">
        <v>0</v>
      </c>
      <c r="AG43" s="36">
        <v>310</v>
      </c>
      <c r="AH43" s="36">
        <v>0</v>
      </c>
      <c r="AI43" s="36">
        <v>0</v>
      </c>
      <c r="AJ43" s="92">
        <v>0</v>
      </c>
      <c r="AL43">
        <f>INDEX(OutputValues,39,$AK$4)</f>
        <v>245453.94</v>
      </c>
    </row>
    <row r="44" spans="1:38" x14ac:dyDescent="0.6">
      <c r="A44">
        <v>3950</v>
      </c>
      <c r="B44" s="55">
        <v>245453.94</v>
      </c>
      <c r="C44" s="36">
        <v>1000</v>
      </c>
      <c r="D44" s="36">
        <v>0</v>
      </c>
      <c r="E44" s="36">
        <v>1583</v>
      </c>
      <c r="F44" s="36">
        <v>0</v>
      </c>
      <c r="G44" s="36">
        <v>0</v>
      </c>
      <c r="H44" s="36">
        <v>2140</v>
      </c>
      <c r="I44" s="36">
        <v>1370</v>
      </c>
      <c r="J44" s="36">
        <v>0</v>
      </c>
      <c r="K44" s="36">
        <v>2000</v>
      </c>
      <c r="L44" s="36">
        <v>0</v>
      </c>
      <c r="M44" s="36">
        <v>1850</v>
      </c>
      <c r="N44" s="36">
        <v>0</v>
      </c>
      <c r="O44" s="36">
        <v>0</v>
      </c>
      <c r="P44" s="36">
        <v>1260.0000000000005</v>
      </c>
      <c r="Q44" s="36">
        <v>592.32794215755337</v>
      </c>
      <c r="R44" s="36">
        <v>1107.6720578424465</v>
      </c>
      <c r="S44" s="36">
        <v>480</v>
      </c>
      <c r="T44" s="36">
        <v>0</v>
      </c>
      <c r="U44" s="36">
        <v>0</v>
      </c>
      <c r="V44" s="36">
        <v>850</v>
      </c>
      <c r="W44" s="36">
        <v>666.19477512280662</v>
      </c>
      <c r="X44" s="36">
        <v>0</v>
      </c>
      <c r="Y44" s="36">
        <v>775</v>
      </c>
      <c r="Z44" s="36">
        <v>0</v>
      </c>
      <c r="AA44" s="36">
        <v>473.50877192982534</v>
      </c>
      <c r="AB44" s="36">
        <v>496.49122807017466</v>
      </c>
      <c r="AC44" s="36">
        <v>107</v>
      </c>
      <c r="AD44" s="36">
        <v>0</v>
      </c>
      <c r="AE44" s="36">
        <v>80</v>
      </c>
      <c r="AF44" s="36">
        <v>0</v>
      </c>
      <c r="AG44" s="36">
        <v>310</v>
      </c>
      <c r="AH44" s="36">
        <v>0</v>
      </c>
      <c r="AI44" s="36">
        <v>0</v>
      </c>
      <c r="AJ44" s="92">
        <v>0</v>
      </c>
      <c r="AL44">
        <f>INDEX(OutputValues,40,$AK$4)</f>
        <v>245453.94</v>
      </c>
    </row>
    <row r="45" spans="1:38" x14ac:dyDescent="0.6">
      <c r="A45">
        <v>4000</v>
      </c>
      <c r="B45" s="56">
        <v>245453.94</v>
      </c>
      <c r="C45" s="96">
        <v>1000</v>
      </c>
      <c r="D45" s="96">
        <v>0</v>
      </c>
      <c r="E45" s="96">
        <v>1583</v>
      </c>
      <c r="F45" s="96">
        <v>0</v>
      </c>
      <c r="G45" s="96">
        <v>0</v>
      </c>
      <c r="H45" s="96">
        <v>2140</v>
      </c>
      <c r="I45" s="96">
        <v>1370</v>
      </c>
      <c r="J45" s="96">
        <v>0</v>
      </c>
      <c r="K45" s="96">
        <v>2000</v>
      </c>
      <c r="L45" s="96">
        <v>0</v>
      </c>
      <c r="M45" s="96">
        <v>1850</v>
      </c>
      <c r="N45" s="96">
        <v>0</v>
      </c>
      <c r="O45" s="96">
        <v>0</v>
      </c>
      <c r="P45" s="96">
        <v>1260.0000000000005</v>
      </c>
      <c r="Q45" s="96">
        <v>592.32794215755337</v>
      </c>
      <c r="R45" s="96">
        <v>1107.6720578424465</v>
      </c>
      <c r="S45" s="96">
        <v>480</v>
      </c>
      <c r="T45" s="96">
        <v>0</v>
      </c>
      <c r="U45" s="96">
        <v>0</v>
      </c>
      <c r="V45" s="96">
        <v>850</v>
      </c>
      <c r="W45" s="96">
        <v>666.19477512280662</v>
      </c>
      <c r="X45" s="96">
        <v>0</v>
      </c>
      <c r="Y45" s="96">
        <v>775</v>
      </c>
      <c r="Z45" s="96">
        <v>0</v>
      </c>
      <c r="AA45" s="96">
        <v>473.50877192982534</v>
      </c>
      <c r="AB45" s="96">
        <v>496.49122807017466</v>
      </c>
      <c r="AC45" s="96">
        <v>107</v>
      </c>
      <c r="AD45" s="96">
        <v>0</v>
      </c>
      <c r="AE45" s="96">
        <v>80</v>
      </c>
      <c r="AF45" s="96">
        <v>0</v>
      </c>
      <c r="AG45" s="96">
        <v>310</v>
      </c>
      <c r="AH45" s="96">
        <v>0</v>
      </c>
      <c r="AI45" s="96">
        <v>0</v>
      </c>
      <c r="AJ45" s="95">
        <v>0</v>
      </c>
      <c r="AL45">
        <f>INDEX(OutputValues,41,$AK$4)</f>
        <v>245453.94</v>
      </c>
    </row>
  </sheetData>
  <dataValidations count="1">
    <dataValidation type="list" allowBlank="1" showInputMessage="1" showErrorMessage="1" sqref="AL4" xr:uid="{0DCEFC12-77D1-4473-A227-18A31A8EBF9C}">
      <formula1>OutputAddresses</formula1>
    </dataValidation>
  </dataValidation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EA961-D3B3-483D-BE06-12489E469387}">
  <sheetPr>
    <tabColor theme="4" tint="0.79998168889431442"/>
  </sheetPr>
  <dimension ref="A1:K64"/>
  <sheetViews>
    <sheetView topLeftCell="A22" workbookViewId="0">
      <selection activeCell="H26" sqref="H26"/>
    </sheetView>
  </sheetViews>
  <sheetFormatPr defaultColWidth="8.86328125" defaultRowHeight="13" x14ac:dyDescent="0.6"/>
  <cols>
    <col min="1" max="1" width="30.7265625" customWidth="1"/>
    <col min="2" max="5" width="11.7265625" customWidth="1"/>
    <col min="7" max="7" width="21" bestFit="1" customWidth="1"/>
    <col min="8" max="8" width="16.54296875" bestFit="1" customWidth="1"/>
    <col min="9" max="9" width="19.7265625" customWidth="1"/>
    <col min="10" max="10" width="14" bestFit="1" customWidth="1"/>
    <col min="11" max="11" width="15.1328125" customWidth="1"/>
    <col min="12" max="12" width="21" bestFit="1" customWidth="1"/>
    <col min="13" max="13" width="11.7265625" bestFit="1" customWidth="1"/>
  </cols>
  <sheetData>
    <row r="1" spans="1:11" x14ac:dyDescent="0.6">
      <c r="A1" s="1" t="s">
        <v>0</v>
      </c>
      <c r="G1" s="1" t="s">
        <v>59</v>
      </c>
    </row>
    <row r="4" spans="1:11" x14ac:dyDescent="0.6">
      <c r="A4" s="1" t="s">
        <v>1</v>
      </c>
      <c r="G4" s="1" t="s">
        <v>54</v>
      </c>
      <c r="K4" s="1"/>
    </row>
    <row r="5" spans="1:11" x14ac:dyDescent="0.6">
      <c r="B5" s="18" t="s">
        <v>2</v>
      </c>
      <c r="C5" s="40"/>
      <c r="D5" s="64" t="s">
        <v>3</v>
      </c>
      <c r="E5" s="64"/>
    </row>
    <row r="6" spans="1:11" x14ac:dyDescent="0.6">
      <c r="A6" t="s">
        <v>4</v>
      </c>
      <c r="B6" s="40" t="s">
        <v>5</v>
      </c>
      <c r="C6" s="40" t="s">
        <v>6</v>
      </c>
      <c r="D6" s="40" t="s">
        <v>7</v>
      </c>
      <c r="E6" s="18" t="s">
        <v>8</v>
      </c>
      <c r="H6" s="40" t="s">
        <v>7</v>
      </c>
      <c r="I6" s="18" t="s">
        <v>8</v>
      </c>
      <c r="J6" s="40" t="s">
        <v>68</v>
      </c>
    </row>
    <row r="7" spans="1:11" x14ac:dyDescent="0.6">
      <c r="B7" s="39" t="s">
        <v>9</v>
      </c>
      <c r="C7" s="39" t="s">
        <v>10</v>
      </c>
      <c r="D7" s="39" t="s">
        <v>10</v>
      </c>
      <c r="E7" s="39" t="s">
        <v>10</v>
      </c>
      <c r="G7" s="21" t="s">
        <v>61</v>
      </c>
    </row>
    <row r="8" spans="1:11" x14ac:dyDescent="0.6">
      <c r="A8" s="6" t="s">
        <v>11</v>
      </c>
      <c r="B8" s="19">
        <v>1000</v>
      </c>
      <c r="C8" s="7">
        <v>25.2</v>
      </c>
      <c r="D8" s="7">
        <v>5</v>
      </c>
      <c r="E8" s="7">
        <v>11.6</v>
      </c>
      <c r="G8" s="6" t="s">
        <v>11</v>
      </c>
      <c r="H8" s="37">
        <v>1000</v>
      </c>
      <c r="I8" s="37">
        <v>0</v>
      </c>
      <c r="J8">
        <f>SUM(H8:I8)</f>
        <v>1000</v>
      </c>
    </row>
    <row r="9" spans="1:11" x14ac:dyDescent="0.6">
      <c r="A9" s="6" t="s">
        <v>12</v>
      </c>
      <c r="B9" s="19">
        <v>1583</v>
      </c>
      <c r="C9" s="7">
        <v>24.5</v>
      </c>
      <c r="D9" s="7">
        <v>5</v>
      </c>
      <c r="E9" s="7">
        <v>13.7</v>
      </c>
      <c r="G9" s="6" t="s">
        <v>12</v>
      </c>
      <c r="H9" s="37">
        <v>1583</v>
      </c>
      <c r="I9" s="37">
        <v>0</v>
      </c>
      <c r="J9">
        <f t="shared" ref="J9:J16" si="0">SUM(H9:I9)</f>
        <v>1583</v>
      </c>
    </row>
    <row r="10" spans="1:11" x14ac:dyDescent="0.6">
      <c r="A10" s="5" t="s">
        <v>13</v>
      </c>
      <c r="B10" s="19">
        <v>2140</v>
      </c>
      <c r="C10" s="7">
        <v>25.5</v>
      </c>
      <c r="D10" s="7">
        <v>19.600000000000001</v>
      </c>
      <c r="E10" s="7">
        <v>11.5</v>
      </c>
      <c r="G10" s="5" t="s">
        <v>13</v>
      </c>
      <c r="H10" s="37">
        <v>0</v>
      </c>
      <c r="I10" s="37">
        <v>2140</v>
      </c>
      <c r="J10">
        <f t="shared" si="0"/>
        <v>2140</v>
      </c>
    </row>
    <row r="11" spans="1:11" x14ac:dyDescent="0.6">
      <c r="A11" s="5" t="s">
        <v>14</v>
      </c>
      <c r="B11" s="19">
        <v>1370</v>
      </c>
      <c r="C11" s="7">
        <v>23.3</v>
      </c>
      <c r="D11" s="7">
        <v>4</v>
      </c>
      <c r="E11" s="7">
        <v>10.6</v>
      </c>
      <c r="G11" s="5" t="s">
        <v>14</v>
      </c>
      <c r="H11" s="37">
        <v>530.18023681640625</v>
      </c>
      <c r="I11" s="37">
        <v>839.81976318359375</v>
      </c>
      <c r="J11">
        <f t="shared" si="0"/>
        <v>1370</v>
      </c>
    </row>
    <row r="12" spans="1:11" x14ac:dyDescent="0.6">
      <c r="A12" s="5" t="s">
        <v>15</v>
      </c>
      <c r="B12" s="19">
        <v>2000</v>
      </c>
      <c r="C12" s="7">
        <v>24.2</v>
      </c>
      <c r="D12" s="7">
        <v>4.2</v>
      </c>
      <c r="E12" s="7">
        <v>12.1</v>
      </c>
      <c r="G12" s="5" t="s">
        <v>15</v>
      </c>
      <c r="H12" s="37">
        <v>2000</v>
      </c>
      <c r="I12" s="37">
        <v>0</v>
      </c>
      <c r="J12">
        <f t="shared" si="0"/>
        <v>2000</v>
      </c>
    </row>
    <row r="13" spans="1:11" x14ac:dyDescent="0.6">
      <c r="A13" s="5" t="s">
        <v>16</v>
      </c>
      <c r="B13" s="19">
        <v>1850</v>
      </c>
      <c r="C13" s="7">
        <v>23.3</v>
      </c>
      <c r="D13" s="7">
        <v>7.65</v>
      </c>
      <c r="E13" s="7">
        <v>11</v>
      </c>
      <c r="G13" s="5" t="s">
        <v>16</v>
      </c>
      <c r="H13" s="37">
        <v>0</v>
      </c>
      <c r="I13" s="37">
        <v>1850</v>
      </c>
      <c r="J13">
        <f t="shared" si="0"/>
        <v>1850</v>
      </c>
    </row>
    <row r="14" spans="1:11" x14ac:dyDescent="0.6">
      <c r="A14" s="5" t="s">
        <v>17</v>
      </c>
      <c r="B14" s="19">
        <v>1260</v>
      </c>
      <c r="C14" s="7">
        <v>23.3</v>
      </c>
      <c r="D14" s="7">
        <v>14.7</v>
      </c>
      <c r="E14" s="7">
        <v>4.8</v>
      </c>
      <c r="G14" s="5" t="s">
        <v>17</v>
      </c>
      <c r="H14" s="37">
        <v>0</v>
      </c>
      <c r="I14" s="37">
        <v>1260</v>
      </c>
      <c r="J14">
        <f t="shared" si="0"/>
        <v>1260</v>
      </c>
    </row>
    <row r="15" spans="1:11" x14ac:dyDescent="0.6">
      <c r="A15" s="5" t="s">
        <v>18</v>
      </c>
      <c r="B15" s="19">
        <v>1700</v>
      </c>
      <c r="C15" s="7">
        <v>24.2</v>
      </c>
      <c r="D15" s="7">
        <v>16.3</v>
      </c>
      <c r="E15" s="7">
        <v>10.3</v>
      </c>
      <c r="G15" s="5" t="s">
        <v>18</v>
      </c>
      <c r="H15" s="37">
        <v>0</v>
      </c>
      <c r="I15" s="37">
        <v>1700</v>
      </c>
      <c r="J15">
        <f t="shared" si="0"/>
        <v>1700</v>
      </c>
    </row>
    <row r="16" spans="1:11" x14ac:dyDescent="0.6">
      <c r="A16" t="s">
        <v>298</v>
      </c>
      <c r="B16" t="s">
        <v>299</v>
      </c>
      <c r="C16">
        <v>30.899999618530273</v>
      </c>
      <c r="D16" s="7">
        <v>15.3</v>
      </c>
      <c r="E16" s="7">
        <v>13.1</v>
      </c>
      <c r="G16" t="s">
        <v>298</v>
      </c>
      <c r="H16" s="67">
        <v>0</v>
      </c>
      <c r="I16" s="67">
        <v>414.78591918945313</v>
      </c>
      <c r="J16">
        <f t="shared" si="0"/>
        <v>414.78591918945313</v>
      </c>
    </row>
    <row r="17" spans="1:10" x14ac:dyDescent="0.6">
      <c r="H17" s="36">
        <f>SUM(H8:H16)</f>
        <v>5113.1802368164063</v>
      </c>
      <c r="I17" s="36">
        <f>SUM(I8:I16)</f>
        <v>8204.6056823730469</v>
      </c>
    </row>
    <row r="18" spans="1:10" x14ac:dyDescent="0.6">
      <c r="A18" s="1" t="s">
        <v>19</v>
      </c>
      <c r="G18" s="21" t="s">
        <v>62</v>
      </c>
      <c r="H18" s="40" t="s">
        <v>7</v>
      </c>
      <c r="I18" s="18" t="s">
        <v>8</v>
      </c>
    </row>
    <row r="19" spans="1:10" x14ac:dyDescent="0.6">
      <c r="B19" s="40" t="s">
        <v>7</v>
      </c>
      <c r="C19" s="18" t="s">
        <v>8</v>
      </c>
      <c r="G19" s="5" t="s">
        <v>39</v>
      </c>
      <c r="H19" s="37">
        <v>480</v>
      </c>
      <c r="I19" s="37">
        <v>0</v>
      </c>
      <c r="J19" s="36">
        <f t="shared" ref="J19:J27" si="1">SUM(H19:I19)</f>
        <v>480</v>
      </c>
    </row>
    <row r="20" spans="1:10" x14ac:dyDescent="0.6">
      <c r="A20" s="5" t="s">
        <v>20</v>
      </c>
      <c r="G20" t="s">
        <v>40</v>
      </c>
      <c r="H20" s="37">
        <v>0</v>
      </c>
      <c r="I20" s="37">
        <v>850</v>
      </c>
      <c r="J20" s="36">
        <f t="shared" si="1"/>
        <v>850</v>
      </c>
    </row>
    <row r="21" spans="1:10" x14ac:dyDescent="0.6">
      <c r="A21" t="s">
        <v>21</v>
      </c>
      <c r="B21" s="8">
        <v>2.7E-2</v>
      </c>
      <c r="C21" s="8">
        <v>2.7E-2</v>
      </c>
      <c r="G21" t="s">
        <v>41</v>
      </c>
      <c r="H21" s="37">
        <v>9.1940298080444336</v>
      </c>
      <c r="I21" s="37">
        <v>630.80596923828125</v>
      </c>
      <c r="J21" s="36">
        <f t="shared" si="1"/>
        <v>639.99999904632568</v>
      </c>
    </row>
    <row r="22" spans="1:10" x14ac:dyDescent="0.6">
      <c r="G22" t="s">
        <v>42</v>
      </c>
      <c r="H22" s="37">
        <v>775</v>
      </c>
      <c r="I22" s="37">
        <v>0</v>
      </c>
      <c r="J22" s="36">
        <f t="shared" si="1"/>
        <v>775</v>
      </c>
    </row>
    <row r="23" spans="1:10" x14ac:dyDescent="0.6">
      <c r="A23" s="5" t="s">
        <v>22</v>
      </c>
      <c r="G23" t="s">
        <v>43</v>
      </c>
      <c r="H23" s="37">
        <v>0</v>
      </c>
      <c r="I23" s="37">
        <v>970</v>
      </c>
      <c r="J23" s="36">
        <f t="shared" si="1"/>
        <v>970</v>
      </c>
    </row>
    <row r="24" spans="1:10" x14ac:dyDescent="0.6">
      <c r="A24" t="s">
        <v>23</v>
      </c>
      <c r="B24" s="8">
        <v>0.35399999999999998</v>
      </c>
      <c r="C24" s="8">
        <v>0.307</v>
      </c>
      <c r="G24" s="5" t="s">
        <v>44</v>
      </c>
      <c r="H24" s="37">
        <v>107</v>
      </c>
      <c r="I24" s="37">
        <v>0</v>
      </c>
      <c r="J24" s="36">
        <f t="shared" si="1"/>
        <v>107</v>
      </c>
    </row>
    <row r="25" spans="1:10" x14ac:dyDescent="0.6">
      <c r="A25" t="s">
        <v>24</v>
      </c>
      <c r="B25" s="8">
        <v>0.40200000000000002</v>
      </c>
      <c r="C25" s="8">
        <v>0.45600000000000002</v>
      </c>
      <c r="G25" t="s">
        <v>45</v>
      </c>
      <c r="H25" s="37">
        <v>80</v>
      </c>
      <c r="I25" s="37">
        <v>0</v>
      </c>
      <c r="J25" s="36">
        <f t="shared" si="1"/>
        <v>80</v>
      </c>
    </row>
    <row r="26" spans="1:10" x14ac:dyDescent="0.6">
      <c r="A26" t="s">
        <v>69</v>
      </c>
      <c r="B26" s="8">
        <f>1-SUM(B24:B25)</f>
        <v>0.24399999999999999</v>
      </c>
      <c r="C26" s="8">
        <f>1-SUM(C24:C25)</f>
        <v>0.23699999999999999</v>
      </c>
      <c r="G26" t="s">
        <v>46</v>
      </c>
      <c r="H26" s="37">
        <v>310</v>
      </c>
      <c r="I26" s="37">
        <v>0</v>
      </c>
      <c r="J26" s="36">
        <f t="shared" si="1"/>
        <v>310</v>
      </c>
    </row>
    <row r="27" spans="1:10" x14ac:dyDescent="0.6">
      <c r="G27" t="s">
        <v>47</v>
      </c>
      <c r="H27" s="37">
        <v>0</v>
      </c>
      <c r="I27" s="37">
        <v>0</v>
      </c>
      <c r="J27" s="36">
        <f t="shared" si="1"/>
        <v>0</v>
      </c>
    </row>
    <row r="28" spans="1:10" x14ac:dyDescent="0.6">
      <c r="A28" t="s">
        <v>25</v>
      </c>
      <c r="G28" t="s">
        <v>68</v>
      </c>
      <c r="H28" s="36">
        <f>SUM(H19:H27)</f>
        <v>1761.1940298080444</v>
      </c>
      <c r="I28" s="36">
        <f>SUM(I19:I27)</f>
        <v>2450.8059692382813</v>
      </c>
    </row>
    <row r="29" spans="1:10" x14ac:dyDescent="0.6">
      <c r="A29" t="s">
        <v>53</v>
      </c>
      <c r="B29" s="9">
        <v>31</v>
      </c>
      <c r="C29" s="9">
        <v>38</v>
      </c>
    </row>
    <row r="30" spans="1:10" x14ac:dyDescent="0.6">
      <c r="A30" s="5" t="s">
        <v>26</v>
      </c>
      <c r="B30" s="9">
        <v>10000</v>
      </c>
      <c r="C30" s="9">
        <v>14200</v>
      </c>
      <c r="G30" s="1" t="s">
        <v>70</v>
      </c>
    </row>
    <row r="31" spans="1:10" x14ac:dyDescent="0.6">
      <c r="H31" s="40" t="s">
        <v>7</v>
      </c>
      <c r="I31" s="18" t="s">
        <v>8</v>
      </c>
      <c r="J31" s="40" t="s">
        <v>268</v>
      </c>
    </row>
    <row r="32" spans="1:10" x14ac:dyDescent="0.6">
      <c r="A32" s="5" t="s">
        <v>27</v>
      </c>
      <c r="G32" t="s">
        <v>63</v>
      </c>
      <c r="H32" s="36">
        <f>SUM($H$8:$H$16)*(1-$B$21)*$B$24</f>
        <v>1761.1940271295166</v>
      </c>
      <c r="I32" s="36">
        <f>SUM($I$8:$I$16)*(1-$C$21)*$C$24</f>
        <v>2450.805967987335</v>
      </c>
      <c r="J32" s="36">
        <f>SUM(H32:I32)</f>
        <v>4211.999995116852</v>
      </c>
    </row>
    <row r="33" spans="1:10" x14ac:dyDescent="0.6">
      <c r="A33" s="5" t="s">
        <v>28</v>
      </c>
      <c r="B33" s="9">
        <v>8030</v>
      </c>
      <c r="C33" s="9">
        <v>8780</v>
      </c>
      <c r="G33" t="s">
        <v>24</v>
      </c>
      <c r="H33" s="36">
        <f>SUM($H$8:$H$16)*(1-$B$21)*$B$25</f>
        <v>1999.9999969097903</v>
      </c>
      <c r="I33" s="36">
        <f>SUM($I$8:$I$16)*(1-$C$21)*$C$25</f>
        <v>3640.2850860007325</v>
      </c>
      <c r="J33" s="36">
        <f t="shared" ref="J33" si="2">SUM(H33:I33)</f>
        <v>5640.2850829105228</v>
      </c>
    </row>
    <row r="34" spans="1:10" x14ac:dyDescent="0.6">
      <c r="A34" t="s">
        <v>29</v>
      </c>
      <c r="B34" s="9">
        <v>2000</v>
      </c>
      <c r="C34" s="9">
        <v>4000</v>
      </c>
      <c r="G34" t="s">
        <v>52</v>
      </c>
      <c r="H34" s="36">
        <f>SUM($H$8:$H$16)*(1-$B$21)*$B$26</f>
        <v>1213.9303463830568</v>
      </c>
      <c r="I34" s="36">
        <f>SUM($I$8:$I$16)*(1-$C$21)*$C$26</f>
        <v>1891.9902749609068</v>
      </c>
      <c r="J34" s="36">
        <f>SUM(H34:I34)</f>
        <v>3105.9206213439638</v>
      </c>
    </row>
    <row r="35" spans="1:10" x14ac:dyDescent="0.6">
      <c r="G35" t="s">
        <v>267</v>
      </c>
      <c r="H35" s="36">
        <f>SUM(H32:H34)</f>
        <v>4975.1243704223634</v>
      </c>
      <c r="I35" s="36">
        <f>SUM(I32:I34)</f>
        <v>7983.0813289489743</v>
      </c>
    </row>
    <row r="36" spans="1:10" x14ac:dyDescent="0.6">
      <c r="A36" t="s">
        <v>30</v>
      </c>
    </row>
    <row r="37" spans="1:10" x14ac:dyDescent="0.6">
      <c r="A37" t="s">
        <v>31</v>
      </c>
      <c r="B37" s="26">
        <v>0.5</v>
      </c>
      <c r="C37" s="26">
        <v>0.5</v>
      </c>
      <c r="G37" s="1"/>
      <c r="H37" s="40" t="s">
        <v>7</v>
      </c>
      <c r="I37" s="18" t="s">
        <v>8</v>
      </c>
    </row>
    <row r="38" spans="1:10" x14ac:dyDescent="0.6">
      <c r="A38" t="s">
        <v>32</v>
      </c>
      <c r="B38" s="26">
        <v>1</v>
      </c>
      <c r="C38" s="26">
        <v>1</v>
      </c>
      <c r="G38" s="40" t="s">
        <v>23</v>
      </c>
    </row>
    <row r="39" spans="1:10" x14ac:dyDescent="0.6">
      <c r="B39" s="10"/>
      <c r="C39" s="10"/>
      <c r="G39" t="s">
        <v>60</v>
      </c>
      <c r="H39" s="19">
        <f>$B$33*$B$37</f>
        <v>4015</v>
      </c>
      <c r="I39" s="19">
        <f>$C$33*$C$37</f>
        <v>4390</v>
      </c>
    </row>
    <row r="40" spans="1:10" x14ac:dyDescent="0.6">
      <c r="G40" s="6" t="s">
        <v>35</v>
      </c>
      <c r="H40" s="19">
        <f>$B$33*$B$38</f>
        <v>8030</v>
      </c>
      <c r="I40" s="19">
        <f>$C$33*$C$38</f>
        <v>8780</v>
      </c>
    </row>
    <row r="41" spans="1:10" x14ac:dyDescent="0.6">
      <c r="A41" s="1" t="s">
        <v>33</v>
      </c>
      <c r="G41" s="5"/>
    </row>
    <row r="42" spans="1:10" x14ac:dyDescent="0.6">
      <c r="G42" s="40" t="s">
        <v>24</v>
      </c>
    </row>
    <row r="43" spans="1:10" x14ac:dyDescent="0.6">
      <c r="B43" s="18" t="s">
        <v>34</v>
      </c>
      <c r="C43" s="18" t="s">
        <v>35</v>
      </c>
      <c r="D43" s="64" t="s">
        <v>36</v>
      </c>
      <c r="E43" s="64"/>
      <c r="G43" s="6" t="s">
        <v>60</v>
      </c>
      <c r="H43" s="19">
        <f>$B$34*$B$37</f>
        <v>1000</v>
      </c>
      <c r="I43" s="19">
        <f>$C$34*$C$37</f>
        <v>2000</v>
      </c>
    </row>
    <row r="44" spans="1:10" x14ac:dyDescent="0.6">
      <c r="A44" s="5" t="s">
        <v>37</v>
      </c>
      <c r="B44" s="40" t="s">
        <v>5</v>
      </c>
      <c r="C44" s="18" t="s">
        <v>38</v>
      </c>
      <c r="D44" s="40" t="s">
        <v>7</v>
      </c>
      <c r="E44" s="18" t="s">
        <v>8</v>
      </c>
      <c r="G44" s="6" t="s">
        <v>35</v>
      </c>
      <c r="H44" s="19">
        <f>$B$34*$B$38</f>
        <v>2000</v>
      </c>
      <c r="I44" s="19">
        <f>$C$34*$C$38</f>
        <v>4000</v>
      </c>
    </row>
    <row r="45" spans="1:10" x14ac:dyDescent="0.6">
      <c r="B45" s="12" t="s">
        <v>9</v>
      </c>
      <c r="C45" s="12" t="s">
        <v>9</v>
      </c>
      <c r="D45" s="39" t="s">
        <v>10</v>
      </c>
      <c r="E45" s="39" t="s">
        <v>10</v>
      </c>
      <c r="G45" s="5"/>
    </row>
    <row r="46" spans="1:10" x14ac:dyDescent="0.6">
      <c r="A46" s="5" t="s">
        <v>39</v>
      </c>
      <c r="B46" s="19">
        <v>480</v>
      </c>
      <c r="C46" s="19">
        <v>900</v>
      </c>
      <c r="D46" s="7">
        <v>26</v>
      </c>
      <c r="E46" s="7">
        <v>30.1</v>
      </c>
    </row>
    <row r="47" spans="1:10" x14ac:dyDescent="0.6">
      <c r="A47" t="s">
        <v>40</v>
      </c>
      <c r="B47" s="19">
        <v>850</v>
      </c>
      <c r="C47" s="19">
        <v>1150</v>
      </c>
      <c r="D47" s="7">
        <v>51.7</v>
      </c>
      <c r="E47" s="7">
        <v>31.7</v>
      </c>
      <c r="G47" s="1" t="s">
        <v>55</v>
      </c>
      <c r="I47" s="40"/>
    </row>
    <row r="48" spans="1:10" x14ac:dyDescent="0.6">
      <c r="A48" t="s">
        <v>41</v>
      </c>
      <c r="B48" s="19">
        <v>640</v>
      </c>
      <c r="C48" s="19">
        <v>800</v>
      </c>
      <c r="D48" s="7">
        <v>16.600000000000001</v>
      </c>
      <c r="E48" s="7">
        <v>7.3</v>
      </c>
      <c r="G48" t="s">
        <v>56</v>
      </c>
      <c r="H48" s="22">
        <f>SUM($J$19:$J$27)*$B$63 + $J$34*$B$64 + $H$33*$B$61 + $I$33*$B$62</f>
        <v>1175322.7777813347</v>
      </c>
    </row>
    <row r="49" spans="1:8" x14ac:dyDescent="0.6">
      <c r="A49" t="s">
        <v>42</v>
      </c>
      <c r="B49" s="19">
        <v>575</v>
      </c>
      <c r="C49" s="19">
        <v>775</v>
      </c>
      <c r="D49" s="7">
        <v>16.2</v>
      </c>
      <c r="E49" s="7">
        <v>21.5</v>
      </c>
      <c r="G49" t="s">
        <v>67</v>
      </c>
      <c r="H49" s="22">
        <f>SUMPRODUCT($C$8:$C$16,$H$8:$H$16)+SUMPRODUCT($C$8:$C$16,$I$8:$I$16)</f>
        <v>325294.38474472583</v>
      </c>
    </row>
    <row r="50" spans="1:8" x14ac:dyDescent="0.6">
      <c r="A50" t="s">
        <v>43</v>
      </c>
      <c r="B50" s="19">
        <v>970</v>
      </c>
      <c r="C50" s="19">
        <v>970</v>
      </c>
      <c r="D50" s="7">
        <v>24.5</v>
      </c>
      <c r="E50" s="7">
        <v>13.2</v>
      </c>
      <c r="G50" t="s">
        <v>64</v>
      </c>
      <c r="H50" s="22">
        <f>SUMPRODUCT($D$8:$E$16,$H$8:$I$16)+SUMPRODUCT($H$19:$I$27,$D$46:$E$54)</f>
        <v>185092.11044864653</v>
      </c>
    </row>
    <row r="51" spans="1:8" x14ac:dyDescent="0.6">
      <c r="A51" s="5" t="s">
        <v>44</v>
      </c>
      <c r="B51" s="19">
        <v>107</v>
      </c>
      <c r="C51" s="19">
        <v>200</v>
      </c>
      <c r="D51" s="7">
        <v>26.3</v>
      </c>
      <c r="E51" s="7">
        <v>28</v>
      </c>
      <c r="G51" t="s">
        <v>65</v>
      </c>
      <c r="H51" s="22">
        <f>SUM($H$8:$H$16)*(1-$B$21)*$B$29 + SUM($I$8:$I$16)*(1-$C$21)*$C$29 +SUM($B$30:$C$30)</f>
        <v>481785.94598315435</v>
      </c>
    </row>
    <row r="52" spans="1:8" x14ac:dyDescent="0.6">
      <c r="A52" t="s">
        <v>45</v>
      </c>
      <c r="B52" s="19">
        <v>80</v>
      </c>
      <c r="C52" s="19">
        <v>400</v>
      </c>
      <c r="D52" s="7">
        <v>21.3</v>
      </c>
      <c r="E52" s="7">
        <v>46.2</v>
      </c>
      <c r="G52" t="s">
        <v>66</v>
      </c>
      <c r="H52" s="22">
        <f>SUM($H$49:$H$51)</f>
        <v>992172.44117652671</v>
      </c>
    </row>
    <row r="53" spans="1:8" x14ac:dyDescent="0.6">
      <c r="A53" t="s">
        <v>46</v>
      </c>
      <c r="B53" s="19">
        <v>0</v>
      </c>
      <c r="C53" s="19">
        <v>310</v>
      </c>
      <c r="D53" s="7">
        <v>15.3</v>
      </c>
      <c r="E53" s="7">
        <v>28.4</v>
      </c>
      <c r="G53" t="s">
        <v>58</v>
      </c>
      <c r="H53" s="23">
        <f>$H$48-$H$52</f>
        <v>183150.33660480799</v>
      </c>
    </row>
    <row r="54" spans="1:8" x14ac:dyDescent="0.6">
      <c r="A54" t="s">
        <v>47</v>
      </c>
      <c r="B54" s="19">
        <v>0</v>
      </c>
      <c r="C54" s="19">
        <v>470</v>
      </c>
      <c r="D54" s="7">
        <v>24.3</v>
      </c>
      <c r="E54" s="7">
        <v>14.7</v>
      </c>
    </row>
    <row r="57" spans="1:8" x14ac:dyDescent="0.6">
      <c r="A57" s="1" t="s">
        <v>48</v>
      </c>
    </row>
    <row r="59" spans="1:8" x14ac:dyDescent="0.6">
      <c r="A59" t="s">
        <v>49</v>
      </c>
      <c r="B59" s="40" t="s">
        <v>6</v>
      </c>
    </row>
    <row r="60" spans="1:8" x14ac:dyDescent="0.6">
      <c r="B60" s="39" t="s">
        <v>10</v>
      </c>
    </row>
    <row r="61" spans="1:8" x14ac:dyDescent="0.6">
      <c r="A61" t="s">
        <v>50</v>
      </c>
      <c r="B61">
        <v>200</v>
      </c>
    </row>
    <row r="62" spans="1:8" x14ac:dyDescent="0.6">
      <c r="A62" s="5" t="s">
        <v>51</v>
      </c>
      <c r="B62">
        <v>150</v>
      </c>
    </row>
    <row r="63" spans="1:8" x14ac:dyDescent="0.6">
      <c r="A63" t="s">
        <v>23</v>
      </c>
      <c r="B63">
        <v>36</v>
      </c>
    </row>
    <row r="64" spans="1:8" x14ac:dyDescent="0.6">
      <c r="A64" t="s">
        <v>52</v>
      </c>
      <c r="B64">
        <v>25</v>
      </c>
    </row>
  </sheetData>
  <mergeCells count="2">
    <mergeCell ref="D5:E5"/>
    <mergeCell ref="D43:E43"/>
  </mergeCells>
  <printOptions headings="1"/>
  <pageMargins left="0.75" right="0.75" top="1" bottom="1" header="0.5" footer="0.5"/>
  <pageSetup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70F84-2680-4BF5-823D-AB1845C3AB7D}">
  <sheetPr>
    <tabColor theme="4" tint="0.79998168889431442"/>
  </sheetPr>
  <dimension ref="A1:K405"/>
  <sheetViews>
    <sheetView zoomScale="59" workbookViewId="0">
      <selection activeCell="N21" sqref="N21"/>
    </sheetView>
  </sheetViews>
  <sheetFormatPr defaultRowHeight="13" x14ac:dyDescent="0.6"/>
  <cols>
    <col min="2" max="2" width="12.86328125" bestFit="1" customWidth="1"/>
  </cols>
  <sheetData>
    <row r="1" spans="1:11" x14ac:dyDescent="0.6">
      <c r="A1" s="1" t="s">
        <v>300</v>
      </c>
      <c r="K1" s="47" t="str">
        <f>CONCATENATE("Sensitivity of ",$K$4," to ","Input")</f>
        <v>Sensitivity of Profit to Input</v>
      </c>
    </row>
    <row r="3" spans="1:11" x14ac:dyDescent="0.6">
      <c r="A3" t="s">
        <v>301</v>
      </c>
      <c r="K3" t="s">
        <v>276</v>
      </c>
    </row>
    <row r="4" spans="1:11" ht="28" x14ac:dyDescent="0.6">
      <c r="B4" s="45" t="s">
        <v>58</v>
      </c>
      <c r="J4" s="47">
        <f>MATCH($K$4,OutputAddresses,0)</f>
        <v>1</v>
      </c>
      <c r="K4" s="46" t="s">
        <v>58</v>
      </c>
    </row>
    <row r="5" spans="1:11" x14ac:dyDescent="0.6">
      <c r="A5">
        <v>0</v>
      </c>
      <c r="B5" s="48">
        <v>220368.65</v>
      </c>
      <c r="K5">
        <f>INDEX(OutputValues,1,$J$4)</f>
        <v>220368.65</v>
      </c>
    </row>
    <row r="6" spans="1:11" x14ac:dyDescent="0.6">
      <c r="A6">
        <v>0.10000000149011612</v>
      </c>
      <c r="B6" s="49">
        <v>220246.1</v>
      </c>
      <c r="K6">
        <f>INDEX(OutputValues,2,$J$4)</f>
        <v>220246.1</v>
      </c>
    </row>
    <row r="7" spans="1:11" x14ac:dyDescent="0.6">
      <c r="A7">
        <v>0.20000000298023224</v>
      </c>
      <c r="B7" s="49">
        <v>220123.55</v>
      </c>
      <c r="K7">
        <f>INDEX(OutputValues,3,$J$4)</f>
        <v>220123.55</v>
      </c>
    </row>
    <row r="8" spans="1:11" x14ac:dyDescent="0.6">
      <c r="A8">
        <v>0.30000001192092896</v>
      </c>
      <c r="B8" s="49">
        <v>220001</v>
      </c>
      <c r="K8">
        <f>INDEX(OutputValues,4,$J$4)</f>
        <v>220001</v>
      </c>
    </row>
    <row r="9" spans="1:11" x14ac:dyDescent="0.6">
      <c r="A9">
        <v>0.40000000596046448</v>
      </c>
      <c r="B9" s="49">
        <v>219878.44</v>
      </c>
      <c r="K9">
        <f>INDEX(OutputValues,5,$J$4)</f>
        <v>219878.44</v>
      </c>
    </row>
    <row r="10" spans="1:11" x14ac:dyDescent="0.6">
      <c r="A10">
        <v>0.5</v>
      </c>
      <c r="B10" s="49">
        <v>219755.89</v>
      </c>
      <c r="K10">
        <f>INDEX(OutputValues,6,$J$4)</f>
        <v>219755.89</v>
      </c>
    </row>
    <row r="11" spans="1:11" x14ac:dyDescent="0.6">
      <c r="A11">
        <v>0.60000002384185791</v>
      </c>
      <c r="B11" s="49">
        <v>219633.34</v>
      </c>
      <c r="K11">
        <f>INDEX(OutputValues,7,$J$4)</f>
        <v>219633.34</v>
      </c>
    </row>
    <row r="12" spans="1:11" x14ac:dyDescent="0.6">
      <c r="A12">
        <v>0.69999998807907104</v>
      </c>
      <c r="B12" s="49">
        <v>219510.79</v>
      </c>
      <c r="K12">
        <f>INDEX(OutputValues,8,$J$4)</f>
        <v>219510.79</v>
      </c>
    </row>
    <row r="13" spans="1:11" x14ac:dyDescent="0.6">
      <c r="A13">
        <v>0.80000001192092896</v>
      </c>
      <c r="B13" s="49">
        <v>219388.23</v>
      </c>
      <c r="K13">
        <f>INDEX(OutputValues,9,$J$4)</f>
        <v>219388.23</v>
      </c>
    </row>
    <row r="14" spans="1:11" x14ac:dyDescent="0.6">
      <c r="A14">
        <v>0.90000003576278687</v>
      </c>
      <c r="B14" s="49">
        <v>219265.68</v>
      </c>
      <c r="K14">
        <f>INDEX(OutputValues,10,$J$4)</f>
        <v>219265.68</v>
      </c>
    </row>
    <row r="15" spans="1:11" x14ac:dyDescent="0.6">
      <c r="A15">
        <v>1</v>
      </c>
      <c r="B15" s="49">
        <v>219143.13</v>
      </c>
      <c r="K15">
        <f>INDEX(OutputValues,11,$J$4)</f>
        <v>219143.13</v>
      </c>
    </row>
    <row r="16" spans="1:11" x14ac:dyDescent="0.6">
      <c r="A16">
        <v>1.1000000238418579</v>
      </c>
      <c r="B16" s="49">
        <v>219020.58</v>
      </c>
      <c r="K16">
        <f>INDEX(OutputValues,12,$J$4)</f>
        <v>219020.58</v>
      </c>
    </row>
    <row r="17" spans="1:11" x14ac:dyDescent="0.6">
      <c r="A17">
        <v>1.2000000476837158</v>
      </c>
      <c r="B17" s="49">
        <v>218898.02</v>
      </c>
      <c r="K17">
        <f>INDEX(OutputValues,13,$J$4)</f>
        <v>218898.02</v>
      </c>
    </row>
    <row r="18" spans="1:11" x14ac:dyDescent="0.6">
      <c r="A18">
        <v>1.3000000715255737</v>
      </c>
      <c r="B18" s="49">
        <v>218775.47</v>
      </c>
      <c r="K18">
        <f>INDEX(OutputValues,14,$J$4)</f>
        <v>218775.47</v>
      </c>
    </row>
    <row r="19" spans="1:11" x14ac:dyDescent="0.6">
      <c r="A19">
        <v>1.3999999761581421</v>
      </c>
      <c r="B19" s="49">
        <v>218652.92</v>
      </c>
      <c r="K19">
        <f>INDEX(OutputValues,15,$J$4)</f>
        <v>218652.92</v>
      </c>
    </row>
    <row r="20" spans="1:11" x14ac:dyDescent="0.6">
      <c r="A20">
        <v>1.5</v>
      </c>
      <c r="B20" s="49">
        <v>218530.37</v>
      </c>
      <c r="K20">
        <f>INDEX(OutputValues,16,$J$4)</f>
        <v>218530.37</v>
      </c>
    </row>
    <row r="21" spans="1:11" x14ac:dyDescent="0.6">
      <c r="A21">
        <v>1.6000000238418579</v>
      </c>
      <c r="B21" s="49">
        <v>218407.81</v>
      </c>
      <c r="K21">
        <f>INDEX(OutputValues,17,$J$4)</f>
        <v>218407.81</v>
      </c>
    </row>
    <row r="22" spans="1:11" x14ac:dyDescent="0.6">
      <c r="A22">
        <v>1.7000000476837158</v>
      </c>
      <c r="B22" s="49">
        <v>218285.26</v>
      </c>
      <c r="K22">
        <f>INDEX(OutputValues,18,$J$4)</f>
        <v>218285.26</v>
      </c>
    </row>
    <row r="23" spans="1:11" x14ac:dyDescent="0.6">
      <c r="A23">
        <v>1.8000000715255737</v>
      </c>
      <c r="B23" s="49">
        <v>218162.71</v>
      </c>
      <c r="K23">
        <f>INDEX(OutputValues,19,$J$4)</f>
        <v>218162.71</v>
      </c>
    </row>
    <row r="24" spans="1:11" x14ac:dyDescent="0.6">
      <c r="A24">
        <v>1.8999999761581421</v>
      </c>
      <c r="B24" s="49">
        <v>218040.16</v>
      </c>
      <c r="K24">
        <f>INDEX(OutputValues,20,$J$4)</f>
        <v>218040.16</v>
      </c>
    </row>
    <row r="25" spans="1:11" x14ac:dyDescent="0.6">
      <c r="A25">
        <v>2</v>
      </c>
      <c r="B25" s="49">
        <v>217917.6</v>
      </c>
      <c r="K25">
        <f>INDEX(OutputValues,21,$J$4)</f>
        <v>217917.6</v>
      </c>
    </row>
    <row r="26" spans="1:11" x14ac:dyDescent="0.6">
      <c r="A26">
        <v>2.1000001430511475</v>
      </c>
      <c r="B26" s="49">
        <v>217795.05</v>
      </c>
      <c r="K26">
        <f>INDEX(OutputValues,22,$J$4)</f>
        <v>217795.05</v>
      </c>
    </row>
    <row r="27" spans="1:11" x14ac:dyDescent="0.6">
      <c r="A27">
        <v>2.2000000476837158</v>
      </c>
      <c r="B27" s="49">
        <v>217672.5</v>
      </c>
      <c r="K27">
        <f>INDEX(OutputValues,23,$J$4)</f>
        <v>217672.5</v>
      </c>
    </row>
    <row r="28" spans="1:11" x14ac:dyDescent="0.6">
      <c r="A28">
        <v>2.2999999523162842</v>
      </c>
      <c r="B28" s="49">
        <v>217549.95</v>
      </c>
      <c r="K28">
        <f>INDEX(OutputValues,24,$J$4)</f>
        <v>217549.95</v>
      </c>
    </row>
    <row r="29" spans="1:11" x14ac:dyDescent="0.6">
      <c r="A29">
        <v>2.4000000953674316</v>
      </c>
      <c r="B29" s="49">
        <v>217427.39</v>
      </c>
      <c r="K29">
        <f>INDEX(OutputValues,25,$J$4)</f>
        <v>217427.39</v>
      </c>
    </row>
    <row r="30" spans="1:11" x14ac:dyDescent="0.6">
      <c r="A30">
        <v>2.5</v>
      </c>
      <c r="B30" s="49">
        <v>217304.84</v>
      </c>
      <c r="K30">
        <f>INDEX(OutputValues,26,$J$4)</f>
        <v>217304.84</v>
      </c>
    </row>
    <row r="31" spans="1:11" x14ac:dyDescent="0.6">
      <c r="A31">
        <v>2.6000001430511475</v>
      </c>
      <c r="B31" s="49">
        <v>217182.29</v>
      </c>
      <c r="K31">
        <f>INDEX(OutputValues,27,$J$4)</f>
        <v>217182.29</v>
      </c>
    </row>
    <row r="32" spans="1:11" x14ac:dyDescent="0.6">
      <c r="A32">
        <v>2.7000000476837158</v>
      </c>
      <c r="B32" s="49">
        <v>217059.74</v>
      </c>
      <c r="K32">
        <f>INDEX(OutputValues,28,$J$4)</f>
        <v>217059.74</v>
      </c>
    </row>
    <row r="33" spans="1:11" x14ac:dyDescent="0.6">
      <c r="A33">
        <v>2.7999999523162842</v>
      </c>
      <c r="B33" s="49">
        <v>216937.18</v>
      </c>
      <c r="K33">
        <f>INDEX(OutputValues,29,$J$4)</f>
        <v>216937.18</v>
      </c>
    </row>
    <row r="34" spans="1:11" x14ac:dyDescent="0.6">
      <c r="A34">
        <v>2.9000000953674316</v>
      </c>
      <c r="B34" s="49">
        <v>216814.63</v>
      </c>
      <c r="K34">
        <f>INDEX(OutputValues,30,$J$4)</f>
        <v>216814.63</v>
      </c>
    </row>
    <row r="35" spans="1:11" x14ac:dyDescent="0.6">
      <c r="A35">
        <v>3</v>
      </c>
      <c r="B35" s="49">
        <v>216692.08</v>
      </c>
      <c r="K35">
        <f>INDEX(OutputValues,31,$J$4)</f>
        <v>216692.08</v>
      </c>
    </row>
    <row r="36" spans="1:11" x14ac:dyDescent="0.6">
      <c r="A36">
        <v>3.1000001430511475</v>
      </c>
      <c r="B36" s="49">
        <v>216569.53</v>
      </c>
      <c r="K36">
        <f>INDEX(OutputValues,32,$J$4)</f>
        <v>216569.53</v>
      </c>
    </row>
    <row r="37" spans="1:11" x14ac:dyDescent="0.6">
      <c r="A37">
        <v>3.2000000476837158</v>
      </c>
      <c r="B37" s="49">
        <v>216446.97</v>
      </c>
      <c r="K37">
        <f>INDEX(OutputValues,33,$J$4)</f>
        <v>216446.97</v>
      </c>
    </row>
    <row r="38" spans="1:11" x14ac:dyDescent="0.6">
      <c r="A38">
        <v>3.2999999523162842</v>
      </c>
      <c r="B38" s="49">
        <v>216324.42</v>
      </c>
      <c r="K38">
        <f>INDEX(OutputValues,34,$J$4)</f>
        <v>216324.42</v>
      </c>
    </row>
    <row r="39" spans="1:11" x14ac:dyDescent="0.6">
      <c r="A39">
        <v>3.4000000953674316</v>
      </c>
      <c r="B39" s="49">
        <v>216201.87</v>
      </c>
      <c r="K39">
        <f>INDEX(OutputValues,35,$J$4)</f>
        <v>216201.87</v>
      </c>
    </row>
    <row r="40" spans="1:11" x14ac:dyDescent="0.6">
      <c r="A40">
        <v>3.5</v>
      </c>
      <c r="B40" s="49">
        <v>216079.32</v>
      </c>
      <c r="K40">
        <f>INDEX(OutputValues,36,$J$4)</f>
        <v>216079.32</v>
      </c>
    </row>
    <row r="41" spans="1:11" x14ac:dyDescent="0.6">
      <c r="A41">
        <v>3.6000001430511475</v>
      </c>
      <c r="B41" s="49">
        <v>215956.77</v>
      </c>
      <c r="K41">
        <f>INDEX(OutputValues,37,$J$4)</f>
        <v>215956.77</v>
      </c>
    </row>
    <row r="42" spans="1:11" x14ac:dyDescent="0.6">
      <c r="A42">
        <v>3.7000000476837158</v>
      </c>
      <c r="B42" s="49">
        <v>215834.21</v>
      </c>
      <c r="K42">
        <f>INDEX(OutputValues,38,$J$4)</f>
        <v>215834.21</v>
      </c>
    </row>
    <row r="43" spans="1:11" x14ac:dyDescent="0.6">
      <c r="A43">
        <v>3.7999999523162842</v>
      </c>
      <c r="B43" s="49">
        <v>215711.66</v>
      </c>
      <c r="K43">
        <f>INDEX(OutputValues,39,$J$4)</f>
        <v>215711.66</v>
      </c>
    </row>
    <row r="44" spans="1:11" x14ac:dyDescent="0.6">
      <c r="A44">
        <v>3.9000000953674316</v>
      </c>
      <c r="B44" s="49">
        <v>215589.11</v>
      </c>
      <c r="K44">
        <f>INDEX(OutputValues,40,$J$4)</f>
        <v>215589.11</v>
      </c>
    </row>
    <row r="45" spans="1:11" x14ac:dyDescent="0.6">
      <c r="A45">
        <v>4</v>
      </c>
      <c r="B45" s="49">
        <v>215466.56</v>
      </c>
      <c r="K45">
        <f>INDEX(OutputValues,41,$J$4)</f>
        <v>215466.56</v>
      </c>
    </row>
    <row r="46" spans="1:11" x14ac:dyDescent="0.6">
      <c r="A46">
        <v>4.0999999046325684</v>
      </c>
      <c r="B46" s="49">
        <v>215344</v>
      </c>
      <c r="K46">
        <f>INDEX(OutputValues,42,$J$4)</f>
        <v>215344</v>
      </c>
    </row>
    <row r="47" spans="1:11" x14ac:dyDescent="0.6">
      <c r="A47">
        <v>4.2000002861022949</v>
      </c>
      <c r="B47" s="49">
        <v>215221.45</v>
      </c>
      <c r="K47">
        <f>INDEX(OutputValues,43,$J$4)</f>
        <v>215221.45</v>
      </c>
    </row>
    <row r="48" spans="1:11" x14ac:dyDescent="0.6">
      <c r="A48">
        <v>4.3000001907348633</v>
      </c>
      <c r="B48" s="49">
        <v>215098.9</v>
      </c>
      <c r="K48">
        <f>INDEX(OutputValues,44,$J$4)</f>
        <v>215098.9</v>
      </c>
    </row>
    <row r="49" spans="1:11" x14ac:dyDescent="0.6">
      <c r="A49">
        <v>4.4000000953674316</v>
      </c>
      <c r="B49" s="49">
        <v>214976.35</v>
      </c>
      <c r="K49">
        <f>INDEX(OutputValues,45,$J$4)</f>
        <v>214976.35</v>
      </c>
    </row>
    <row r="50" spans="1:11" x14ac:dyDescent="0.6">
      <c r="A50">
        <v>4.5</v>
      </c>
      <c r="B50" s="49">
        <v>214853.79</v>
      </c>
      <c r="K50">
        <f>INDEX(OutputValues,46,$J$4)</f>
        <v>214853.79</v>
      </c>
    </row>
    <row r="51" spans="1:11" x14ac:dyDescent="0.6">
      <c r="A51">
        <v>4.5999999046325684</v>
      </c>
      <c r="B51" s="49">
        <v>214731.24</v>
      </c>
      <c r="K51">
        <f>INDEX(OutputValues,47,$J$4)</f>
        <v>214731.24</v>
      </c>
    </row>
    <row r="52" spans="1:11" x14ac:dyDescent="0.6">
      <c r="A52">
        <v>4.7000002861022949</v>
      </c>
      <c r="B52" s="49">
        <v>214608.69</v>
      </c>
      <c r="K52">
        <f>INDEX(OutputValues,48,$J$4)</f>
        <v>214608.69</v>
      </c>
    </row>
    <row r="53" spans="1:11" x14ac:dyDescent="0.6">
      <c r="A53">
        <v>4.8000001907348633</v>
      </c>
      <c r="B53" s="49">
        <v>214486.14</v>
      </c>
      <c r="K53">
        <f>INDEX(OutputValues,49,$J$4)</f>
        <v>214486.14</v>
      </c>
    </row>
    <row r="54" spans="1:11" x14ac:dyDescent="0.6">
      <c r="A54">
        <v>4.9000000953674316</v>
      </c>
      <c r="B54" s="49">
        <v>214363.58</v>
      </c>
      <c r="K54">
        <f>INDEX(OutputValues,50,$J$4)</f>
        <v>214363.58</v>
      </c>
    </row>
    <row r="55" spans="1:11" x14ac:dyDescent="0.6">
      <c r="A55">
        <v>5</v>
      </c>
      <c r="B55" s="49">
        <v>214241.03</v>
      </c>
      <c r="K55">
        <f>INDEX(OutputValues,51,$J$4)</f>
        <v>214241.03</v>
      </c>
    </row>
    <row r="56" spans="1:11" x14ac:dyDescent="0.6">
      <c r="A56">
        <v>5.0999999046325684</v>
      </c>
      <c r="B56" s="49">
        <v>214118.48</v>
      </c>
      <c r="K56">
        <f>INDEX(OutputValues,52,$J$4)</f>
        <v>214118.48</v>
      </c>
    </row>
    <row r="57" spans="1:11" x14ac:dyDescent="0.6">
      <c r="A57">
        <v>5.2000002861022949</v>
      </c>
      <c r="B57" s="49">
        <v>213995.93</v>
      </c>
      <c r="K57">
        <f>INDEX(OutputValues,53,$J$4)</f>
        <v>213995.93</v>
      </c>
    </row>
    <row r="58" spans="1:11" x14ac:dyDescent="0.6">
      <c r="A58">
        <v>5.3000001907348633</v>
      </c>
      <c r="B58" s="49">
        <v>213873.37</v>
      </c>
      <c r="K58">
        <f>INDEX(OutputValues,54,$J$4)</f>
        <v>213873.37</v>
      </c>
    </row>
    <row r="59" spans="1:11" x14ac:dyDescent="0.6">
      <c r="A59">
        <v>5.4000000953674316</v>
      </c>
      <c r="B59" s="49">
        <v>213750.82</v>
      </c>
      <c r="K59">
        <f>INDEX(OutputValues,55,$J$4)</f>
        <v>213750.82</v>
      </c>
    </row>
    <row r="60" spans="1:11" x14ac:dyDescent="0.6">
      <c r="A60">
        <v>5.5</v>
      </c>
      <c r="B60" s="49">
        <v>213628.27</v>
      </c>
      <c r="K60">
        <f>INDEX(OutputValues,56,$J$4)</f>
        <v>213628.27</v>
      </c>
    </row>
    <row r="61" spans="1:11" x14ac:dyDescent="0.6">
      <c r="A61">
        <v>5.5999999046325684</v>
      </c>
      <c r="B61" s="49">
        <v>213505.72</v>
      </c>
      <c r="K61">
        <f>INDEX(OutputValues,57,$J$4)</f>
        <v>213505.72</v>
      </c>
    </row>
    <row r="62" spans="1:11" x14ac:dyDescent="0.6">
      <c r="A62">
        <v>5.7000002861022949</v>
      </c>
      <c r="B62" s="49">
        <v>213383.16</v>
      </c>
      <c r="K62">
        <f>INDEX(OutputValues,58,$J$4)</f>
        <v>213383.16</v>
      </c>
    </row>
    <row r="63" spans="1:11" x14ac:dyDescent="0.6">
      <c r="A63">
        <v>5.8000001907348633</v>
      </c>
      <c r="B63" s="49">
        <v>213260.61</v>
      </c>
      <c r="K63">
        <f>INDEX(OutputValues,59,$J$4)</f>
        <v>213260.61</v>
      </c>
    </row>
    <row r="64" spans="1:11" x14ac:dyDescent="0.6">
      <c r="A64">
        <v>5.9000000953674316</v>
      </c>
      <c r="B64" s="49">
        <v>213138.06</v>
      </c>
      <c r="K64">
        <f>INDEX(OutputValues,60,$J$4)</f>
        <v>213138.06</v>
      </c>
    </row>
    <row r="65" spans="1:11" x14ac:dyDescent="0.6">
      <c r="A65">
        <v>6</v>
      </c>
      <c r="B65" s="49">
        <v>213015.51</v>
      </c>
      <c r="K65">
        <f>INDEX(OutputValues,61,$J$4)</f>
        <v>213015.51</v>
      </c>
    </row>
    <row r="66" spans="1:11" x14ac:dyDescent="0.6">
      <c r="A66">
        <v>6.0999999046325684</v>
      </c>
      <c r="B66" s="49">
        <v>212892.95</v>
      </c>
      <c r="K66">
        <f>INDEX(OutputValues,62,$J$4)</f>
        <v>212892.95</v>
      </c>
    </row>
    <row r="67" spans="1:11" x14ac:dyDescent="0.6">
      <c r="A67">
        <v>6.2000002861022949</v>
      </c>
      <c r="B67" s="49">
        <v>212770.4</v>
      </c>
      <c r="K67">
        <f>INDEX(OutputValues,63,$J$4)</f>
        <v>212770.4</v>
      </c>
    </row>
    <row r="68" spans="1:11" x14ac:dyDescent="0.6">
      <c r="A68">
        <v>6.3000001907348633</v>
      </c>
      <c r="B68" s="49">
        <v>212647.85</v>
      </c>
      <c r="K68">
        <f>INDEX(OutputValues,64,$J$4)</f>
        <v>212647.85</v>
      </c>
    </row>
    <row r="69" spans="1:11" x14ac:dyDescent="0.6">
      <c r="A69">
        <v>6.4000000953674316</v>
      </c>
      <c r="B69" s="49">
        <v>212525.3</v>
      </c>
      <c r="K69">
        <f>INDEX(OutputValues,65,$J$4)</f>
        <v>212525.3</v>
      </c>
    </row>
    <row r="70" spans="1:11" x14ac:dyDescent="0.6">
      <c r="A70">
        <v>6.5</v>
      </c>
      <c r="B70" s="49">
        <v>212402.74</v>
      </c>
      <c r="K70">
        <f>INDEX(OutputValues,66,$J$4)</f>
        <v>212402.74</v>
      </c>
    </row>
    <row r="71" spans="1:11" x14ac:dyDescent="0.6">
      <c r="A71">
        <v>6.5999999046325684</v>
      </c>
      <c r="B71" s="49">
        <v>212280.19</v>
      </c>
      <c r="K71">
        <f>INDEX(OutputValues,67,$J$4)</f>
        <v>212280.19</v>
      </c>
    </row>
    <row r="72" spans="1:11" x14ac:dyDescent="0.6">
      <c r="A72">
        <v>6.7000002861022949</v>
      </c>
      <c r="B72" s="49">
        <v>212157.64</v>
      </c>
      <c r="K72">
        <f>INDEX(OutputValues,68,$J$4)</f>
        <v>212157.64</v>
      </c>
    </row>
    <row r="73" spans="1:11" x14ac:dyDescent="0.6">
      <c r="A73">
        <v>6.8000001907348633</v>
      </c>
      <c r="B73" s="49">
        <v>212035.09</v>
      </c>
      <c r="K73">
        <f>INDEX(OutputValues,69,$J$4)</f>
        <v>212035.09</v>
      </c>
    </row>
    <row r="74" spans="1:11" x14ac:dyDescent="0.6">
      <c r="A74">
        <v>6.9000000953674316</v>
      </c>
      <c r="B74" s="49">
        <v>211912.53</v>
      </c>
      <c r="K74">
        <f>INDEX(OutputValues,70,$J$4)</f>
        <v>211912.53</v>
      </c>
    </row>
    <row r="75" spans="1:11" x14ac:dyDescent="0.6">
      <c r="A75">
        <v>7</v>
      </c>
      <c r="B75" s="49">
        <v>211789.98</v>
      </c>
      <c r="K75">
        <f>INDEX(OutputValues,71,$J$4)</f>
        <v>211789.98</v>
      </c>
    </row>
    <row r="76" spans="1:11" x14ac:dyDescent="0.6">
      <c r="A76">
        <v>7.0999999046325684</v>
      </c>
      <c r="B76" s="49">
        <v>211667.43</v>
      </c>
      <c r="K76">
        <f>INDEX(OutputValues,72,$J$4)</f>
        <v>211667.43</v>
      </c>
    </row>
    <row r="77" spans="1:11" x14ac:dyDescent="0.6">
      <c r="A77">
        <v>7.2000002861022949</v>
      </c>
      <c r="B77" s="49">
        <v>211544.88</v>
      </c>
      <c r="K77">
        <f>INDEX(OutputValues,73,$J$4)</f>
        <v>211544.88</v>
      </c>
    </row>
    <row r="78" spans="1:11" x14ac:dyDescent="0.6">
      <c r="A78">
        <v>7.3000001907348633</v>
      </c>
      <c r="B78" s="49">
        <v>211422.32</v>
      </c>
      <c r="K78">
        <f>INDEX(OutputValues,74,$J$4)</f>
        <v>211422.32</v>
      </c>
    </row>
    <row r="79" spans="1:11" x14ac:dyDescent="0.6">
      <c r="A79">
        <v>7.4000000953674316</v>
      </c>
      <c r="B79" s="49">
        <v>211299.77</v>
      </c>
      <c r="K79">
        <f>INDEX(OutputValues,75,$J$4)</f>
        <v>211299.77</v>
      </c>
    </row>
    <row r="80" spans="1:11" x14ac:dyDescent="0.6">
      <c r="A80">
        <v>7.5</v>
      </c>
      <c r="B80" s="49">
        <v>211177.22</v>
      </c>
      <c r="K80">
        <f>INDEX(OutputValues,76,$J$4)</f>
        <v>211177.22</v>
      </c>
    </row>
    <row r="81" spans="1:11" x14ac:dyDescent="0.6">
      <c r="A81">
        <v>7.5999999046325684</v>
      </c>
      <c r="B81" s="49">
        <v>211054.67</v>
      </c>
      <c r="K81">
        <f>INDEX(OutputValues,77,$J$4)</f>
        <v>211054.67</v>
      </c>
    </row>
    <row r="82" spans="1:11" x14ac:dyDescent="0.6">
      <c r="A82">
        <v>7.7000002861022949</v>
      </c>
      <c r="B82" s="49">
        <v>210932.12</v>
      </c>
      <c r="K82">
        <f>INDEX(OutputValues,78,$J$4)</f>
        <v>210932.12</v>
      </c>
    </row>
    <row r="83" spans="1:11" x14ac:dyDescent="0.6">
      <c r="A83">
        <v>7.8000001907348633</v>
      </c>
      <c r="B83" s="49">
        <v>210809.56</v>
      </c>
      <c r="K83">
        <f>INDEX(OutputValues,79,$J$4)</f>
        <v>210809.56</v>
      </c>
    </row>
    <row r="84" spans="1:11" x14ac:dyDescent="0.6">
      <c r="A84">
        <v>7.9000000953674316</v>
      </c>
      <c r="B84" s="49">
        <v>210687.01</v>
      </c>
      <c r="K84">
        <f>INDEX(OutputValues,80,$J$4)</f>
        <v>210687.01</v>
      </c>
    </row>
    <row r="85" spans="1:11" x14ac:dyDescent="0.6">
      <c r="A85">
        <v>8</v>
      </c>
      <c r="B85" s="49">
        <v>210564.46</v>
      </c>
      <c r="K85">
        <f>INDEX(OutputValues,81,$J$4)</f>
        <v>210564.46</v>
      </c>
    </row>
    <row r="86" spans="1:11" x14ac:dyDescent="0.6">
      <c r="A86">
        <v>8.1000003814697266</v>
      </c>
      <c r="B86" s="49">
        <v>210441.91</v>
      </c>
      <c r="K86">
        <f>INDEX(OutputValues,82,$J$4)</f>
        <v>210441.91</v>
      </c>
    </row>
    <row r="87" spans="1:11" x14ac:dyDescent="0.6">
      <c r="A87">
        <v>8.1999998092651367</v>
      </c>
      <c r="B87" s="49">
        <v>210319.35</v>
      </c>
      <c r="K87">
        <f>INDEX(OutputValues,83,$J$4)</f>
        <v>210319.35</v>
      </c>
    </row>
    <row r="88" spans="1:11" x14ac:dyDescent="0.6">
      <c r="A88">
        <v>8.3000001907348633</v>
      </c>
      <c r="B88" s="49">
        <v>210196.8</v>
      </c>
      <c r="K88">
        <f>INDEX(OutputValues,84,$J$4)</f>
        <v>210196.8</v>
      </c>
    </row>
    <row r="89" spans="1:11" x14ac:dyDescent="0.6">
      <c r="A89">
        <v>8.4000005722045898</v>
      </c>
      <c r="B89" s="49">
        <v>210074.25</v>
      </c>
      <c r="K89">
        <f>INDEX(OutputValues,85,$J$4)</f>
        <v>210074.25</v>
      </c>
    </row>
    <row r="90" spans="1:11" x14ac:dyDescent="0.6">
      <c r="A90">
        <v>8.5</v>
      </c>
      <c r="B90" s="49">
        <v>209951.7</v>
      </c>
      <c r="K90">
        <f>INDEX(OutputValues,86,$J$4)</f>
        <v>209951.7</v>
      </c>
    </row>
    <row r="91" spans="1:11" x14ac:dyDescent="0.6">
      <c r="A91">
        <v>8.6000003814697266</v>
      </c>
      <c r="B91" s="49">
        <v>209829.14</v>
      </c>
      <c r="K91">
        <f>INDEX(OutputValues,87,$J$4)</f>
        <v>209829.14</v>
      </c>
    </row>
    <row r="92" spans="1:11" x14ac:dyDescent="0.6">
      <c r="A92">
        <v>8.6999998092651367</v>
      </c>
      <c r="B92" s="49">
        <v>209706.59</v>
      </c>
      <c r="K92">
        <f>INDEX(OutputValues,88,$J$4)</f>
        <v>209706.59</v>
      </c>
    </row>
    <row r="93" spans="1:11" x14ac:dyDescent="0.6">
      <c r="A93">
        <v>8.8000001907348633</v>
      </c>
      <c r="B93" s="49">
        <v>209584.04</v>
      </c>
      <c r="K93">
        <f>INDEX(OutputValues,89,$J$4)</f>
        <v>209584.04</v>
      </c>
    </row>
    <row r="94" spans="1:11" x14ac:dyDescent="0.6">
      <c r="A94">
        <v>8.9000005722045898</v>
      </c>
      <c r="B94" s="49">
        <v>209461.49</v>
      </c>
      <c r="K94">
        <f>INDEX(OutputValues,90,$J$4)</f>
        <v>209461.49</v>
      </c>
    </row>
    <row r="95" spans="1:11" x14ac:dyDescent="0.6">
      <c r="A95">
        <v>9</v>
      </c>
      <c r="B95" s="49">
        <v>209338.93</v>
      </c>
      <c r="K95">
        <f>INDEX(OutputValues,91,$J$4)</f>
        <v>209338.93</v>
      </c>
    </row>
    <row r="96" spans="1:11" x14ac:dyDescent="0.6">
      <c r="A96">
        <v>9.1000003814697266</v>
      </c>
      <c r="B96" s="49">
        <v>209216.38</v>
      </c>
      <c r="K96">
        <f>INDEX(OutputValues,92,$J$4)</f>
        <v>209216.38</v>
      </c>
    </row>
    <row r="97" spans="1:11" x14ac:dyDescent="0.6">
      <c r="A97">
        <v>9.1999998092651367</v>
      </c>
      <c r="B97" s="49">
        <v>209093.83</v>
      </c>
      <c r="K97">
        <f>INDEX(OutputValues,93,$J$4)</f>
        <v>209093.83</v>
      </c>
    </row>
    <row r="98" spans="1:11" x14ac:dyDescent="0.6">
      <c r="A98">
        <v>9.3000001907348633</v>
      </c>
      <c r="B98" s="49">
        <v>208971.28</v>
      </c>
      <c r="K98">
        <f>INDEX(OutputValues,94,$J$4)</f>
        <v>208971.28</v>
      </c>
    </row>
    <row r="99" spans="1:11" x14ac:dyDescent="0.6">
      <c r="A99">
        <v>9.4000005722045898</v>
      </c>
      <c r="B99" s="49">
        <v>208848.72</v>
      </c>
      <c r="K99">
        <f>INDEX(OutputValues,95,$J$4)</f>
        <v>208848.72</v>
      </c>
    </row>
    <row r="100" spans="1:11" x14ac:dyDescent="0.6">
      <c r="A100">
        <v>9.5</v>
      </c>
      <c r="B100" s="49">
        <v>208726.17</v>
      </c>
      <c r="K100">
        <f>INDEX(OutputValues,96,$J$4)</f>
        <v>208726.17</v>
      </c>
    </row>
    <row r="101" spans="1:11" x14ac:dyDescent="0.6">
      <c r="A101">
        <v>9.6000003814697266</v>
      </c>
      <c r="B101" s="49">
        <v>208603.62</v>
      </c>
      <c r="K101">
        <f>INDEX(OutputValues,97,$J$4)</f>
        <v>208603.62</v>
      </c>
    </row>
    <row r="102" spans="1:11" x14ac:dyDescent="0.6">
      <c r="A102">
        <v>9.6999998092651367</v>
      </c>
      <c r="B102" s="49">
        <v>208481.07</v>
      </c>
      <c r="K102">
        <f>INDEX(OutputValues,98,$J$4)</f>
        <v>208481.07</v>
      </c>
    </row>
    <row r="103" spans="1:11" x14ac:dyDescent="0.6">
      <c r="A103">
        <v>9.8000001907348633</v>
      </c>
      <c r="B103" s="49">
        <v>208358.51</v>
      </c>
      <c r="K103">
        <f>INDEX(OutputValues,99,$J$4)</f>
        <v>208358.51</v>
      </c>
    </row>
    <row r="104" spans="1:11" x14ac:dyDescent="0.6">
      <c r="A104">
        <v>9.9000005722045898</v>
      </c>
      <c r="B104" s="49">
        <v>208235.96</v>
      </c>
      <c r="K104">
        <f>INDEX(OutputValues,100,$J$4)</f>
        <v>208235.96</v>
      </c>
    </row>
    <row r="105" spans="1:11" x14ac:dyDescent="0.6">
      <c r="A105">
        <v>10</v>
      </c>
      <c r="B105" s="49">
        <v>208113.41</v>
      </c>
      <c r="K105">
        <f>INDEX(OutputValues,101,$J$4)</f>
        <v>208113.41</v>
      </c>
    </row>
    <row r="106" spans="1:11" x14ac:dyDescent="0.6">
      <c r="A106">
        <v>10.100000381469727</v>
      </c>
      <c r="B106" s="49">
        <v>207990.86</v>
      </c>
      <c r="K106">
        <f>INDEX(OutputValues,102,$J$4)</f>
        <v>207990.86</v>
      </c>
    </row>
    <row r="107" spans="1:11" x14ac:dyDescent="0.6">
      <c r="A107">
        <v>10.199999809265137</v>
      </c>
      <c r="B107" s="49">
        <v>207868.3</v>
      </c>
      <c r="K107">
        <f>INDEX(OutputValues,103,$J$4)</f>
        <v>207868.3</v>
      </c>
    </row>
    <row r="108" spans="1:11" x14ac:dyDescent="0.6">
      <c r="A108">
        <v>10.300000190734863</v>
      </c>
      <c r="B108" s="49">
        <v>207745.75</v>
      </c>
      <c r="K108">
        <f>INDEX(OutputValues,104,$J$4)</f>
        <v>207745.75</v>
      </c>
    </row>
    <row r="109" spans="1:11" x14ac:dyDescent="0.6">
      <c r="A109">
        <v>10.40000057220459</v>
      </c>
      <c r="B109" s="49">
        <v>207623.2</v>
      </c>
      <c r="K109">
        <f>INDEX(OutputValues,105,$J$4)</f>
        <v>207623.2</v>
      </c>
    </row>
    <row r="110" spans="1:11" x14ac:dyDescent="0.6">
      <c r="A110">
        <v>10.5</v>
      </c>
      <c r="B110" s="49">
        <v>207500.65</v>
      </c>
      <c r="K110">
        <f>INDEX(OutputValues,106,$J$4)</f>
        <v>207500.65</v>
      </c>
    </row>
    <row r="111" spans="1:11" x14ac:dyDescent="0.6">
      <c r="A111">
        <v>10.600000381469727</v>
      </c>
      <c r="B111" s="49">
        <v>207378.09</v>
      </c>
      <c r="K111">
        <f>INDEX(OutputValues,107,$J$4)</f>
        <v>207378.09</v>
      </c>
    </row>
    <row r="112" spans="1:11" x14ac:dyDescent="0.6">
      <c r="A112">
        <v>10.699999809265137</v>
      </c>
      <c r="B112" s="49">
        <v>207255.54</v>
      </c>
      <c r="K112">
        <f>INDEX(OutputValues,108,$J$4)</f>
        <v>207255.54</v>
      </c>
    </row>
    <row r="113" spans="1:11" x14ac:dyDescent="0.6">
      <c r="A113">
        <v>10.800000190734863</v>
      </c>
      <c r="B113" s="49">
        <v>207132.99</v>
      </c>
      <c r="K113">
        <f>INDEX(OutputValues,109,$J$4)</f>
        <v>207132.99</v>
      </c>
    </row>
    <row r="114" spans="1:11" x14ac:dyDescent="0.6">
      <c r="A114">
        <v>10.90000057220459</v>
      </c>
      <c r="B114" s="49">
        <v>207010.44</v>
      </c>
      <c r="K114">
        <f>INDEX(OutputValues,110,$J$4)</f>
        <v>207010.44</v>
      </c>
    </row>
    <row r="115" spans="1:11" x14ac:dyDescent="0.6">
      <c r="A115">
        <v>11</v>
      </c>
      <c r="B115" s="49">
        <v>206887.88</v>
      </c>
      <c r="K115">
        <f>INDEX(OutputValues,111,$J$4)</f>
        <v>206887.88</v>
      </c>
    </row>
    <row r="116" spans="1:11" x14ac:dyDescent="0.6">
      <c r="A116">
        <v>11.100000381469727</v>
      </c>
      <c r="B116" s="49">
        <v>206765.33</v>
      </c>
      <c r="K116">
        <f>INDEX(OutputValues,112,$J$4)</f>
        <v>206765.33</v>
      </c>
    </row>
    <row r="117" spans="1:11" x14ac:dyDescent="0.6">
      <c r="A117">
        <v>11.199999809265137</v>
      </c>
      <c r="B117" s="49">
        <v>206642.78</v>
      </c>
      <c r="K117">
        <f>INDEX(OutputValues,113,$J$4)</f>
        <v>206642.78</v>
      </c>
    </row>
    <row r="118" spans="1:11" x14ac:dyDescent="0.6">
      <c r="A118">
        <v>11.300000190734863</v>
      </c>
      <c r="B118" s="49">
        <v>206520.23</v>
      </c>
      <c r="K118">
        <f>INDEX(OutputValues,114,$J$4)</f>
        <v>206520.23</v>
      </c>
    </row>
    <row r="119" spans="1:11" x14ac:dyDescent="0.6">
      <c r="A119">
        <v>11.40000057220459</v>
      </c>
      <c r="B119" s="49">
        <v>206397.67</v>
      </c>
      <c r="K119">
        <f>INDEX(OutputValues,115,$J$4)</f>
        <v>206397.67</v>
      </c>
    </row>
    <row r="120" spans="1:11" x14ac:dyDescent="0.6">
      <c r="A120">
        <v>11.5</v>
      </c>
      <c r="B120" s="49">
        <v>206275.12</v>
      </c>
      <c r="K120">
        <f>INDEX(OutputValues,116,$J$4)</f>
        <v>206275.12</v>
      </c>
    </row>
    <row r="121" spans="1:11" x14ac:dyDescent="0.6">
      <c r="A121">
        <v>11.600000381469727</v>
      </c>
      <c r="B121" s="49">
        <v>206152.57</v>
      </c>
      <c r="K121">
        <f>INDEX(OutputValues,117,$J$4)</f>
        <v>206152.57</v>
      </c>
    </row>
    <row r="122" spans="1:11" x14ac:dyDescent="0.6">
      <c r="A122">
        <v>11.699999809265137</v>
      </c>
      <c r="B122" s="49">
        <v>206030.02</v>
      </c>
      <c r="K122">
        <f>INDEX(OutputValues,118,$J$4)</f>
        <v>206030.02</v>
      </c>
    </row>
    <row r="123" spans="1:11" x14ac:dyDescent="0.6">
      <c r="A123">
        <v>11.800000190734863</v>
      </c>
      <c r="B123" s="49">
        <v>205907.47</v>
      </c>
      <c r="K123">
        <f>INDEX(OutputValues,119,$J$4)</f>
        <v>205907.47</v>
      </c>
    </row>
    <row r="124" spans="1:11" x14ac:dyDescent="0.6">
      <c r="A124">
        <v>11.90000057220459</v>
      </c>
      <c r="B124" s="49">
        <v>205784.91</v>
      </c>
      <c r="K124">
        <f>INDEX(OutputValues,120,$J$4)</f>
        <v>205784.91</v>
      </c>
    </row>
    <row r="125" spans="1:11" x14ac:dyDescent="0.6">
      <c r="A125">
        <v>12</v>
      </c>
      <c r="B125" s="49">
        <v>205662.36</v>
      </c>
      <c r="K125">
        <f>INDEX(OutputValues,121,$J$4)</f>
        <v>205662.36</v>
      </c>
    </row>
    <row r="126" spans="1:11" x14ac:dyDescent="0.6">
      <c r="A126">
        <v>12.100000381469727</v>
      </c>
      <c r="B126" s="49">
        <v>205539.81</v>
      </c>
      <c r="K126">
        <f>INDEX(OutputValues,122,$J$4)</f>
        <v>205539.81</v>
      </c>
    </row>
    <row r="127" spans="1:11" x14ac:dyDescent="0.6">
      <c r="A127">
        <v>12.199999809265137</v>
      </c>
      <c r="B127" s="49">
        <v>205417.26</v>
      </c>
      <c r="K127">
        <f>INDEX(OutputValues,123,$J$4)</f>
        <v>205417.26</v>
      </c>
    </row>
    <row r="128" spans="1:11" x14ac:dyDescent="0.6">
      <c r="A128">
        <v>12.300000190734863</v>
      </c>
      <c r="B128" s="49">
        <v>205294.7</v>
      </c>
      <c r="K128">
        <f>INDEX(OutputValues,124,$J$4)</f>
        <v>205294.7</v>
      </c>
    </row>
    <row r="129" spans="1:11" x14ac:dyDescent="0.6">
      <c r="A129">
        <v>12.40000057220459</v>
      </c>
      <c r="B129" s="49">
        <v>205172.15</v>
      </c>
      <c r="K129">
        <f>INDEX(OutputValues,125,$J$4)</f>
        <v>205172.15</v>
      </c>
    </row>
    <row r="130" spans="1:11" x14ac:dyDescent="0.6">
      <c r="A130">
        <v>12.5</v>
      </c>
      <c r="B130" s="49">
        <v>205049.60000000001</v>
      </c>
      <c r="K130">
        <f>INDEX(OutputValues,126,$J$4)</f>
        <v>205049.60000000001</v>
      </c>
    </row>
    <row r="131" spans="1:11" x14ac:dyDescent="0.6">
      <c r="A131">
        <v>12.600000381469727</v>
      </c>
      <c r="B131" s="49">
        <v>204927.05</v>
      </c>
      <c r="K131">
        <f>INDEX(OutputValues,127,$J$4)</f>
        <v>204927.05</v>
      </c>
    </row>
    <row r="132" spans="1:11" x14ac:dyDescent="0.6">
      <c r="A132">
        <v>12.699999809265137</v>
      </c>
      <c r="B132" s="49">
        <v>204804.49</v>
      </c>
      <c r="K132">
        <f>INDEX(OutputValues,128,$J$4)</f>
        <v>204804.49</v>
      </c>
    </row>
    <row r="133" spans="1:11" x14ac:dyDescent="0.6">
      <c r="A133">
        <v>12.800000190734863</v>
      </c>
      <c r="B133" s="49">
        <v>204681.94</v>
      </c>
      <c r="K133">
        <f>INDEX(OutputValues,129,$J$4)</f>
        <v>204681.94</v>
      </c>
    </row>
    <row r="134" spans="1:11" x14ac:dyDescent="0.6">
      <c r="A134">
        <v>12.90000057220459</v>
      </c>
      <c r="B134" s="49">
        <v>204559.39</v>
      </c>
      <c r="K134">
        <f>INDEX(OutputValues,130,$J$4)</f>
        <v>204559.39</v>
      </c>
    </row>
    <row r="135" spans="1:11" x14ac:dyDescent="0.6">
      <c r="A135">
        <v>13</v>
      </c>
      <c r="B135" s="49">
        <v>204436.84</v>
      </c>
      <c r="K135">
        <f>INDEX(OutputValues,131,$J$4)</f>
        <v>204436.84</v>
      </c>
    </row>
    <row r="136" spans="1:11" x14ac:dyDescent="0.6">
      <c r="A136">
        <v>13.100000381469727</v>
      </c>
      <c r="B136" s="49">
        <v>204314.28</v>
      </c>
      <c r="K136">
        <f>INDEX(OutputValues,132,$J$4)</f>
        <v>204314.28</v>
      </c>
    </row>
    <row r="137" spans="1:11" x14ac:dyDescent="0.6">
      <c r="A137">
        <v>13.199999809265137</v>
      </c>
      <c r="B137" s="49">
        <v>204191.73</v>
      </c>
      <c r="K137">
        <f>INDEX(OutputValues,133,$J$4)</f>
        <v>204191.73</v>
      </c>
    </row>
    <row r="138" spans="1:11" x14ac:dyDescent="0.6">
      <c r="A138">
        <v>13.300000190734863</v>
      </c>
      <c r="B138" s="49">
        <v>204069.18</v>
      </c>
      <c r="K138">
        <f>INDEX(OutputValues,134,$J$4)</f>
        <v>204069.18</v>
      </c>
    </row>
    <row r="139" spans="1:11" x14ac:dyDescent="0.6">
      <c r="A139">
        <v>13.40000057220459</v>
      </c>
      <c r="B139" s="49">
        <v>203946.63</v>
      </c>
      <c r="K139">
        <f>INDEX(OutputValues,135,$J$4)</f>
        <v>203946.63</v>
      </c>
    </row>
    <row r="140" spans="1:11" x14ac:dyDescent="0.6">
      <c r="A140">
        <v>13.5</v>
      </c>
      <c r="B140" s="49">
        <v>203824.07</v>
      </c>
      <c r="K140">
        <f>INDEX(OutputValues,136,$J$4)</f>
        <v>203824.07</v>
      </c>
    </row>
    <row r="141" spans="1:11" x14ac:dyDescent="0.6">
      <c r="A141">
        <v>13.600000381469727</v>
      </c>
      <c r="B141" s="49">
        <v>203701.52</v>
      </c>
      <c r="K141">
        <f>INDEX(OutputValues,137,$J$4)</f>
        <v>203701.52</v>
      </c>
    </row>
    <row r="142" spans="1:11" x14ac:dyDescent="0.6">
      <c r="A142">
        <v>13.699999809265137</v>
      </c>
      <c r="B142" s="49">
        <v>203578.97</v>
      </c>
      <c r="K142">
        <f>INDEX(OutputValues,138,$J$4)</f>
        <v>203578.97</v>
      </c>
    </row>
    <row r="143" spans="1:11" x14ac:dyDescent="0.6">
      <c r="A143">
        <v>13.800000190734863</v>
      </c>
      <c r="B143" s="49">
        <v>203456.42</v>
      </c>
      <c r="K143">
        <f>INDEX(OutputValues,139,$J$4)</f>
        <v>203456.42</v>
      </c>
    </row>
    <row r="144" spans="1:11" x14ac:dyDescent="0.6">
      <c r="A144">
        <v>13.90000057220459</v>
      </c>
      <c r="B144" s="49">
        <v>203333.86</v>
      </c>
      <c r="K144">
        <f>INDEX(OutputValues,140,$J$4)</f>
        <v>203333.86</v>
      </c>
    </row>
    <row r="145" spans="1:11" x14ac:dyDescent="0.6">
      <c r="A145">
        <v>14</v>
      </c>
      <c r="B145" s="49">
        <v>203211.31</v>
      </c>
      <c r="K145">
        <f>INDEX(OutputValues,141,$J$4)</f>
        <v>203211.31</v>
      </c>
    </row>
    <row r="146" spans="1:11" x14ac:dyDescent="0.6">
      <c r="A146">
        <v>14.100000381469727</v>
      </c>
      <c r="B146" s="49">
        <v>203088.76</v>
      </c>
      <c r="K146">
        <f>INDEX(OutputValues,142,$J$4)</f>
        <v>203088.76</v>
      </c>
    </row>
    <row r="147" spans="1:11" x14ac:dyDescent="0.6">
      <c r="A147">
        <v>14.199999809265137</v>
      </c>
      <c r="B147" s="49">
        <v>202966.21</v>
      </c>
      <c r="K147">
        <f>INDEX(OutputValues,143,$J$4)</f>
        <v>202966.21</v>
      </c>
    </row>
    <row r="148" spans="1:11" x14ac:dyDescent="0.6">
      <c r="A148">
        <v>14.300000190734863</v>
      </c>
      <c r="B148" s="49">
        <v>202843.65</v>
      </c>
      <c r="K148">
        <f>INDEX(OutputValues,144,$J$4)</f>
        <v>202843.65</v>
      </c>
    </row>
    <row r="149" spans="1:11" x14ac:dyDescent="0.6">
      <c r="A149">
        <v>14.40000057220459</v>
      </c>
      <c r="B149" s="49">
        <v>202721.1</v>
      </c>
      <c r="K149">
        <f>INDEX(OutputValues,145,$J$4)</f>
        <v>202721.1</v>
      </c>
    </row>
    <row r="150" spans="1:11" x14ac:dyDescent="0.6">
      <c r="A150">
        <v>14.5</v>
      </c>
      <c r="B150" s="49">
        <v>202598.55</v>
      </c>
      <c r="K150">
        <f>INDEX(OutputValues,146,$J$4)</f>
        <v>202598.55</v>
      </c>
    </row>
    <row r="151" spans="1:11" x14ac:dyDescent="0.6">
      <c r="A151">
        <v>14.600000381469727</v>
      </c>
      <c r="B151" s="49">
        <v>202476</v>
      </c>
      <c r="K151">
        <f>INDEX(OutputValues,147,$J$4)</f>
        <v>202476</v>
      </c>
    </row>
    <row r="152" spans="1:11" x14ac:dyDescent="0.6">
      <c r="A152">
        <v>14.699999809265137</v>
      </c>
      <c r="B152" s="49">
        <v>202353.45</v>
      </c>
      <c r="K152">
        <f>INDEX(OutputValues,148,$J$4)</f>
        <v>202353.45</v>
      </c>
    </row>
    <row r="153" spans="1:11" x14ac:dyDescent="0.6">
      <c r="A153">
        <v>14.800000190734863</v>
      </c>
      <c r="B153" s="49">
        <v>202230.89</v>
      </c>
      <c r="K153">
        <f>INDEX(OutputValues,149,$J$4)</f>
        <v>202230.89</v>
      </c>
    </row>
    <row r="154" spans="1:11" x14ac:dyDescent="0.6">
      <c r="A154">
        <v>14.90000057220459</v>
      </c>
      <c r="B154" s="49">
        <v>202108.34</v>
      </c>
      <c r="K154">
        <f>INDEX(OutputValues,150,$J$4)</f>
        <v>202108.34</v>
      </c>
    </row>
    <row r="155" spans="1:11" x14ac:dyDescent="0.6">
      <c r="A155">
        <v>15</v>
      </c>
      <c r="B155" s="49">
        <v>201985.79</v>
      </c>
      <c r="K155">
        <f>INDEX(OutputValues,151,$J$4)</f>
        <v>201985.79</v>
      </c>
    </row>
    <row r="156" spans="1:11" x14ac:dyDescent="0.6">
      <c r="A156">
        <v>15.100000381469727</v>
      </c>
      <c r="B156" s="49">
        <v>201863.23</v>
      </c>
      <c r="K156">
        <f>INDEX(OutputValues,152,$J$4)</f>
        <v>201863.23</v>
      </c>
    </row>
    <row r="157" spans="1:11" x14ac:dyDescent="0.6">
      <c r="A157">
        <v>15.199999809265137</v>
      </c>
      <c r="B157" s="49">
        <v>201740.68</v>
      </c>
      <c r="K157">
        <f>INDEX(OutputValues,153,$J$4)</f>
        <v>201740.68</v>
      </c>
    </row>
    <row r="158" spans="1:11" x14ac:dyDescent="0.6">
      <c r="A158">
        <v>15.300000190734863</v>
      </c>
      <c r="B158" s="49">
        <v>201618.13</v>
      </c>
      <c r="K158">
        <f>INDEX(OutputValues,154,$J$4)</f>
        <v>201618.13</v>
      </c>
    </row>
    <row r="159" spans="1:11" x14ac:dyDescent="0.6">
      <c r="A159">
        <v>15.40000057220459</v>
      </c>
      <c r="B159" s="49">
        <v>201495.58</v>
      </c>
      <c r="K159">
        <f>INDEX(OutputValues,155,$J$4)</f>
        <v>201495.58</v>
      </c>
    </row>
    <row r="160" spans="1:11" x14ac:dyDescent="0.6">
      <c r="A160">
        <v>15.5</v>
      </c>
      <c r="B160" s="49">
        <v>201373.03</v>
      </c>
      <c r="K160">
        <f>INDEX(OutputValues,156,$J$4)</f>
        <v>201373.03</v>
      </c>
    </row>
    <row r="161" spans="1:11" x14ac:dyDescent="0.6">
      <c r="A161">
        <v>15.600000381469727</v>
      </c>
      <c r="B161" s="49">
        <v>201250.47</v>
      </c>
      <c r="K161">
        <f>INDEX(OutputValues,157,$J$4)</f>
        <v>201250.47</v>
      </c>
    </row>
    <row r="162" spans="1:11" x14ac:dyDescent="0.6">
      <c r="A162">
        <v>15.699999809265137</v>
      </c>
      <c r="B162" s="49">
        <v>201127.92</v>
      </c>
      <c r="K162">
        <f>INDEX(OutputValues,158,$J$4)</f>
        <v>201127.92</v>
      </c>
    </row>
    <row r="163" spans="1:11" x14ac:dyDescent="0.6">
      <c r="A163">
        <v>15.800000190734863</v>
      </c>
      <c r="B163" s="49">
        <v>201005.37</v>
      </c>
      <c r="K163">
        <f>INDEX(OutputValues,159,$J$4)</f>
        <v>201005.37</v>
      </c>
    </row>
    <row r="164" spans="1:11" x14ac:dyDescent="0.6">
      <c r="A164">
        <v>15.90000057220459</v>
      </c>
      <c r="B164" s="49">
        <v>200882.81</v>
      </c>
      <c r="K164">
        <f>INDEX(OutputValues,160,$J$4)</f>
        <v>200882.81</v>
      </c>
    </row>
    <row r="165" spans="1:11" x14ac:dyDescent="0.6">
      <c r="A165">
        <v>16</v>
      </c>
      <c r="B165" s="49">
        <v>200760.26</v>
      </c>
      <c r="K165">
        <f>INDEX(OutputValues,161,$J$4)</f>
        <v>200760.26</v>
      </c>
    </row>
    <row r="166" spans="1:11" x14ac:dyDescent="0.6">
      <c r="A166">
        <v>16.100000381469727</v>
      </c>
      <c r="B166" s="49">
        <v>200637.71</v>
      </c>
      <c r="K166">
        <f>INDEX(OutputValues,162,$J$4)</f>
        <v>200637.71</v>
      </c>
    </row>
    <row r="167" spans="1:11" x14ac:dyDescent="0.6">
      <c r="A167">
        <v>16.200000762939453</v>
      </c>
      <c r="B167" s="49">
        <v>200515.16</v>
      </c>
      <c r="K167">
        <f>INDEX(OutputValues,163,$J$4)</f>
        <v>200515.16</v>
      </c>
    </row>
    <row r="168" spans="1:11" x14ac:dyDescent="0.6">
      <c r="A168">
        <v>16.30000114440918</v>
      </c>
      <c r="B168" s="49">
        <v>200392.6</v>
      </c>
      <c r="K168">
        <f>INDEX(OutputValues,164,$J$4)</f>
        <v>200392.6</v>
      </c>
    </row>
    <row r="169" spans="1:11" x14ac:dyDescent="0.6">
      <c r="A169">
        <v>16.399999618530273</v>
      </c>
      <c r="B169" s="49">
        <v>200270.05</v>
      </c>
      <c r="K169">
        <f>INDEX(OutputValues,165,$J$4)</f>
        <v>200270.05</v>
      </c>
    </row>
    <row r="170" spans="1:11" x14ac:dyDescent="0.6">
      <c r="A170">
        <v>16.5</v>
      </c>
      <c r="B170" s="49">
        <v>200147.5</v>
      </c>
      <c r="K170">
        <f>INDEX(OutputValues,166,$J$4)</f>
        <v>200147.5</v>
      </c>
    </row>
    <row r="171" spans="1:11" x14ac:dyDescent="0.6">
      <c r="A171">
        <v>16.600000381469727</v>
      </c>
      <c r="B171" s="49">
        <v>200024.95</v>
      </c>
      <c r="K171">
        <f>INDEX(OutputValues,167,$J$4)</f>
        <v>200024.95</v>
      </c>
    </row>
    <row r="172" spans="1:11" x14ac:dyDescent="0.6">
      <c r="A172">
        <v>16.700000762939453</v>
      </c>
      <c r="B172" s="49">
        <v>199902.4</v>
      </c>
      <c r="K172">
        <f>INDEX(OutputValues,168,$J$4)</f>
        <v>199902.4</v>
      </c>
    </row>
    <row r="173" spans="1:11" x14ac:dyDescent="0.6">
      <c r="A173">
        <v>16.80000114440918</v>
      </c>
      <c r="B173" s="49">
        <v>199779.84</v>
      </c>
      <c r="K173">
        <f>INDEX(OutputValues,169,$J$4)</f>
        <v>199779.84</v>
      </c>
    </row>
    <row r="174" spans="1:11" x14ac:dyDescent="0.6">
      <c r="A174">
        <v>16.899999618530273</v>
      </c>
      <c r="B174" s="49">
        <v>199657.29</v>
      </c>
      <c r="K174">
        <f>INDEX(OutputValues,170,$J$4)</f>
        <v>199657.29</v>
      </c>
    </row>
    <row r="175" spans="1:11" x14ac:dyDescent="0.6">
      <c r="A175">
        <v>17</v>
      </c>
      <c r="B175" s="49">
        <v>199534.74</v>
      </c>
      <c r="K175">
        <f>INDEX(OutputValues,171,$J$4)</f>
        <v>199534.74</v>
      </c>
    </row>
    <row r="176" spans="1:11" x14ac:dyDescent="0.6">
      <c r="A176">
        <v>17.100000381469727</v>
      </c>
      <c r="B176" s="49">
        <v>199412.19</v>
      </c>
      <c r="K176">
        <f>INDEX(OutputValues,172,$J$4)</f>
        <v>199412.19</v>
      </c>
    </row>
    <row r="177" spans="1:11" x14ac:dyDescent="0.6">
      <c r="A177">
        <v>17.200000762939453</v>
      </c>
      <c r="B177" s="49">
        <v>199289.63</v>
      </c>
      <c r="K177">
        <f>INDEX(OutputValues,173,$J$4)</f>
        <v>199289.63</v>
      </c>
    </row>
    <row r="178" spans="1:11" x14ac:dyDescent="0.6">
      <c r="A178">
        <v>17.30000114440918</v>
      </c>
      <c r="B178" s="49">
        <v>199167.08</v>
      </c>
      <c r="K178">
        <f>INDEX(OutputValues,174,$J$4)</f>
        <v>199167.08</v>
      </c>
    </row>
    <row r="179" spans="1:11" x14ac:dyDescent="0.6">
      <c r="A179">
        <v>17.399999618530273</v>
      </c>
      <c r="B179" s="49">
        <v>199044.53</v>
      </c>
      <c r="K179">
        <f>INDEX(OutputValues,175,$J$4)</f>
        <v>199044.53</v>
      </c>
    </row>
    <row r="180" spans="1:11" x14ac:dyDescent="0.6">
      <c r="A180">
        <v>17.5</v>
      </c>
      <c r="B180" s="49">
        <v>198921.98</v>
      </c>
      <c r="K180">
        <f>INDEX(OutputValues,176,$J$4)</f>
        <v>198921.98</v>
      </c>
    </row>
    <row r="181" spans="1:11" x14ac:dyDescent="0.6">
      <c r="A181">
        <v>17.600000381469727</v>
      </c>
      <c r="B181" s="49">
        <v>198799.42</v>
      </c>
      <c r="K181">
        <f>INDEX(OutputValues,177,$J$4)</f>
        <v>198799.42</v>
      </c>
    </row>
    <row r="182" spans="1:11" x14ac:dyDescent="0.6">
      <c r="A182">
        <v>17.700000762939453</v>
      </c>
      <c r="B182" s="49">
        <v>198676.87</v>
      </c>
      <c r="K182">
        <f>INDEX(OutputValues,178,$J$4)</f>
        <v>198676.87</v>
      </c>
    </row>
    <row r="183" spans="1:11" x14ac:dyDescent="0.6">
      <c r="A183">
        <v>17.80000114440918</v>
      </c>
      <c r="B183" s="49">
        <v>198554.32</v>
      </c>
      <c r="K183">
        <f>INDEX(OutputValues,179,$J$4)</f>
        <v>198554.32</v>
      </c>
    </row>
    <row r="184" spans="1:11" x14ac:dyDescent="0.6">
      <c r="A184">
        <v>17.899999618530273</v>
      </c>
      <c r="B184" s="49">
        <v>198431.77</v>
      </c>
      <c r="K184">
        <f>INDEX(OutputValues,180,$J$4)</f>
        <v>198431.77</v>
      </c>
    </row>
    <row r="185" spans="1:11" x14ac:dyDescent="0.6">
      <c r="A185">
        <v>18</v>
      </c>
      <c r="B185" s="49">
        <v>198309.21</v>
      </c>
      <c r="K185">
        <f>INDEX(OutputValues,181,$J$4)</f>
        <v>198309.21</v>
      </c>
    </row>
    <row r="186" spans="1:11" x14ac:dyDescent="0.6">
      <c r="A186">
        <v>18.100000381469727</v>
      </c>
      <c r="B186" s="49">
        <v>198186.66</v>
      </c>
      <c r="K186">
        <f>INDEX(OutputValues,182,$J$4)</f>
        <v>198186.66</v>
      </c>
    </row>
    <row r="187" spans="1:11" x14ac:dyDescent="0.6">
      <c r="A187">
        <v>18.200000762939453</v>
      </c>
      <c r="B187" s="49">
        <v>198064.11</v>
      </c>
      <c r="K187">
        <f>INDEX(OutputValues,183,$J$4)</f>
        <v>198064.11</v>
      </c>
    </row>
    <row r="188" spans="1:11" x14ac:dyDescent="0.6">
      <c r="A188">
        <v>18.30000114440918</v>
      </c>
      <c r="B188" s="49">
        <v>197941.56</v>
      </c>
      <c r="K188">
        <f>INDEX(OutputValues,184,$J$4)</f>
        <v>197941.56</v>
      </c>
    </row>
    <row r="189" spans="1:11" x14ac:dyDescent="0.6">
      <c r="A189">
        <v>18.399999618530273</v>
      </c>
      <c r="B189" s="49">
        <v>197819.01</v>
      </c>
      <c r="K189">
        <f>INDEX(OutputValues,185,$J$4)</f>
        <v>197819.01</v>
      </c>
    </row>
    <row r="190" spans="1:11" x14ac:dyDescent="0.6">
      <c r="A190">
        <v>18.5</v>
      </c>
      <c r="B190" s="49">
        <v>197696.45</v>
      </c>
      <c r="K190">
        <f>INDEX(OutputValues,186,$J$4)</f>
        <v>197696.45</v>
      </c>
    </row>
    <row r="191" spans="1:11" x14ac:dyDescent="0.6">
      <c r="A191">
        <v>18.600000381469727</v>
      </c>
      <c r="B191" s="49">
        <v>197573.9</v>
      </c>
      <c r="K191">
        <f>INDEX(OutputValues,187,$J$4)</f>
        <v>197573.9</v>
      </c>
    </row>
    <row r="192" spans="1:11" x14ac:dyDescent="0.6">
      <c r="A192">
        <v>18.700000762939453</v>
      </c>
      <c r="B192" s="49">
        <v>197451.35</v>
      </c>
      <c r="K192">
        <f>INDEX(OutputValues,188,$J$4)</f>
        <v>197451.35</v>
      </c>
    </row>
    <row r="193" spans="1:11" x14ac:dyDescent="0.6">
      <c r="A193">
        <v>18.80000114440918</v>
      </c>
      <c r="B193" s="49">
        <v>197328.79</v>
      </c>
      <c r="K193">
        <f>INDEX(OutputValues,189,$J$4)</f>
        <v>197328.79</v>
      </c>
    </row>
    <row r="194" spans="1:11" x14ac:dyDescent="0.6">
      <c r="A194">
        <v>18.899999618530273</v>
      </c>
      <c r="B194" s="49">
        <v>197206.24</v>
      </c>
      <c r="K194">
        <f>INDEX(OutputValues,190,$J$4)</f>
        <v>197206.24</v>
      </c>
    </row>
    <row r="195" spans="1:11" x14ac:dyDescent="0.6">
      <c r="A195">
        <v>19</v>
      </c>
      <c r="B195" s="49">
        <v>197083.69</v>
      </c>
      <c r="K195">
        <f>INDEX(OutputValues,191,$J$4)</f>
        <v>197083.69</v>
      </c>
    </row>
    <row r="196" spans="1:11" x14ac:dyDescent="0.6">
      <c r="A196">
        <v>19.100000381469727</v>
      </c>
      <c r="B196" s="49">
        <v>196961.14</v>
      </c>
      <c r="K196">
        <f>INDEX(OutputValues,192,$J$4)</f>
        <v>196961.14</v>
      </c>
    </row>
    <row r="197" spans="1:11" x14ac:dyDescent="0.6">
      <c r="A197">
        <v>19.200000762939453</v>
      </c>
      <c r="B197" s="49">
        <v>196838.58</v>
      </c>
      <c r="K197">
        <f>INDEX(OutputValues,193,$J$4)</f>
        <v>196838.58</v>
      </c>
    </row>
    <row r="198" spans="1:11" x14ac:dyDescent="0.6">
      <c r="A198">
        <v>19.30000114440918</v>
      </c>
      <c r="B198" s="49">
        <v>196716.03</v>
      </c>
      <c r="K198">
        <f>INDEX(OutputValues,194,$J$4)</f>
        <v>196716.03</v>
      </c>
    </row>
    <row r="199" spans="1:11" x14ac:dyDescent="0.6">
      <c r="A199">
        <v>19.399999618530273</v>
      </c>
      <c r="B199" s="49">
        <v>196593.48</v>
      </c>
      <c r="K199">
        <f>INDEX(OutputValues,195,$J$4)</f>
        <v>196593.48</v>
      </c>
    </row>
    <row r="200" spans="1:11" x14ac:dyDescent="0.6">
      <c r="A200">
        <v>19.5</v>
      </c>
      <c r="B200" s="49">
        <v>196470.93</v>
      </c>
      <c r="K200">
        <f>INDEX(OutputValues,196,$J$4)</f>
        <v>196470.93</v>
      </c>
    </row>
    <row r="201" spans="1:11" x14ac:dyDescent="0.6">
      <c r="A201">
        <v>19.600000381469727</v>
      </c>
      <c r="B201" s="49">
        <v>196348.38</v>
      </c>
      <c r="K201">
        <f>INDEX(OutputValues,197,$J$4)</f>
        <v>196348.38</v>
      </c>
    </row>
    <row r="202" spans="1:11" x14ac:dyDescent="0.6">
      <c r="A202">
        <v>19.700000762939453</v>
      </c>
      <c r="B202" s="49">
        <v>196225.82</v>
      </c>
      <c r="K202">
        <f>INDEX(OutputValues,198,$J$4)</f>
        <v>196225.82</v>
      </c>
    </row>
    <row r="203" spans="1:11" x14ac:dyDescent="0.6">
      <c r="A203">
        <v>19.80000114440918</v>
      </c>
      <c r="B203" s="49">
        <v>196103.27</v>
      </c>
      <c r="K203">
        <f>INDEX(OutputValues,199,$J$4)</f>
        <v>196103.27</v>
      </c>
    </row>
    <row r="204" spans="1:11" x14ac:dyDescent="0.6">
      <c r="A204">
        <v>19.899999618530273</v>
      </c>
      <c r="B204" s="49">
        <v>195980.72</v>
      </c>
      <c r="K204">
        <f>INDEX(OutputValues,200,$J$4)</f>
        <v>195980.72</v>
      </c>
    </row>
    <row r="205" spans="1:11" x14ac:dyDescent="0.6">
      <c r="A205">
        <v>20</v>
      </c>
      <c r="B205" s="49">
        <v>195858.17</v>
      </c>
      <c r="K205">
        <f>INDEX(OutputValues,201,$J$4)</f>
        <v>195858.17</v>
      </c>
    </row>
    <row r="206" spans="1:11" x14ac:dyDescent="0.6">
      <c r="A206">
        <v>20.100000381469727</v>
      </c>
      <c r="B206" s="49">
        <v>195735.61</v>
      </c>
      <c r="K206">
        <f>INDEX(OutputValues,202,$J$4)</f>
        <v>195735.61</v>
      </c>
    </row>
    <row r="207" spans="1:11" x14ac:dyDescent="0.6">
      <c r="A207">
        <v>20.200000762939453</v>
      </c>
      <c r="B207" s="49">
        <v>195613.06</v>
      </c>
      <c r="K207">
        <f>INDEX(OutputValues,203,$J$4)</f>
        <v>195613.06</v>
      </c>
    </row>
    <row r="208" spans="1:11" x14ac:dyDescent="0.6">
      <c r="A208">
        <v>20.30000114440918</v>
      </c>
      <c r="B208" s="49">
        <v>195490.51</v>
      </c>
      <c r="K208">
        <f>INDEX(OutputValues,204,$J$4)</f>
        <v>195490.51</v>
      </c>
    </row>
    <row r="209" spans="1:11" x14ac:dyDescent="0.6">
      <c r="A209">
        <v>20.399999618530273</v>
      </c>
      <c r="B209" s="49">
        <v>195367.96</v>
      </c>
      <c r="K209">
        <f>INDEX(OutputValues,205,$J$4)</f>
        <v>195367.96</v>
      </c>
    </row>
    <row r="210" spans="1:11" x14ac:dyDescent="0.6">
      <c r="A210">
        <v>20.5</v>
      </c>
      <c r="B210" s="49">
        <v>195245.4</v>
      </c>
      <c r="K210">
        <f>INDEX(OutputValues,206,$J$4)</f>
        <v>195245.4</v>
      </c>
    </row>
    <row r="211" spans="1:11" x14ac:dyDescent="0.6">
      <c r="A211">
        <v>20.600000381469727</v>
      </c>
      <c r="B211" s="49">
        <v>195122.85</v>
      </c>
      <c r="K211">
        <f>INDEX(OutputValues,207,$J$4)</f>
        <v>195122.85</v>
      </c>
    </row>
    <row r="212" spans="1:11" x14ac:dyDescent="0.6">
      <c r="A212">
        <v>20.700000762939453</v>
      </c>
      <c r="B212" s="49">
        <v>195000.3</v>
      </c>
      <c r="K212">
        <f>INDEX(OutputValues,208,$J$4)</f>
        <v>195000.3</v>
      </c>
    </row>
    <row r="213" spans="1:11" x14ac:dyDescent="0.6">
      <c r="A213">
        <v>20.80000114440918</v>
      </c>
      <c r="B213" s="49">
        <v>194877.74</v>
      </c>
      <c r="K213">
        <f>INDEX(OutputValues,209,$J$4)</f>
        <v>194877.74</v>
      </c>
    </row>
    <row r="214" spans="1:11" x14ac:dyDescent="0.6">
      <c r="A214">
        <v>20.899999618530273</v>
      </c>
      <c r="B214" s="49">
        <v>194755.19</v>
      </c>
      <c r="K214">
        <f>INDEX(OutputValues,210,$J$4)</f>
        <v>194755.19</v>
      </c>
    </row>
    <row r="215" spans="1:11" x14ac:dyDescent="0.6">
      <c r="A215">
        <v>21</v>
      </c>
      <c r="B215" s="49">
        <v>194632.64</v>
      </c>
      <c r="K215">
        <f>INDEX(OutputValues,211,$J$4)</f>
        <v>194632.64</v>
      </c>
    </row>
    <row r="216" spans="1:11" x14ac:dyDescent="0.6">
      <c r="A216">
        <v>21.100000381469727</v>
      </c>
      <c r="B216" s="49">
        <v>194510.09</v>
      </c>
      <c r="K216">
        <f>INDEX(OutputValues,212,$J$4)</f>
        <v>194510.09</v>
      </c>
    </row>
    <row r="217" spans="1:11" x14ac:dyDescent="0.6">
      <c r="A217">
        <v>21.200000762939453</v>
      </c>
      <c r="B217" s="49">
        <v>194387.54</v>
      </c>
      <c r="K217">
        <f>INDEX(OutputValues,213,$J$4)</f>
        <v>194387.54</v>
      </c>
    </row>
    <row r="218" spans="1:11" x14ac:dyDescent="0.6">
      <c r="A218">
        <v>21.30000114440918</v>
      </c>
      <c r="B218" s="49">
        <v>194264.98</v>
      </c>
      <c r="K218">
        <f>INDEX(OutputValues,214,$J$4)</f>
        <v>194264.98</v>
      </c>
    </row>
    <row r="219" spans="1:11" x14ac:dyDescent="0.6">
      <c r="A219">
        <v>21.399999618530273</v>
      </c>
      <c r="B219" s="49">
        <v>194142.43</v>
      </c>
      <c r="K219">
        <f>INDEX(OutputValues,215,$J$4)</f>
        <v>194142.43</v>
      </c>
    </row>
    <row r="220" spans="1:11" x14ac:dyDescent="0.6">
      <c r="A220">
        <v>21.5</v>
      </c>
      <c r="B220" s="49">
        <v>194019.88</v>
      </c>
      <c r="K220">
        <f>INDEX(OutputValues,216,$J$4)</f>
        <v>194019.88</v>
      </c>
    </row>
    <row r="221" spans="1:11" x14ac:dyDescent="0.6">
      <c r="A221">
        <v>21.600000381469727</v>
      </c>
      <c r="B221" s="49">
        <v>193897.33</v>
      </c>
      <c r="K221">
        <f>INDEX(OutputValues,217,$J$4)</f>
        <v>193897.33</v>
      </c>
    </row>
    <row r="222" spans="1:11" x14ac:dyDescent="0.6">
      <c r="A222">
        <v>21.700000762939453</v>
      </c>
      <c r="B222" s="49">
        <v>193774.77</v>
      </c>
      <c r="K222">
        <f>INDEX(OutputValues,218,$J$4)</f>
        <v>193774.77</v>
      </c>
    </row>
    <row r="223" spans="1:11" x14ac:dyDescent="0.6">
      <c r="A223">
        <v>21.80000114440918</v>
      </c>
      <c r="B223" s="49">
        <v>193652.22</v>
      </c>
      <c r="K223">
        <f>INDEX(OutputValues,219,$J$4)</f>
        <v>193652.22</v>
      </c>
    </row>
    <row r="224" spans="1:11" x14ac:dyDescent="0.6">
      <c r="A224">
        <v>21.899999618530273</v>
      </c>
      <c r="B224" s="49">
        <v>193529.67</v>
      </c>
      <c r="K224">
        <f>INDEX(OutputValues,220,$J$4)</f>
        <v>193529.67</v>
      </c>
    </row>
    <row r="225" spans="1:11" x14ac:dyDescent="0.6">
      <c r="A225">
        <v>22</v>
      </c>
      <c r="B225" s="49">
        <v>193407.12</v>
      </c>
      <c r="K225">
        <f>INDEX(OutputValues,221,$J$4)</f>
        <v>193407.12</v>
      </c>
    </row>
    <row r="226" spans="1:11" x14ac:dyDescent="0.6">
      <c r="A226">
        <v>22.100000381469727</v>
      </c>
      <c r="B226" s="49">
        <v>193284.56</v>
      </c>
      <c r="K226">
        <f>INDEX(OutputValues,222,$J$4)</f>
        <v>193284.56</v>
      </c>
    </row>
    <row r="227" spans="1:11" x14ac:dyDescent="0.6">
      <c r="A227">
        <v>22.200000762939453</v>
      </c>
      <c r="B227" s="49">
        <v>193162.01</v>
      </c>
      <c r="K227">
        <f>INDEX(OutputValues,223,$J$4)</f>
        <v>193162.01</v>
      </c>
    </row>
    <row r="228" spans="1:11" x14ac:dyDescent="0.6">
      <c r="A228">
        <v>22.30000114440918</v>
      </c>
      <c r="B228" s="49">
        <v>193039.46</v>
      </c>
      <c r="K228">
        <f>INDEX(OutputValues,224,$J$4)</f>
        <v>193039.46</v>
      </c>
    </row>
    <row r="229" spans="1:11" x14ac:dyDescent="0.6">
      <c r="A229">
        <v>22.399999618530273</v>
      </c>
      <c r="B229" s="49">
        <v>192916.91</v>
      </c>
      <c r="K229">
        <f>INDEX(OutputValues,225,$J$4)</f>
        <v>192916.91</v>
      </c>
    </row>
    <row r="230" spans="1:11" x14ac:dyDescent="0.6">
      <c r="A230">
        <v>22.5</v>
      </c>
      <c r="B230" s="49">
        <v>192794.35</v>
      </c>
      <c r="K230">
        <f>INDEX(OutputValues,226,$J$4)</f>
        <v>192794.35</v>
      </c>
    </row>
    <row r="231" spans="1:11" x14ac:dyDescent="0.6">
      <c r="A231">
        <v>22.600000381469727</v>
      </c>
      <c r="B231" s="49">
        <v>192671.8</v>
      </c>
      <c r="K231">
        <f>INDEX(OutputValues,227,$J$4)</f>
        <v>192671.8</v>
      </c>
    </row>
    <row r="232" spans="1:11" x14ac:dyDescent="0.6">
      <c r="A232">
        <v>22.700000762939453</v>
      </c>
      <c r="B232" s="49">
        <v>192549.25</v>
      </c>
      <c r="K232">
        <f>INDEX(OutputValues,228,$J$4)</f>
        <v>192549.25</v>
      </c>
    </row>
    <row r="233" spans="1:11" x14ac:dyDescent="0.6">
      <c r="A233">
        <v>22.80000114440918</v>
      </c>
      <c r="B233" s="49">
        <v>192426.7</v>
      </c>
      <c r="K233">
        <f>INDEX(OutputValues,229,$J$4)</f>
        <v>192426.7</v>
      </c>
    </row>
    <row r="234" spans="1:11" x14ac:dyDescent="0.6">
      <c r="A234">
        <v>22.899999618530273</v>
      </c>
      <c r="B234" s="49">
        <v>192304.15</v>
      </c>
      <c r="K234">
        <f>INDEX(OutputValues,230,$J$4)</f>
        <v>192304.15</v>
      </c>
    </row>
    <row r="235" spans="1:11" x14ac:dyDescent="0.6">
      <c r="A235">
        <v>23</v>
      </c>
      <c r="B235" s="49">
        <v>192181.59</v>
      </c>
      <c r="K235">
        <f>INDEX(OutputValues,231,$J$4)</f>
        <v>192181.59</v>
      </c>
    </row>
    <row r="236" spans="1:11" x14ac:dyDescent="0.6">
      <c r="A236">
        <v>23.100000381469727</v>
      </c>
      <c r="B236" s="49">
        <v>192059.04</v>
      </c>
      <c r="K236">
        <f>INDEX(OutputValues,232,$J$4)</f>
        <v>192059.04</v>
      </c>
    </row>
    <row r="237" spans="1:11" x14ac:dyDescent="0.6">
      <c r="A237">
        <v>23.200000762939453</v>
      </c>
      <c r="B237" s="49">
        <v>191936.49</v>
      </c>
      <c r="K237">
        <f>INDEX(OutputValues,233,$J$4)</f>
        <v>191936.49</v>
      </c>
    </row>
    <row r="238" spans="1:11" x14ac:dyDescent="0.6">
      <c r="A238">
        <v>23.30000114440918</v>
      </c>
      <c r="B238" s="49">
        <v>191813.93</v>
      </c>
      <c r="K238">
        <f>INDEX(OutputValues,234,$J$4)</f>
        <v>191813.93</v>
      </c>
    </row>
    <row r="239" spans="1:11" x14ac:dyDescent="0.6">
      <c r="A239">
        <v>23.399999618530273</v>
      </c>
      <c r="B239" s="49">
        <v>191691.38</v>
      </c>
      <c r="K239">
        <f>INDEX(OutputValues,235,$J$4)</f>
        <v>191691.38</v>
      </c>
    </row>
    <row r="240" spans="1:11" x14ac:dyDescent="0.6">
      <c r="A240">
        <v>23.5</v>
      </c>
      <c r="B240" s="49">
        <v>191568.83</v>
      </c>
      <c r="K240">
        <f>INDEX(OutputValues,236,$J$4)</f>
        <v>191568.83</v>
      </c>
    </row>
    <row r="241" spans="1:11" x14ac:dyDescent="0.6">
      <c r="A241">
        <v>23.600000381469727</v>
      </c>
      <c r="B241" s="49">
        <v>191446.28</v>
      </c>
      <c r="K241">
        <f>INDEX(OutputValues,237,$J$4)</f>
        <v>191446.28</v>
      </c>
    </row>
    <row r="242" spans="1:11" x14ac:dyDescent="0.6">
      <c r="A242">
        <v>23.700000762939453</v>
      </c>
      <c r="B242" s="49">
        <v>191323.72</v>
      </c>
      <c r="K242">
        <f>INDEX(OutputValues,238,$J$4)</f>
        <v>191323.72</v>
      </c>
    </row>
    <row r="243" spans="1:11" x14ac:dyDescent="0.6">
      <c r="A243">
        <v>23.80000114440918</v>
      </c>
      <c r="B243" s="49">
        <v>191201.17</v>
      </c>
      <c r="K243">
        <f>INDEX(OutputValues,239,$J$4)</f>
        <v>191201.17</v>
      </c>
    </row>
    <row r="244" spans="1:11" x14ac:dyDescent="0.6">
      <c r="A244">
        <v>23.899999618530273</v>
      </c>
      <c r="B244" s="49">
        <v>191078.62</v>
      </c>
      <c r="K244">
        <f>INDEX(OutputValues,240,$J$4)</f>
        <v>191078.62</v>
      </c>
    </row>
    <row r="245" spans="1:11" x14ac:dyDescent="0.6">
      <c r="A245">
        <v>24</v>
      </c>
      <c r="B245" s="49">
        <v>190956.07</v>
      </c>
      <c r="K245">
        <f>INDEX(OutputValues,241,$J$4)</f>
        <v>190956.07</v>
      </c>
    </row>
    <row r="246" spans="1:11" x14ac:dyDescent="0.6">
      <c r="A246">
        <v>24.100000381469727</v>
      </c>
      <c r="B246" s="49">
        <v>190833.52</v>
      </c>
      <c r="K246">
        <f>INDEX(OutputValues,242,$J$4)</f>
        <v>190833.52</v>
      </c>
    </row>
    <row r="247" spans="1:11" x14ac:dyDescent="0.6">
      <c r="A247">
        <v>24.200000762939453</v>
      </c>
      <c r="B247" s="49">
        <v>190710.96</v>
      </c>
      <c r="K247">
        <f>INDEX(OutputValues,243,$J$4)</f>
        <v>190710.96</v>
      </c>
    </row>
    <row r="248" spans="1:11" x14ac:dyDescent="0.6">
      <c r="A248">
        <v>24.30000114440918</v>
      </c>
      <c r="B248" s="49">
        <v>190588.41</v>
      </c>
      <c r="K248">
        <f>INDEX(OutputValues,244,$J$4)</f>
        <v>190588.41</v>
      </c>
    </row>
    <row r="249" spans="1:11" x14ac:dyDescent="0.6">
      <c r="A249">
        <v>24.399999618530273</v>
      </c>
      <c r="B249" s="49">
        <v>190465.86</v>
      </c>
      <c r="K249">
        <f>INDEX(OutputValues,245,$J$4)</f>
        <v>190465.86</v>
      </c>
    </row>
    <row r="250" spans="1:11" x14ac:dyDescent="0.6">
      <c r="A250">
        <v>24.5</v>
      </c>
      <c r="B250" s="49">
        <v>190343.31</v>
      </c>
      <c r="K250">
        <f>INDEX(OutputValues,246,$J$4)</f>
        <v>190343.31</v>
      </c>
    </row>
    <row r="251" spans="1:11" x14ac:dyDescent="0.6">
      <c r="A251">
        <v>24.600000381469727</v>
      </c>
      <c r="B251" s="49">
        <v>190220.75</v>
      </c>
      <c r="K251">
        <f>INDEX(OutputValues,247,$J$4)</f>
        <v>190220.75</v>
      </c>
    </row>
    <row r="252" spans="1:11" x14ac:dyDescent="0.6">
      <c r="A252">
        <v>24.700000762939453</v>
      </c>
      <c r="B252" s="49">
        <v>190098.2</v>
      </c>
      <c r="K252">
        <f>INDEX(OutputValues,248,$J$4)</f>
        <v>190098.2</v>
      </c>
    </row>
    <row r="253" spans="1:11" x14ac:dyDescent="0.6">
      <c r="A253">
        <v>24.80000114440918</v>
      </c>
      <c r="B253" s="49">
        <v>189975.65</v>
      </c>
      <c r="K253">
        <f>INDEX(OutputValues,249,$J$4)</f>
        <v>189975.65</v>
      </c>
    </row>
    <row r="254" spans="1:11" x14ac:dyDescent="0.6">
      <c r="A254">
        <v>24.899999618530273</v>
      </c>
      <c r="B254" s="49">
        <v>189853.1</v>
      </c>
      <c r="K254">
        <f>INDEX(OutputValues,250,$J$4)</f>
        <v>189853.1</v>
      </c>
    </row>
    <row r="255" spans="1:11" x14ac:dyDescent="0.6">
      <c r="A255">
        <v>25</v>
      </c>
      <c r="B255" s="49">
        <v>189730.54</v>
      </c>
      <c r="K255">
        <f>INDEX(OutputValues,251,$J$4)</f>
        <v>189730.54</v>
      </c>
    </row>
    <row r="256" spans="1:11" x14ac:dyDescent="0.6">
      <c r="A256">
        <v>25.100000381469727</v>
      </c>
      <c r="B256" s="49">
        <v>189607.99</v>
      </c>
      <c r="K256">
        <f>INDEX(OutputValues,252,$J$4)</f>
        <v>189607.99</v>
      </c>
    </row>
    <row r="257" spans="1:11" x14ac:dyDescent="0.6">
      <c r="A257">
        <v>25.200000762939453</v>
      </c>
      <c r="B257" s="49">
        <v>189485.44</v>
      </c>
      <c r="K257">
        <f>INDEX(OutputValues,253,$J$4)</f>
        <v>189485.44</v>
      </c>
    </row>
    <row r="258" spans="1:11" x14ac:dyDescent="0.6">
      <c r="A258">
        <v>25.30000114440918</v>
      </c>
      <c r="B258" s="49">
        <v>189362.89</v>
      </c>
      <c r="K258">
        <f>INDEX(OutputValues,254,$J$4)</f>
        <v>189362.89</v>
      </c>
    </row>
    <row r="259" spans="1:11" x14ac:dyDescent="0.6">
      <c r="A259">
        <v>25.399999618530273</v>
      </c>
      <c r="B259" s="49">
        <v>189240.33</v>
      </c>
      <c r="K259">
        <f>INDEX(OutputValues,255,$J$4)</f>
        <v>189240.33</v>
      </c>
    </row>
    <row r="260" spans="1:11" x14ac:dyDescent="0.6">
      <c r="A260">
        <v>25.5</v>
      </c>
      <c r="B260" s="49">
        <v>189117.78</v>
      </c>
      <c r="K260">
        <f>INDEX(OutputValues,256,$J$4)</f>
        <v>189117.78</v>
      </c>
    </row>
    <row r="261" spans="1:11" x14ac:dyDescent="0.6">
      <c r="A261">
        <v>25.600000381469727</v>
      </c>
      <c r="B261" s="49">
        <v>188995.23</v>
      </c>
      <c r="K261">
        <f>INDEX(OutputValues,257,$J$4)</f>
        <v>188995.23</v>
      </c>
    </row>
    <row r="262" spans="1:11" x14ac:dyDescent="0.6">
      <c r="A262">
        <v>25.700000762939453</v>
      </c>
      <c r="B262" s="49">
        <v>188872.68</v>
      </c>
      <c r="K262">
        <f>INDEX(OutputValues,258,$J$4)</f>
        <v>188872.68</v>
      </c>
    </row>
    <row r="263" spans="1:11" x14ac:dyDescent="0.6">
      <c r="A263">
        <v>25.80000114440918</v>
      </c>
      <c r="B263" s="49">
        <v>188750.12</v>
      </c>
      <c r="K263">
        <f>INDEX(OutputValues,259,$J$4)</f>
        <v>188750.12</v>
      </c>
    </row>
    <row r="264" spans="1:11" x14ac:dyDescent="0.6">
      <c r="A264">
        <v>25.899999618530273</v>
      </c>
      <c r="B264" s="49">
        <v>188627.57</v>
      </c>
      <c r="K264">
        <f>INDEX(OutputValues,260,$J$4)</f>
        <v>188627.57</v>
      </c>
    </row>
    <row r="265" spans="1:11" x14ac:dyDescent="0.6">
      <c r="A265">
        <v>26</v>
      </c>
      <c r="B265" s="49">
        <v>188505.02</v>
      </c>
      <c r="K265">
        <f>INDEX(OutputValues,261,$J$4)</f>
        <v>188505.02</v>
      </c>
    </row>
    <row r="266" spans="1:11" x14ac:dyDescent="0.6">
      <c r="A266">
        <v>26.100000381469727</v>
      </c>
      <c r="B266" s="49">
        <v>188382.47</v>
      </c>
      <c r="K266">
        <f>INDEX(OutputValues,262,$J$4)</f>
        <v>188382.47</v>
      </c>
    </row>
    <row r="267" spans="1:11" x14ac:dyDescent="0.6">
      <c r="A267">
        <v>26.200000762939453</v>
      </c>
      <c r="B267" s="49">
        <v>188259.91</v>
      </c>
      <c r="K267">
        <f>INDEX(OutputValues,263,$J$4)</f>
        <v>188259.91</v>
      </c>
    </row>
    <row r="268" spans="1:11" x14ac:dyDescent="0.6">
      <c r="A268">
        <v>26.30000114440918</v>
      </c>
      <c r="B268" s="49">
        <v>188137.36</v>
      </c>
      <c r="K268">
        <f>INDEX(OutputValues,264,$J$4)</f>
        <v>188137.36</v>
      </c>
    </row>
    <row r="269" spans="1:11" x14ac:dyDescent="0.6">
      <c r="A269">
        <v>26.399999618530273</v>
      </c>
      <c r="B269" s="49">
        <v>188014.81</v>
      </c>
      <c r="K269">
        <f>INDEX(OutputValues,265,$J$4)</f>
        <v>188014.81</v>
      </c>
    </row>
    <row r="270" spans="1:11" x14ac:dyDescent="0.6">
      <c r="A270">
        <v>26.5</v>
      </c>
      <c r="B270" s="49">
        <v>187892.26</v>
      </c>
      <c r="K270">
        <f>INDEX(OutputValues,266,$J$4)</f>
        <v>187892.26</v>
      </c>
    </row>
    <row r="271" spans="1:11" x14ac:dyDescent="0.6">
      <c r="A271">
        <v>26.600000381469727</v>
      </c>
      <c r="B271" s="49">
        <v>187769.7</v>
      </c>
      <c r="K271">
        <f>INDEX(OutputValues,267,$J$4)</f>
        <v>187769.7</v>
      </c>
    </row>
    <row r="272" spans="1:11" x14ac:dyDescent="0.6">
      <c r="A272">
        <v>26.700000762939453</v>
      </c>
      <c r="B272" s="49">
        <v>187647.15</v>
      </c>
      <c r="K272">
        <f>INDEX(OutputValues,268,$J$4)</f>
        <v>187647.15</v>
      </c>
    </row>
    <row r="273" spans="1:11" x14ac:dyDescent="0.6">
      <c r="A273">
        <v>26.80000114440918</v>
      </c>
      <c r="B273" s="49">
        <v>187524.6</v>
      </c>
      <c r="K273">
        <f>INDEX(OutputValues,269,$J$4)</f>
        <v>187524.6</v>
      </c>
    </row>
    <row r="274" spans="1:11" x14ac:dyDescent="0.6">
      <c r="A274">
        <v>26.899999618530273</v>
      </c>
      <c r="B274" s="49">
        <v>187402.05</v>
      </c>
      <c r="K274">
        <f>INDEX(OutputValues,270,$J$4)</f>
        <v>187402.05</v>
      </c>
    </row>
    <row r="275" spans="1:11" x14ac:dyDescent="0.6">
      <c r="A275">
        <v>27</v>
      </c>
      <c r="B275" s="49">
        <v>187279.5</v>
      </c>
      <c r="K275">
        <f>INDEX(OutputValues,271,$J$4)</f>
        <v>187279.5</v>
      </c>
    </row>
    <row r="276" spans="1:11" x14ac:dyDescent="0.6">
      <c r="A276">
        <v>27.100000381469727</v>
      </c>
      <c r="B276" s="49">
        <v>187156.94</v>
      </c>
      <c r="K276">
        <f>INDEX(OutputValues,272,$J$4)</f>
        <v>187156.94</v>
      </c>
    </row>
    <row r="277" spans="1:11" x14ac:dyDescent="0.6">
      <c r="A277">
        <v>27.200000762939453</v>
      </c>
      <c r="B277" s="49">
        <v>187034.39</v>
      </c>
      <c r="K277">
        <f>INDEX(OutputValues,273,$J$4)</f>
        <v>187034.39</v>
      </c>
    </row>
    <row r="278" spans="1:11" x14ac:dyDescent="0.6">
      <c r="A278">
        <v>27.30000114440918</v>
      </c>
      <c r="B278" s="49">
        <v>186911.84</v>
      </c>
      <c r="K278">
        <f>INDEX(OutputValues,274,$J$4)</f>
        <v>186911.84</v>
      </c>
    </row>
    <row r="279" spans="1:11" x14ac:dyDescent="0.6">
      <c r="A279">
        <v>27.399999618530273</v>
      </c>
      <c r="B279" s="49">
        <v>186789.29</v>
      </c>
      <c r="K279">
        <f>INDEX(OutputValues,275,$J$4)</f>
        <v>186789.29</v>
      </c>
    </row>
    <row r="280" spans="1:11" x14ac:dyDescent="0.6">
      <c r="A280">
        <v>27.5</v>
      </c>
      <c r="B280" s="49">
        <v>186666.73</v>
      </c>
      <c r="K280">
        <f>INDEX(OutputValues,276,$J$4)</f>
        <v>186666.73</v>
      </c>
    </row>
    <row r="281" spans="1:11" x14ac:dyDescent="0.6">
      <c r="A281">
        <v>27.600000381469727</v>
      </c>
      <c r="B281" s="49">
        <v>186544.18</v>
      </c>
      <c r="K281">
        <f>INDEX(OutputValues,277,$J$4)</f>
        <v>186544.18</v>
      </c>
    </row>
    <row r="282" spans="1:11" x14ac:dyDescent="0.6">
      <c r="A282">
        <v>27.700000762939453</v>
      </c>
      <c r="B282" s="49">
        <v>186421.63</v>
      </c>
      <c r="K282">
        <f>INDEX(OutputValues,278,$J$4)</f>
        <v>186421.63</v>
      </c>
    </row>
    <row r="283" spans="1:11" x14ac:dyDescent="0.6">
      <c r="A283">
        <v>27.80000114440918</v>
      </c>
      <c r="B283" s="49">
        <v>186299.07</v>
      </c>
      <c r="K283">
        <f>INDEX(OutputValues,279,$J$4)</f>
        <v>186299.07</v>
      </c>
    </row>
    <row r="284" spans="1:11" x14ac:dyDescent="0.6">
      <c r="A284">
        <v>27.899999618530273</v>
      </c>
      <c r="B284" s="49">
        <v>186176.52</v>
      </c>
      <c r="K284">
        <f>INDEX(OutputValues,280,$J$4)</f>
        <v>186176.52</v>
      </c>
    </row>
    <row r="285" spans="1:11" x14ac:dyDescent="0.6">
      <c r="A285">
        <v>28</v>
      </c>
      <c r="B285" s="49">
        <v>186053.97</v>
      </c>
      <c r="K285">
        <f>INDEX(OutputValues,281,$J$4)</f>
        <v>186053.97</v>
      </c>
    </row>
    <row r="286" spans="1:11" x14ac:dyDescent="0.6">
      <c r="A286">
        <v>28.100000381469727</v>
      </c>
      <c r="B286" s="49">
        <v>185931.42</v>
      </c>
      <c r="K286">
        <f>INDEX(OutputValues,282,$J$4)</f>
        <v>185931.42</v>
      </c>
    </row>
    <row r="287" spans="1:11" x14ac:dyDescent="0.6">
      <c r="A287">
        <v>28.200000762939453</v>
      </c>
      <c r="B287" s="49">
        <v>185808.87</v>
      </c>
      <c r="K287">
        <f>INDEX(OutputValues,283,$J$4)</f>
        <v>185808.87</v>
      </c>
    </row>
    <row r="288" spans="1:11" x14ac:dyDescent="0.6">
      <c r="A288">
        <v>28.30000114440918</v>
      </c>
      <c r="B288" s="49">
        <v>185686.31</v>
      </c>
      <c r="K288">
        <f>INDEX(OutputValues,284,$J$4)</f>
        <v>185686.31</v>
      </c>
    </row>
    <row r="289" spans="1:11" x14ac:dyDescent="0.6">
      <c r="A289">
        <v>28.399999618530273</v>
      </c>
      <c r="B289" s="49">
        <v>185563.76</v>
      </c>
      <c r="K289">
        <f>INDEX(OutputValues,285,$J$4)</f>
        <v>185563.76</v>
      </c>
    </row>
    <row r="290" spans="1:11" x14ac:dyDescent="0.6">
      <c r="A290">
        <v>28.5</v>
      </c>
      <c r="B290" s="49">
        <v>185441.21</v>
      </c>
      <c r="K290">
        <f>INDEX(OutputValues,286,$J$4)</f>
        <v>185441.21</v>
      </c>
    </row>
    <row r="291" spans="1:11" x14ac:dyDescent="0.6">
      <c r="A291">
        <v>28.600000381469727</v>
      </c>
      <c r="B291" s="49">
        <v>185318.66</v>
      </c>
      <c r="K291">
        <f>INDEX(OutputValues,287,$J$4)</f>
        <v>185318.66</v>
      </c>
    </row>
    <row r="292" spans="1:11" x14ac:dyDescent="0.6">
      <c r="A292">
        <v>28.700000762939453</v>
      </c>
      <c r="B292" s="49">
        <v>185218.88</v>
      </c>
      <c r="K292">
        <f>INDEX(OutputValues,288,$J$4)</f>
        <v>185218.88</v>
      </c>
    </row>
    <row r="293" spans="1:11" x14ac:dyDescent="0.6">
      <c r="A293">
        <v>28.80000114440918</v>
      </c>
      <c r="B293" s="49">
        <v>185120.76</v>
      </c>
      <c r="K293">
        <f>INDEX(OutputValues,289,$J$4)</f>
        <v>185120.76</v>
      </c>
    </row>
    <row r="294" spans="1:11" x14ac:dyDescent="0.6">
      <c r="A294">
        <v>28.899999618530273</v>
      </c>
      <c r="B294" s="49">
        <v>185022.64</v>
      </c>
      <c r="K294">
        <f>INDEX(OutputValues,290,$J$4)</f>
        <v>185022.64</v>
      </c>
    </row>
    <row r="295" spans="1:11" x14ac:dyDescent="0.6">
      <c r="A295">
        <v>29</v>
      </c>
      <c r="B295" s="49">
        <v>184924.52</v>
      </c>
      <c r="K295">
        <f>INDEX(OutputValues,291,$J$4)</f>
        <v>184924.52</v>
      </c>
    </row>
    <row r="296" spans="1:11" x14ac:dyDescent="0.6">
      <c r="A296">
        <v>29.100000381469727</v>
      </c>
      <c r="B296" s="49">
        <v>184826.4</v>
      </c>
      <c r="K296">
        <f>INDEX(OutputValues,292,$J$4)</f>
        <v>184826.4</v>
      </c>
    </row>
    <row r="297" spans="1:11" x14ac:dyDescent="0.6">
      <c r="A297">
        <v>29.200000762939453</v>
      </c>
      <c r="B297" s="49">
        <v>184728.28</v>
      </c>
      <c r="K297">
        <f>INDEX(OutputValues,293,$J$4)</f>
        <v>184728.28</v>
      </c>
    </row>
    <row r="298" spans="1:11" x14ac:dyDescent="0.6">
      <c r="A298">
        <v>29.30000114440918</v>
      </c>
      <c r="B298" s="49">
        <v>184630.16</v>
      </c>
      <c r="K298">
        <f>INDEX(OutputValues,294,$J$4)</f>
        <v>184630.16</v>
      </c>
    </row>
    <row r="299" spans="1:11" x14ac:dyDescent="0.6">
      <c r="A299">
        <v>29.399999618530273</v>
      </c>
      <c r="B299" s="49">
        <v>184532.04</v>
      </c>
      <c r="K299">
        <f>INDEX(OutputValues,295,$J$4)</f>
        <v>184532.04</v>
      </c>
    </row>
    <row r="300" spans="1:11" x14ac:dyDescent="0.6">
      <c r="A300">
        <v>29.5</v>
      </c>
      <c r="B300" s="49">
        <v>184436.59</v>
      </c>
      <c r="K300">
        <f>INDEX(OutputValues,296,$J$4)</f>
        <v>184436.59</v>
      </c>
    </row>
    <row r="301" spans="1:11" x14ac:dyDescent="0.6">
      <c r="A301">
        <v>29.600000381469727</v>
      </c>
      <c r="B301" s="49">
        <v>184341.55</v>
      </c>
      <c r="K301">
        <f>INDEX(OutputValues,297,$J$4)</f>
        <v>184341.55</v>
      </c>
    </row>
    <row r="302" spans="1:11" x14ac:dyDescent="0.6">
      <c r="A302">
        <v>29.700000762939453</v>
      </c>
      <c r="B302" s="49">
        <v>184246.51</v>
      </c>
      <c r="K302">
        <f>INDEX(OutputValues,298,$J$4)</f>
        <v>184246.51</v>
      </c>
    </row>
    <row r="303" spans="1:11" x14ac:dyDescent="0.6">
      <c r="A303">
        <v>29.80000114440918</v>
      </c>
      <c r="B303" s="49">
        <v>184151.46</v>
      </c>
      <c r="K303">
        <f>INDEX(OutputValues,299,$J$4)</f>
        <v>184151.46</v>
      </c>
    </row>
    <row r="304" spans="1:11" x14ac:dyDescent="0.6">
      <c r="A304">
        <v>29.899999618530273</v>
      </c>
      <c r="B304" s="49">
        <v>184056.42</v>
      </c>
      <c r="K304">
        <f>INDEX(OutputValues,300,$J$4)</f>
        <v>184056.42</v>
      </c>
    </row>
    <row r="305" spans="1:11" x14ac:dyDescent="0.6">
      <c r="A305">
        <v>30</v>
      </c>
      <c r="B305" s="49">
        <v>183961.38</v>
      </c>
      <c r="K305">
        <f>INDEX(OutputValues,301,$J$4)</f>
        <v>183961.38</v>
      </c>
    </row>
    <row r="306" spans="1:11" x14ac:dyDescent="0.6">
      <c r="A306">
        <v>30.100000381469727</v>
      </c>
      <c r="B306" s="49">
        <v>183866.34</v>
      </c>
      <c r="K306">
        <f>INDEX(OutputValues,302,$J$4)</f>
        <v>183866.34</v>
      </c>
    </row>
    <row r="307" spans="1:11" x14ac:dyDescent="0.6">
      <c r="A307">
        <v>30.200000762939453</v>
      </c>
      <c r="B307" s="49">
        <v>183771.3</v>
      </c>
      <c r="K307">
        <f>INDEX(OutputValues,303,$J$4)</f>
        <v>183771.3</v>
      </c>
    </row>
    <row r="308" spans="1:11" x14ac:dyDescent="0.6">
      <c r="A308">
        <v>30.30000114440918</v>
      </c>
      <c r="B308" s="49">
        <v>183676.25</v>
      </c>
      <c r="K308">
        <f>INDEX(OutputValues,304,$J$4)</f>
        <v>183676.25</v>
      </c>
    </row>
    <row r="309" spans="1:11" x14ac:dyDescent="0.6">
      <c r="A309">
        <v>30.399999618530273</v>
      </c>
      <c r="B309" s="49">
        <v>183581.21</v>
      </c>
      <c r="K309">
        <f>INDEX(OutputValues,305,$J$4)</f>
        <v>183581.21</v>
      </c>
    </row>
    <row r="310" spans="1:11" x14ac:dyDescent="0.6">
      <c r="A310">
        <v>30.5</v>
      </c>
      <c r="B310" s="49">
        <v>183486.17</v>
      </c>
      <c r="K310">
        <f>INDEX(OutputValues,306,$J$4)</f>
        <v>183486.17</v>
      </c>
    </row>
    <row r="311" spans="1:11" x14ac:dyDescent="0.6">
      <c r="A311">
        <v>30.600000381469727</v>
      </c>
      <c r="B311" s="49">
        <v>183391.13</v>
      </c>
      <c r="K311">
        <f>INDEX(OutputValues,307,$J$4)</f>
        <v>183391.13</v>
      </c>
    </row>
    <row r="312" spans="1:11" x14ac:dyDescent="0.6">
      <c r="A312">
        <v>30.700000762939453</v>
      </c>
      <c r="B312" s="49">
        <v>183296.09</v>
      </c>
      <c r="K312">
        <f>INDEX(OutputValues,308,$J$4)</f>
        <v>183296.09</v>
      </c>
    </row>
    <row r="313" spans="1:11" x14ac:dyDescent="0.6">
      <c r="A313">
        <v>30.80000114440918</v>
      </c>
      <c r="B313" s="49">
        <v>183201.04</v>
      </c>
      <c r="K313">
        <f>INDEX(OutputValues,309,$J$4)</f>
        <v>183201.04</v>
      </c>
    </row>
    <row r="314" spans="1:11" x14ac:dyDescent="0.6">
      <c r="A314">
        <v>30.899999618530273</v>
      </c>
      <c r="B314" s="49">
        <v>183150.34</v>
      </c>
      <c r="K314">
        <f>INDEX(OutputValues,310,$J$4)</f>
        <v>183150.34</v>
      </c>
    </row>
    <row r="315" spans="1:11" x14ac:dyDescent="0.6">
      <c r="A315">
        <v>31</v>
      </c>
      <c r="B315" s="49">
        <v>183135.11</v>
      </c>
      <c r="K315">
        <f>INDEX(OutputValues,311,$J$4)</f>
        <v>183135.11</v>
      </c>
    </row>
    <row r="316" spans="1:11" x14ac:dyDescent="0.6">
      <c r="A316">
        <v>31.100000381469727</v>
      </c>
      <c r="B316" s="49">
        <v>183135.11</v>
      </c>
      <c r="K316">
        <f>INDEX(OutputValues,312,$J$4)</f>
        <v>183135.11</v>
      </c>
    </row>
    <row r="317" spans="1:11" x14ac:dyDescent="0.6">
      <c r="A317">
        <v>31.200000762939453</v>
      </c>
      <c r="B317" s="49">
        <v>183135.11</v>
      </c>
      <c r="K317">
        <f>INDEX(OutputValues,313,$J$4)</f>
        <v>183135.11</v>
      </c>
    </row>
    <row r="318" spans="1:11" x14ac:dyDescent="0.6">
      <c r="A318">
        <v>31.30000114440918</v>
      </c>
      <c r="B318" s="49">
        <v>183135.11</v>
      </c>
      <c r="K318">
        <f>INDEX(OutputValues,314,$J$4)</f>
        <v>183135.11</v>
      </c>
    </row>
    <row r="319" spans="1:11" x14ac:dyDescent="0.6">
      <c r="A319">
        <v>31.399999618530273</v>
      </c>
      <c r="B319" s="49">
        <v>183135.11</v>
      </c>
      <c r="K319">
        <f>INDEX(OutputValues,315,$J$4)</f>
        <v>183135.11</v>
      </c>
    </row>
    <row r="320" spans="1:11" x14ac:dyDescent="0.6">
      <c r="A320">
        <v>31.5</v>
      </c>
      <c r="B320" s="49">
        <v>183135.11</v>
      </c>
      <c r="K320">
        <f>INDEX(OutputValues,316,$J$4)</f>
        <v>183135.11</v>
      </c>
    </row>
    <row r="321" spans="1:11" x14ac:dyDescent="0.6">
      <c r="A321">
        <v>31.600000381469727</v>
      </c>
      <c r="B321" s="49">
        <v>183135.11</v>
      </c>
      <c r="K321">
        <f>INDEX(OutputValues,317,$J$4)</f>
        <v>183135.11</v>
      </c>
    </row>
    <row r="322" spans="1:11" x14ac:dyDescent="0.6">
      <c r="A322">
        <v>31.700000762939453</v>
      </c>
      <c r="B322" s="49">
        <v>183135.11</v>
      </c>
      <c r="K322">
        <f>INDEX(OutputValues,318,$J$4)</f>
        <v>183135.11</v>
      </c>
    </row>
    <row r="323" spans="1:11" x14ac:dyDescent="0.6">
      <c r="A323">
        <v>31.80000114440918</v>
      </c>
      <c r="B323" s="49">
        <v>183135.11</v>
      </c>
      <c r="K323">
        <f>INDEX(OutputValues,319,$J$4)</f>
        <v>183135.11</v>
      </c>
    </row>
    <row r="324" spans="1:11" x14ac:dyDescent="0.6">
      <c r="A324">
        <v>31.899999618530273</v>
      </c>
      <c r="B324" s="49">
        <v>183135.11</v>
      </c>
      <c r="K324">
        <f>INDEX(OutputValues,320,$J$4)</f>
        <v>183135.11</v>
      </c>
    </row>
    <row r="325" spans="1:11" x14ac:dyDescent="0.6">
      <c r="A325">
        <v>32</v>
      </c>
      <c r="B325" s="49">
        <v>183135.11</v>
      </c>
      <c r="K325">
        <f>INDEX(OutputValues,321,$J$4)</f>
        <v>183135.11</v>
      </c>
    </row>
    <row r="326" spans="1:11" x14ac:dyDescent="0.6">
      <c r="A326">
        <v>32.100002288818359</v>
      </c>
      <c r="B326" s="49">
        <v>183135.11</v>
      </c>
      <c r="K326">
        <f>INDEX(OutputValues,322,$J$4)</f>
        <v>183135.11</v>
      </c>
    </row>
    <row r="327" spans="1:11" x14ac:dyDescent="0.6">
      <c r="A327">
        <v>32.200000762939453</v>
      </c>
      <c r="B327" s="49">
        <v>183135.11</v>
      </c>
      <c r="K327">
        <f>INDEX(OutputValues,323,$J$4)</f>
        <v>183135.11</v>
      </c>
    </row>
    <row r="328" spans="1:11" x14ac:dyDescent="0.6">
      <c r="A328">
        <v>32.299999237060547</v>
      </c>
      <c r="B328" s="49">
        <v>183135.11</v>
      </c>
      <c r="K328">
        <f>INDEX(OutputValues,324,$J$4)</f>
        <v>183135.11</v>
      </c>
    </row>
    <row r="329" spans="1:11" x14ac:dyDescent="0.6">
      <c r="A329">
        <v>32.400001525878906</v>
      </c>
      <c r="B329" s="49">
        <v>183135.11</v>
      </c>
      <c r="K329">
        <f>INDEX(OutputValues,325,$J$4)</f>
        <v>183135.11</v>
      </c>
    </row>
    <row r="330" spans="1:11" x14ac:dyDescent="0.6">
      <c r="A330">
        <v>32.5</v>
      </c>
      <c r="B330" s="49">
        <v>183135.11</v>
      </c>
      <c r="K330">
        <f>INDEX(OutputValues,326,$J$4)</f>
        <v>183135.11</v>
      </c>
    </row>
    <row r="331" spans="1:11" x14ac:dyDescent="0.6">
      <c r="A331">
        <v>32.600002288818359</v>
      </c>
      <c r="B331" s="49">
        <v>183135.11</v>
      </c>
      <c r="K331">
        <f>INDEX(OutputValues,327,$J$4)</f>
        <v>183135.11</v>
      </c>
    </row>
    <row r="332" spans="1:11" x14ac:dyDescent="0.6">
      <c r="A332">
        <v>32.700000762939453</v>
      </c>
      <c r="B332" s="49">
        <v>183135.11</v>
      </c>
      <c r="K332">
        <f>INDEX(OutputValues,328,$J$4)</f>
        <v>183135.11</v>
      </c>
    </row>
    <row r="333" spans="1:11" x14ac:dyDescent="0.6">
      <c r="A333">
        <v>32.799999237060547</v>
      </c>
      <c r="B333" s="49">
        <v>183135.11</v>
      </c>
      <c r="K333">
        <f>INDEX(OutputValues,329,$J$4)</f>
        <v>183135.11</v>
      </c>
    </row>
    <row r="334" spans="1:11" x14ac:dyDescent="0.6">
      <c r="A334">
        <v>32.900001525878906</v>
      </c>
      <c r="B334" s="49">
        <v>183135.11</v>
      </c>
      <c r="K334">
        <f>INDEX(OutputValues,330,$J$4)</f>
        <v>183135.11</v>
      </c>
    </row>
    <row r="335" spans="1:11" x14ac:dyDescent="0.6">
      <c r="A335">
        <v>33</v>
      </c>
      <c r="B335" s="49">
        <v>183135.11</v>
      </c>
      <c r="K335">
        <f>INDEX(OutputValues,331,$J$4)</f>
        <v>183135.11</v>
      </c>
    </row>
    <row r="336" spans="1:11" x14ac:dyDescent="0.6">
      <c r="A336">
        <v>33.100002288818359</v>
      </c>
      <c r="B336" s="49">
        <v>183135.11</v>
      </c>
      <c r="K336">
        <f>INDEX(OutputValues,332,$J$4)</f>
        <v>183135.11</v>
      </c>
    </row>
    <row r="337" spans="1:11" x14ac:dyDescent="0.6">
      <c r="A337">
        <v>33.200000762939453</v>
      </c>
      <c r="B337" s="49">
        <v>183135.11</v>
      </c>
      <c r="K337">
        <f>INDEX(OutputValues,333,$J$4)</f>
        <v>183135.11</v>
      </c>
    </row>
    <row r="338" spans="1:11" x14ac:dyDescent="0.6">
      <c r="A338">
        <v>33.299999237060547</v>
      </c>
      <c r="B338" s="49">
        <v>183135.11</v>
      </c>
      <c r="K338">
        <f>INDEX(OutputValues,334,$J$4)</f>
        <v>183135.11</v>
      </c>
    </row>
    <row r="339" spans="1:11" x14ac:dyDescent="0.6">
      <c r="A339">
        <v>33.400001525878906</v>
      </c>
      <c r="B339" s="49">
        <v>183135.11</v>
      </c>
      <c r="K339">
        <f>INDEX(OutputValues,335,$J$4)</f>
        <v>183135.11</v>
      </c>
    </row>
    <row r="340" spans="1:11" x14ac:dyDescent="0.6">
      <c r="A340">
        <v>33.5</v>
      </c>
      <c r="B340" s="49">
        <v>183135.11</v>
      </c>
      <c r="K340">
        <f>INDEX(OutputValues,336,$J$4)</f>
        <v>183135.11</v>
      </c>
    </row>
    <row r="341" spans="1:11" x14ac:dyDescent="0.6">
      <c r="A341">
        <v>33.600002288818359</v>
      </c>
      <c r="B341" s="49">
        <v>183135.11</v>
      </c>
      <c r="K341">
        <f>INDEX(OutputValues,337,$J$4)</f>
        <v>183135.11</v>
      </c>
    </row>
    <row r="342" spans="1:11" x14ac:dyDescent="0.6">
      <c r="A342">
        <v>33.700000762939453</v>
      </c>
      <c r="B342" s="49">
        <v>183135.11</v>
      </c>
      <c r="K342">
        <f>INDEX(OutputValues,338,$J$4)</f>
        <v>183135.11</v>
      </c>
    </row>
    <row r="343" spans="1:11" x14ac:dyDescent="0.6">
      <c r="A343">
        <v>33.799999237060547</v>
      </c>
      <c r="B343" s="49">
        <v>183135.11</v>
      </c>
      <c r="K343">
        <f>INDEX(OutputValues,339,$J$4)</f>
        <v>183135.11</v>
      </c>
    </row>
    <row r="344" spans="1:11" x14ac:dyDescent="0.6">
      <c r="A344">
        <v>33.900001525878906</v>
      </c>
      <c r="B344" s="49">
        <v>183135.11</v>
      </c>
      <c r="K344">
        <f>INDEX(OutputValues,340,$J$4)</f>
        <v>183135.11</v>
      </c>
    </row>
    <row r="345" spans="1:11" x14ac:dyDescent="0.6">
      <c r="A345">
        <v>34</v>
      </c>
      <c r="B345" s="49">
        <v>183135.11</v>
      </c>
      <c r="K345">
        <f>INDEX(OutputValues,341,$J$4)</f>
        <v>183135.11</v>
      </c>
    </row>
    <row r="346" spans="1:11" x14ac:dyDescent="0.6">
      <c r="A346">
        <v>34.100002288818359</v>
      </c>
      <c r="B346" s="49">
        <v>183135.11</v>
      </c>
      <c r="K346">
        <f>INDEX(OutputValues,342,$J$4)</f>
        <v>183135.11</v>
      </c>
    </row>
    <row r="347" spans="1:11" x14ac:dyDescent="0.6">
      <c r="A347">
        <v>34.200000762939453</v>
      </c>
      <c r="B347" s="49">
        <v>183135.11</v>
      </c>
      <c r="K347">
        <f>INDEX(OutputValues,343,$J$4)</f>
        <v>183135.11</v>
      </c>
    </row>
    <row r="348" spans="1:11" x14ac:dyDescent="0.6">
      <c r="A348">
        <v>34.299999237060547</v>
      </c>
      <c r="B348" s="49">
        <v>183135.11</v>
      </c>
      <c r="K348">
        <f>INDEX(OutputValues,344,$J$4)</f>
        <v>183135.11</v>
      </c>
    </row>
    <row r="349" spans="1:11" x14ac:dyDescent="0.6">
      <c r="A349">
        <v>34.400001525878906</v>
      </c>
      <c r="B349" s="49">
        <v>183135.11</v>
      </c>
      <c r="K349">
        <f>INDEX(OutputValues,345,$J$4)</f>
        <v>183135.11</v>
      </c>
    </row>
    <row r="350" spans="1:11" x14ac:dyDescent="0.6">
      <c r="A350">
        <v>34.5</v>
      </c>
      <c r="B350" s="49">
        <v>183135.11</v>
      </c>
      <c r="K350">
        <f>INDEX(OutputValues,346,$J$4)</f>
        <v>183135.11</v>
      </c>
    </row>
    <row r="351" spans="1:11" x14ac:dyDescent="0.6">
      <c r="A351">
        <v>34.600002288818359</v>
      </c>
      <c r="B351" s="49">
        <v>183135.11</v>
      </c>
      <c r="K351">
        <f>INDEX(OutputValues,347,$J$4)</f>
        <v>183135.11</v>
      </c>
    </row>
    <row r="352" spans="1:11" x14ac:dyDescent="0.6">
      <c r="A352">
        <v>34.700000762939453</v>
      </c>
      <c r="B352" s="49">
        <v>183135.11</v>
      </c>
      <c r="K352">
        <f>INDEX(OutputValues,348,$J$4)</f>
        <v>183135.11</v>
      </c>
    </row>
    <row r="353" spans="1:11" x14ac:dyDescent="0.6">
      <c r="A353">
        <v>34.799999237060547</v>
      </c>
      <c r="B353" s="49">
        <v>183135.11</v>
      </c>
      <c r="K353">
        <f>INDEX(OutputValues,349,$J$4)</f>
        <v>183135.11</v>
      </c>
    </row>
    <row r="354" spans="1:11" x14ac:dyDescent="0.6">
      <c r="A354">
        <v>34.900001525878906</v>
      </c>
      <c r="B354" s="49">
        <v>183135.11</v>
      </c>
      <c r="K354">
        <f>INDEX(OutputValues,350,$J$4)</f>
        <v>183135.11</v>
      </c>
    </row>
    <row r="355" spans="1:11" x14ac:dyDescent="0.6">
      <c r="A355">
        <v>35</v>
      </c>
      <c r="B355" s="49">
        <v>183135.11</v>
      </c>
      <c r="K355">
        <f>INDEX(OutputValues,351,$J$4)</f>
        <v>183135.11</v>
      </c>
    </row>
    <row r="356" spans="1:11" x14ac:dyDescent="0.6">
      <c r="A356">
        <v>35.100002288818359</v>
      </c>
      <c r="B356" s="49">
        <v>183135.11</v>
      </c>
      <c r="K356">
        <f>INDEX(OutputValues,352,$J$4)</f>
        <v>183135.11</v>
      </c>
    </row>
    <row r="357" spans="1:11" x14ac:dyDescent="0.6">
      <c r="A357">
        <v>35.200000762939453</v>
      </c>
      <c r="B357" s="49">
        <v>183135.11</v>
      </c>
      <c r="K357">
        <f>INDEX(OutputValues,353,$J$4)</f>
        <v>183135.11</v>
      </c>
    </row>
    <row r="358" spans="1:11" x14ac:dyDescent="0.6">
      <c r="A358">
        <v>35.299999237060547</v>
      </c>
      <c r="B358" s="49">
        <v>183135.11</v>
      </c>
      <c r="K358">
        <f>INDEX(OutputValues,354,$J$4)</f>
        <v>183135.11</v>
      </c>
    </row>
    <row r="359" spans="1:11" x14ac:dyDescent="0.6">
      <c r="A359">
        <v>35.400001525878906</v>
      </c>
      <c r="B359" s="49">
        <v>183135.11</v>
      </c>
      <c r="K359">
        <f>INDEX(OutputValues,355,$J$4)</f>
        <v>183135.11</v>
      </c>
    </row>
    <row r="360" spans="1:11" x14ac:dyDescent="0.6">
      <c r="A360">
        <v>35.5</v>
      </c>
      <c r="B360" s="49">
        <v>183135.11</v>
      </c>
      <c r="K360">
        <f>INDEX(OutputValues,356,$J$4)</f>
        <v>183135.11</v>
      </c>
    </row>
    <row r="361" spans="1:11" x14ac:dyDescent="0.6">
      <c r="A361">
        <v>35.600002288818359</v>
      </c>
      <c r="B361" s="49">
        <v>183135.11</v>
      </c>
      <c r="K361">
        <f>INDEX(OutputValues,357,$J$4)</f>
        <v>183135.11</v>
      </c>
    </row>
    <row r="362" spans="1:11" x14ac:dyDescent="0.6">
      <c r="A362">
        <v>35.700000762939453</v>
      </c>
      <c r="B362" s="49">
        <v>183135.11</v>
      </c>
      <c r="K362">
        <f>INDEX(OutputValues,358,$J$4)</f>
        <v>183135.11</v>
      </c>
    </row>
    <row r="363" spans="1:11" x14ac:dyDescent="0.6">
      <c r="A363">
        <v>35.799999237060547</v>
      </c>
      <c r="B363" s="49">
        <v>183135.11</v>
      </c>
      <c r="K363">
        <f>INDEX(OutputValues,359,$J$4)</f>
        <v>183135.11</v>
      </c>
    </row>
    <row r="364" spans="1:11" x14ac:dyDescent="0.6">
      <c r="A364">
        <v>35.900001525878906</v>
      </c>
      <c r="B364" s="49">
        <v>183135.11</v>
      </c>
      <c r="K364">
        <f>INDEX(OutputValues,360,$J$4)</f>
        <v>183135.11</v>
      </c>
    </row>
    <row r="365" spans="1:11" x14ac:dyDescent="0.6">
      <c r="A365">
        <v>36</v>
      </c>
      <c r="B365" s="49">
        <v>183135.11</v>
      </c>
      <c r="K365">
        <f>INDEX(OutputValues,361,$J$4)</f>
        <v>183135.11</v>
      </c>
    </row>
    <row r="366" spans="1:11" x14ac:dyDescent="0.6">
      <c r="A366">
        <v>36.100002288818359</v>
      </c>
      <c r="B366" s="49">
        <v>183135.11</v>
      </c>
      <c r="K366">
        <f>INDEX(OutputValues,362,$J$4)</f>
        <v>183135.11</v>
      </c>
    </row>
    <row r="367" spans="1:11" x14ac:dyDescent="0.6">
      <c r="A367">
        <v>36.200000762939453</v>
      </c>
      <c r="B367" s="49">
        <v>183135.11</v>
      </c>
      <c r="K367">
        <f>INDEX(OutputValues,363,$J$4)</f>
        <v>183135.11</v>
      </c>
    </row>
    <row r="368" spans="1:11" x14ac:dyDescent="0.6">
      <c r="A368">
        <v>36.299999237060547</v>
      </c>
      <c r="B368" s="49">
        <v>183135.11</v>
      </c>
      <c r="K368">
        <f>INDEX(OutputValues,364,$J$4)</f>
        <v>183135.11</v>
      </c>
    </row>
    <row r="369" spans="1:11" x14ac:dyDescent="0.6">
      <c r="A369">
        <v>36.400001525878906</v>
      </c>
      <c r="B369" s="49">
        <v>183135.11</v>
      </c>
      <c r="K369">
        <f>INDEX(OutputValues,365,$J$4)</f>
        <v>183135.11</v>
      </c>
    </row>
    <row r="370" spans="1:11" x14ac:dyDescent="0.6">
      <c r="A370">
        <v>36.5</v>
      </c>
      <c r="B370" s="49">
        <v>183135.11</v>
      </c>
      <c r="K370">
        <f>INDEX(OutputValues,366,$J$4)</f>
        <v>183135.11</v>
      </c>
    </row>
    <row r="371" spans="1:11" x14ac:dyDescent="0.6">
      <c r="A371">
        <v>36.600002288818359</v>
      </c>
      <c r="B371" s="49">
        <v>183135.11</v>
      </c>
      <c r="K371">
        <f>INDEX(OutputValues,367,$J$4)</f>
        <v>183135.11</v>
      </c>
    </row>
    <row r="372" spans="1:11" x14ac:dyDescent="0.6">
      <c r="A372">
        <v>36.700000762939453</v>
      </c>
      <c r="B372" s="49">
        <v>183135.11</v>
      </c>
      <c r="K372">
        <f>INDEX(OutputValues,368,$J$4)</f>
        <v>183135.11</v>
      </c>
    </row>
    <row r="373" spans="1:11" x14ac:dyDescent="0.6">
      <c r="A373">
        <v>36.799999237060547</v>
      </c>
      <c r="B373" s="49">
        <v>183135.11</v>
      </c>
      <c r="K373">
        <f>INDEX(OutputValues,369,$J$4)</f>
        <v>183135.11</v>
      </c>
    </row>
    <row r="374" spans="1:11" x14ac:dyDescent="0.6">
      <c r="A374">
        <v>36.900001525878906</v>
      </c>
      <c r="B374" s="49">
        <v>183135.11</v>
      </c>
      <c r="K374">
        <f>INDEX(OutputValues,370,$J$4)</f>
        <v>183135.11</v>
      </c>
    </row>
    <row r="375" spans="1:11" x14ac:dyDescent="0.6">
      <c r="A375">
        <v>37</v>
      </c>
      <c r="B375" s="49">
        <v>183135.11</v>
      </c>
      <c r="K375">
        <f>INDEX(OutputValues,371,$J$4)</f>
        <v>183135.11</v>
      </c>
    </row>
    <row r="376" spans="1:11" x14ac:dyDescent="0.6">
      <c r="A376">
        <v>37.100002288818359</v>
      </c>
      <c r="B376" s="49">
        <v>183135.11</v>
      </c>
      <c r="K376">
        <f>INDEX(OutputValues,372,$J$4)</f>
        <v>183135.11</v>
      </c>
    </row>
    <row r="377" spans="1:11" x14ac:dyDescent="0.6">
      <c r="A377">
        <v>37.200000762939453</v>
      </c>
      <c r="B377" s="49">
        <v>183135.11</v>
      </c>
      <c r="K377">
        <f>INDEX(OutputValues,373,$J$4)</f>
        <v>183135.11</v>
      </c>
    </row>
    <row r="378" spans="1:11" x14ac:dyDescent="0.6">
      <c r="A378">
        <v>37.299999237060547</v>
      </c>
      <c r="B378" s="49">
        <v>183135.11</v>
      </c>
      <c r="K378">
        <f>INDEX(OutputValues,374,$J$4)</f>
        <v>183135.11</v>
      </c>
    </row>
    <row r="379" spans="1:11" x14ac:dyDescent="0.6">
      <c r="A379">
        <v>37.400001525878906</v>
      </c>
      <c r="B379" s="49">
        <v>183135.11</v>
      </c>
      <c r="K379">
        <f>INDEX(OutputValues,375,$J$4)</f>
        <v>183135.11</v>
      </c>
    </row>
    <row r="380" spans="1:11" x14ac:dyDescent="0.6">
      <c r="A380">
        <v>37.5</v>
      </c>
      <c r="B380" s="49">
        <v>183135.11</v>
      </c>
      <c r="K380">
        <f>INDEX(OutputValues,376,$J$4)</f>
        <v>183135.11</v>
      </c>
    </row>
    <row r="381" spans="1:11" x14ac:dyDescent="0.6">
      <c r="A381">
        <v>37.600002288818359</v>
      </c>
      <c r="B381" s="49">
        <v>183135.11</v>
      </c>
      <c r="K381">
        <f>INDEX(OutputValues,377,$J$4)</f>
        <v>183135.11</v>
      </c>
    </row>
    <row r="382" spans="1:11" x14ac:dyDescent="0.6">
      <c r="A382">
        <v>37.700000762939453</v>
      </c>
      <c r="B382" s="49">
        <v>183135.11</v>
      </c>
      <c r="K382">
        <f>INDEX(OutputValues,378,$J$4)</f>
        <v>183135.11</v>
      </c>
    </row>
    <row r="383" spans="1:11" x14ac:dyDescent="0.6">
      <c r="A383">
        <v>37.799999237060547</v>
      </c>
      <c r="B383" s="49">
        <v>183135.11</v>
      </c>
      <c r="K383">
        <f>INDEX(OutputValues,379,$J$4)</f>
        <v>183135.11</v>
      </c>
    </row>
    <row r="384" spans="1:11" x14ac:dyDescent="0.6">
      <c r="A384">
        <v>37.900001525878906</v>
      </c>
      <c r="B384" s="49">
        <v>183135.11</v>
      </c>
      <c r="K384">
        <f>INDEX(OutputValues,380,$J$4)</f>
        <v>183135.11</v>
      </c>
    </row>
    <row r="385" spans="1:11" x14ac:dyDescent="0.6">
      <c r="A385">
        <v>38</v>
      </c>
      <c r="B385" s="49">
        <v>183135.11</v>
      </c>
      <c r="K385">
        <f>INDEX(OutputValues,381,$J$4)</f>
        <v>183135.11</v>
      </c>
    </row>
    <row r="386" spans="1:11" x14ac:dyDescent="0.6">
      <c r="A386">
        <v>38.100002288818359</v>
      </c>
      <c r="B386" s="49">
        <v>183135.11</v>
      </c>
      <c r="K386">
        <f>INDEX(OutputValues,382,$J$4)</f>
        <v>183135.11</v>
      </c>
    </row>
    <row r="387" spans="1:11" x14ac:dyDescent="0.6">
      <c r="A387">
        <v>38.200000762939453</v>
      </c>
      <c r="B387" s="49">
        <v>183135.11</v>
      </c>
      <c r="K387">
        <f>INDEX(OutputValues,383,$J$4)</f>
        <v>183135.11</v>
      </c>
    </row>
    <row r="388" spans="1:11" x14ac:dyDescent="0.6">
      <c r="A388">
        <v>38.299999237060547</v>
      </c>
      <c r="B388" s="49">
        <v>183135.11</v>
      </c>
      <c r="K388">
        <f>INDEX(OutputValues,384,$J$4)</f>
        <v>183135.11</v>
      </c>
    </row>
    <row r="389" spans="1:11" x14ac:dyDescent="0.6">
      <c r="A389">
        <v>38.400001525878906</v>
      </c>
      <c r="B389" s="49">
        <v>183135.11</v>
      </c>
      <c r="K389">
        <f>INDEX(OutputValues,385,$J$4)</f>
        <v>183135.11</v>
      </c>
    </row>
    <row r="390" spans="1:11" x14ac:dyDescent="0.6">
      <c r="A390">
        <v>38.5</v>
      </c>
      <c r="B390" s="49">
        <v>183135.11</v>
      </c>
      <c r="K390">
        <f>INDEX(OutputValues,386,$J$4)</f>
        <v>183135.11</v>
      </c>
    </row>
    <row r="391" spans="1:11" x14ac:dyDescent="0.6">
      <c r="A391">
        <v>38.600002288818359</v>
      </c>
      <c r="B391" s="49">
        <v>183135.11</v>
      </c>
      <c r="K391">
        <f>INDEX(OutputValues,387,$J$4)</f>
        <v>183135.11</v>
      </c>
    </row>
    <row r="392" spans="1:11" x14ac:dyDescent="0.6">
      <c r="A392">
        <v>38.700000762939453</v>
      </c>
      <c r="B392" s="49">
        <v>183135.11</v>
      </c>
      <c r="K392">
        <f>INDEX(OutputValues,388,$J$4)</f>
        <v>183135.11</v>
      </c>
    </row>
    <row r="393" spans="1:11" x14ac:dyDescent="0.6">
      <c r="A393">
        <v>38.799999237060547</v>
      </c>
      <c r="B393" s="49">
        <v>183135.11</v>
      </c>
      <c r="K393">
        <f>INDEX(OutputValues,389,$J$4)</f>
        <v>183135.11</v>
      </c>
    </row>
    <row r="394" spans="1:11" x14ac:dyDescent="0.6">
      <c r="A394">
        <v>38.900001525878906</v>
      </c>
      <c r="B394" s="49">
        <v>183135.11</v>
      </c>
      <c r="K394">
        <f>INDEX(OutputValues,390,$J$4)</f>
        <v>183135.11</v>
      </c>
    </row>
    <row r="395" spans="1:11" x14ac:dyDescent="0.6">
      <c r="A395">
        <v>39</v>
      </c>
      <c r="B395" s="49">
        <v>183135.11</v>
      </c>
      <c r="K395">
        <f>INDEX(OutputValues,391,$J$4)</f>
        <v>183135.11</v>
      </c>
    </row>
    <row r="396" spans="1:11" x14ac:dyDescent="0.6">
      <c r="A396">
        <v>39.100002288818359</v>
      </c>
      <c r="B396" s="49">
        <v>183135.11</v>
      </c>
      <c r="K396">
        <f>INDEX(OutputValues,392,$J$4)</f>
        <v>183135.11</v>
      </c>
    </row>
    <row r="397" spans="1:11" x14ac:dyDescent="0.6">
      <c r="A397">
        <v>39.200000762939453</v>
      </c>
      <c r="B397" s="49">
        <v>183135.11</v>
      </c>
      <c r="K397">
        <f>INDEX(OutputValues,393,$J$4)</f>
        <v>183135.11</v>
      </c>
    </row>
    <row r="398" spans="1:11" x14ac:dyDescent="0.6">
      <c r="A398">
        <v>39.299999237060547</v>
      </c>
      <c r="B398" s="49">
        <v>183135.11</v>
      </c>
      <c r="K398">
        <f>INDEX(OutputValues,394,$J$4)</f>
        <v>183135.11</v>
      </c>
    </row>
    <row r="399" spans="1:11" x14ac:dyDescent="0.6">
      <c r="A399">
        <v>39.400001525878906</v>
      </c>
      <c r="B399" s="49">
        <v>183135.11</v>
      </c>
      <c r="K399">
        <f>INDEX(OutputValues,395,$J$4)</f>
        <v>183135.11</v>
      </c>
    </row>
    <row r="400" spans="1:11" x14ac:dyDescent="0.6">
      <c r="A400">
        <v>39.5</v>
      </c>
      <c r="B400" s="49">
        <v>183135.11</v>
      </c>
      <c r="K400">
        <f>INDEX(OutputValues,396,$J$4)</f>
        <v>183135.11</v>
      </c>
    </row>
    <row r="401" spans="1:11" x14ac:dyDescent="0.6">
      <c r="A401">
        <v>39.600002288818359</v>
      </c>
      <c r="B401" s="49">
        <v>183135.11</v>
      </c>
      <c r="K401">
        <f>INDEX(OutputValues,397,$J$4)</f>
        <v>183135.11</v>
      </c>
    </row>
    <row r="402" spans="1:11" x14ac:dyDescent="0.6">
      <c r="A402">
        <v>39.700000762939453</v>
      </c>
      <c r="B402" s="49">
        <v>183135.11</v>
      </c>
      <c r="K402">
        <f>INDEX(OutputValues,398,$J$4)</f>
        <v>183135.11</v>
      </c>
    </row>
    <row r="403" spans="1:11" x14ac:dyDescent="0.6">
      <c r="A403">
        <v>39.799999237060547</v>
      </c>
      <c r="B403" s="49">
        <v>183135.11</v>
      </c>
      <c r="K403">
        <f>INDEX(OutputValues,399,$J$4)</f>
        <v>183135.11</v>
      </c>
    </row>
    <row r="404" spans="1:11" x14ac:dyDescent="0.6">
      <c r="A404">
        <v>39.900001525878906</v>
      </c>
      <c r="B404" s="49">
        <v>183135.11</v>
      </c>
      <c r="K404">
        <f>INDEX(OutputValues,400,$J$4)</f>
        <v>183135.11</v>
      </c>
    </row>
    <row r="405" spans="1:11" x14ac:dyDescent="0.6">
      <c r="A405">
        <v>40</v>
      </c>
      <c r="B405" s="50">
        <v>183135.11</v>
      </c>
      <c r="K405">
        <f>INDEX(OutputValues,401,$J$4)</f>
        <v>183135.11</v>
      </c>
    </row>
  </sheetData>
  <dataValidations count="1">
    <dataValidation type="list" allowBlank="1" showInputMessage="1" showErrorMessage="1" sqref="K4" xr:uid="{029E3840-B23A-46B9-9C1D-930EF06769D4}">
      <formula1>OutputAddresses</formula1>
    </dataValidation>
  </dataValidation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0CA1-AEAF-4C44-998C-975B42D8B724}">
  <sheetPr>
    <tabColor rgb="FFFFFF99"/>
  </sheetPr>
  <dimension ref="A1:M64"/>
  <sheetViews>
    <sheetView topLeftCell="A15" workbookViewId="0">
      <selection activeCell="M42" sqref="M42"/>
    </sheetView>
  </sheetViews>
  <sheetFormatPr defaultColWidth="8.76953125" defaultRowHeight="13" x14ac:dyDescent="0.6"/>
  <cols>
    <col min="1" max="1" width="30.6796875" customWidth="1"/>
    <col min="2" max="5" width="11.6796875" customWidth="1"/>
    <col min="7" max="7" width="21.04296875" bestFit="1" customWidth="1"/>
    <col min="8" max="8" width="16.58984375" bestFit="1" customWidth="1"/>
    <col min="9" max="9" width="19.6796875" customWidth="1"/>
    <col min="10" max="10" width="14.04296875" bestFit="1" customWidth="1"/>
    <col min="11" max="11" width="15.1796875" customWidth="1"/>
    <col min="12" max="12" width="21.04296875" bestFit="1" customWidth="1"/>
    <col min="13" max="13" width="11.76953125" bestFit="1" customWidth="1"/>
  </cols>
  <sheetData>
    <row r="1" spans="1:11" x14ac:dyDescent="0.6">
      <c r="A1" s="1" t="s">
        <v>0</v>
      </c>
      <c r="G1" s="1" t="s">
        <v>59</v>
      </c>
    </row>
    <row r="4" spans="1:11" x14ac:dyDescent="0.6">
      <c r="A4" s="1" t="s">
        <v>1</v>
      </c>
      <c r="G4" s="1" t="s">
        <v>54</v>
      </c>
      <c r="K4" s="1"/>
    </row>
    <row r="5" spans="1:11" x14ac:dyDescent="0.6">
      <c r="B5" s="18" t="s">
        <v>2</v>
      </c>
      <c r="C5" s="40"/>
      <c r="D5" s="64" t="s">
        <v>3</v>
      </c>
      <c r="E5" s="64"/>
    </row>
    <row r="6" spans="1:11" x14ac:dyDescent="0.6">
      <c r="A6" t="s">
        <v>4</v>
      </c>
      <c r="B6" s="40" t="s">
        <v>5</v>
      </c>
      <c r="C6" s="40" t="s">
        <v>6</v>
      </c>
      <c r="D6" s="40" t="s">
        <v>7</v>
      </c>
      <c r="E6" s="18" t="s">
        <v>8</v>
      </c>
      <c r="H6" s="40" t="s">
        <v>7</v>
      </c>
      <c r="I6" s="18" t="s">
        <v>8</v>
      </c>
      <c r="J6" s="40" t="s">
        <v>68</v>
      </c>
    </row>
    <row r="7" spans="1:11" x14ac:dyDescent="0.6">
      <c r="B7" s="39" t="s">
        <v>9</v>
      </c>
      <c r="C7" s="39" t="s">
        <v>10</v>
      </c>
      <c r="D7" s="39" t="s">
        <v>10</v>
      </c>
      <c r="E7" s="39" t="s">
        <v>10</v>
      </c>
      <c r="G7" s="21" t="s">
        <v>61</v>
      </c>
    </row>
    <row r="8" spans="1:11" x14ac:dyDescent="0.6">
      <c r="A8" s="6" t="s">
        <v>11</v>
      </c>
      <c r="B8" s="19">
        <v>1000</v>
      </c>
      <c r="C8" s="7">
        <v>25.2</v>
      </c>
      <c r="D8" s="7">
        <v>5</v>
      </c>
      <c r="E8" s="7">
        <v>11.6</v>
      </c>
      <c r="G8" s="6" t="s">
        <v>11</v>
      </c>
      <c r="H8" s="37">
        <v>1000</v>
      </c>
      <c r="I8" s="37">
        <v>0</v>
      </c>
      <c r="J8">
        <f>SUM(H8:I8)</f>
        <v>1000</v>
      </c>
    </row>
    <row r="9" spans="1:11" x14ac:dyDescent="0.6">
      <c r="A9" s="6" t="s">
        <v>12</v>
      </c>
      <c r="B9" s="19">
        <v>1583</v>
      </c>
      <c r="C9" s="7">
        <v>24.5</v>
      </c>
      <c r="D9" s="7">
        <v>5</v>
      </c>
      <c r="E9" s="7">
        <v>13.7</v>
      </c>
      <c r="G9" s="6" t="s">
        <v>12</v>
      </c>
      <c r="H9" s="37">
        <v>1583</v>
      </c>
      <c r="I9" s="37">
        <v>0</v>
      </c>
      <c r="J9">
        <f>SUM(H9:I9)</f>
        <v>1583</v>
      </c>
    </row>
    <row r="10" spans="1:11" x14ac:dyDescent="0.6">
      <c r="A10" s="5" t="s">
        <v>13</v>
      </c>
      <c r="B10" s="19">
        <v>2140</v>
      </c>
      <c r="C10" s="7">
        <v>25.5</v>
      </c>
      <c r="D10" s="7">
        <v>19.600000000000001</v>
      </c>
      <c r="E10" s="7">
        <v>11.5</v>
      </c>
      <c r="G10" s="5" t="s">
        <v>13</v>
      </c>
      <c r="H10" s="37">
        <v>0</v>
      </c>
      <c r="I10" s="37">
        <v>2140</v>
      </c>
      <c r="J10">
        <f>SUM(H10:I10)</f>
        <v>2140</v>
      </c>
    </row>
    <row r="11" spans="1:11" x14ac:dyDescent="0.6">
      <c r="A11" s="5" t="s">
        <v>14</v>
      </c>
      <c r="B11" s="19">
        <v>1370</v>
      </c>
      <c r="C11" s="7">
        <v>23.3</v>
      </c>
      <c r="D11" s="7">
        <v>4</v>
      </c>
      <c r="E11" s="7">
        <v>10.6</v>
      </c>
      <c r="G11" s="5" t="s">
        <v>14</v>
      </c>
      <c r="H11" s="37">
        <v>530.18024471680542</v>
      </c>
      <c r="I11" s="37">
        <v>839.81975528319458</v>
      </c>
      <c r="J11">
        <f>SUM(H11:I11)</f>
        <v>1370</v>
      </c>
    </row>
    <row r="12" spans="1:11" x14ac:dyDescent="0.6">
      <c r="A12" s="5" t="s">
        <v>15</v>
      </c>
      <c r="B12" s="19">
        <v>2000</v>
      </c>
      <c r="C12" s="7">
        <v>24.2</v>
      </c>
      <c r="D12" s="7">
        <v>4.2</v>
      </c>
      <c r="E12" s="7">
        <v>12.1</v>
      </c>
      <c r="G12" s="5" t="s">
        <v>15</v>
      </c>
      <c r="H12" s="37">
        <v>2000.0000000000002</v>
      </c>
      <c r="I12" s="37">
        <v>0</v>
      </c>
      <c r="J12">
        <f>SUM(H12:I12)</f>
        <v>2000.0000000000002</v>
      </c>
    </row>
    <row r="13" spans="1:11" x14ac:dyDescent="0.6">
      <c r="A13" s="5" t="s">
        <v>16</v>
      </c>
      <c r="B13" s="19">
        <v>1850</v>
      </c>
      <c r="C13" s="7">
        <v>23.3</v>
      </c>
      <c r="D13" s="7">
        <v>7.65</v>
      </c>
      <c r="E13" s="7">
        <v>11</v>
      </c>
      <c r="G13" s="5" t="s">
        <v>16</v>
      </c>
      <c r="H13" s="37">
        <v>0</v>
      </c>
      <c r="I13" s="37">
        <v>1850</v>
      </c>
      <c r="J13">
        <f>SUM(H13:I13)</f>
        <v>1850</v>
      </c>
    </row>
    <row r="14" spans="1:11" x14ac:dyDescent="0.6">
      <c r="A14" s="5" t="s">
        <v>17</v>
      </c>
      <c r="B14" s="19">
        <v>1260</v>
      </c>
      <c r="C14" s="7">
        <v>23.3</v>
      </c>
      <c r="D14" s="7">
        <v>14.7</v>
      </c>
      <c r="E14" s="7">
        <v>4.8</v>
      </c>
      <c r="G14" s="5" t="s">
        <v>17</v>
      </c>
      <c r="H14" s="37">
        <v>0</v>
      </c>
      <c r="I14" s="37">
        <v>1260</v>
      </c>
      <c r="J14">
        <f>SUM(H14:I14)</f>
        <v>1260</v>
      </c>
    </row>
    <row r="15" spans="1:11" x14ac:dyDescent="0.6">
      <c r="A15" s="5" t="s">
        <v>18</v>
      </c>
      <c r="B15" s="19">
        <v>1700</v>
      </c>
      <c r="C15" s="7">
        <v>24.2</v>
      </c>
      <c r="D15" s="7">
        <v>16.3</v>
      </c>
      <c r="E15" s="7">
        <v>10.3</v>
      </c>
      <c r="G15" s="5" t="s">
        <v>18</v>
      </c>
      <c r="H15" s="37">
        <v>0</v>
      </c>
      <c r="I15" s="37">
        <v>1700</v>
      </c>
      <c r="J15">
        <f>SUM(H15:I15)</f>
        <v>1700</v>
      </c>
    </row>
    <row r="16" spans="1:11" x14ac:dyDescent="0.6">
      <c r="H16" s="36">
        <f>SUM(H8:H15)</f>
        <v>5113.1802447168056</v>
      </c>
      <c r="I16" s="36">
        <f>SUM(I8:I15)</f>
        <v>7789.8197552831944</v>
      </c>
    </row>
    <row r="17" spans="1:13" x14ac:dyDescent="0.6">
      <c r="G17" s="21" t="s">
        <v>62</v>
      </c>
      <c r="H17" s="40" t="s">
        <v>7</v>
      </c>
      <c r="I17" s="18" t="s">
        <v>8</v>
      </c>
    </row>
    <row r="18" spans="1:13" x14ac:dyDescent="0.6">
      <c r="A18" s="1" t="s">
        <v>19</v>
      </c>
      <c r="G18" s="5" t="s">
        <v>39</v>
      </c>
      <c r="H18" s="37">
        <v>276.19402985074589</v>
      </c>
      <c r="I18" s="37">
        <v>0</v>
      </c>
      <c r="J18" s="36">
        <f>SUM(H18:I18)</f>
        <v>276.19402985074589</v>
      </c>
      <c r="L18" s="36"/>
      <c r="M18" s="36"/>
    </row>
    <row r="19" spans="1:13" x14ac:dyDescent="0.6">
      <c r="B19" s="40" t="s">
        <v>7</v>
      </c>
      <c r="C19" s="18" t="s">
        <v>8</v>
      </c>
      <c r="G19" t="s">
        <v>40</v>
      </c>
      <c r="H19" s="37">
        <v>0</v>
      </c>
      <c r="I19" s="37">
        <v>0</v>
      </c>
      <c r="J19" s="36">
        <f>SUM(H19:I19)</f>
        <v>0</v>
      </c>
      <c r="L19" s="36"/>
      <c r="M19" s="36"/>
    </row>
    <row r="20" spans="1:13" x14ac:dyDescent="0.6">
      <c r="A20" s="5" t="s">
        <v>20</v>
      </c>
      <c r="G20" t="s">
        <v>41</v>
      </c>
      <c r="H20" s="37">
        <v>0</v>
      </c>
      <c r="I20" s="37">
        <v>800</v>
      </c>
      <c r="J20" s="36">
        <f>SUM(H20:I20)</f>
        <v>800</v>
      </c>
      <c r="L20" s="36"/>
      <c r="M20" s="36"/>
    </row>
    <row r="21" spans="1:13" x14ac:dyDescent="0.6">
      <c r="A21" t="s">
        <v>21</v>
      </c>
      <c r="B21" s="8">
        <v>2.7E-2</v>
      </c>
      <c r="C21" s="8">
        <v>2.7E-2</v>
      </c>
      <c r="G21" t="s">
        <v>42</v>
      </c>
      <c r="H21" s="37">
        <v>775</v>
      </c>
      <c r="I21" s="37">
        <v>0</v>
      </c>
      <c r="J21" s="36">
        <f>SUM(H21:I21)</f>
        <v>775</v>
      </c>
      <c r="L21" s="36"/>
      <c r="M21" s="36"/>
    </row>
    <row r="22" spans="1:13" x14ac:dyDescent="0.6">
      <c r="G22" t="s">
        <v>43</v>
      </c>
      <c r="H22" s="37">
        <v>0</v>
      </c>
      <c r="I22" s="37">
        <v>970</v>
      </c>
      <c r="J22" s="36">
        <f>SUM(H22:I22)</f>
        <v>970</v>
      </c>
      <c r="L22" s="36"/>
      <c r="M22" s="36"/>
    </row>
    <row r="23" spans="1:13" x14ac:dyDescent="0.6">
      <c r="A23" s="5" t="s">
        <v>22</v>
      </c>
      <c r="G23" s="5" t="s">
        <v>44</v>
      </c>
      <c r="H23" s="37">
        <v>0</v>
      </c>
      <c r="I23" s="37">
        <v>86.904848920398081</v>
      </c>
      <c r="J23" s="36">
        <f>SUM(H23:I23)</f>
        <v>86.904848920398081</v>
      </c>
      <c r="L23" s="36"/>
      <c r="M23" s="36"/>
    </row>
    <row r="24" spans="1:13" x14ac:dyDescent="0.6">
      <c r="A24" t="s">
        <v>23</v>
      </c>
      <c r="B24" s="8">
        <v>0.35399999999999998</v>
      </c>
      <c r="C24" s="8">
        <v>0.307</v>
      </c>
      <c r="G24" t="s">
        <v>45</v>
      </c>
      <c r="H24" s="37">
        <v>400</v>
      </c>
      <c r="I24" s="37">
        <v>0</v>
      </c>
      <c r="J24" s="36">
        <f>SUM(H24:I24)</f>
        <v>400</v>
      </c>
      <c r="L24" s="36"/>
      <c r="M24" s="36"/>
    </row>
    <row r="25" spans="1:13" x14ac:dyDescent="0.6">
      <c r="A25" t="s">
        <v>24</v>
      </c>
      <c r="B25" s="8">
        <v>0.40200000000000002</v>
      </c>
      <c r="C25" s="8">
        <v>0.45600000000000002</v>
      </c>
      <c r="G25" t="s">
        <v>46</v>
      </c>
      <c r="H25" s="37">
        <v>310</v>
      </c>
      <c r="I25" s="37">
        <v>0</v>
      </c>
      <c r="J25" s="36">
        <f>SUM(H25:I25)</f>
        <v>310</v>
      </c>
      <c r="L25" s="36"/>
      <c r="M25" s="36"/>
    </row>
    <row r="26" spans="1:13" x14ac:dyDescent="0.6">
      <c r="A26" t="s">
        <v>69</v>
      </c>
      <c r="B26" s="8">
        <f>1-SUM(B24:B25)</f>
        <v>0.24399999999999999</v>
      </c>
      <c r="C26" s="8">
        <f>1-SUM(C24:C25)</f>
        <v>0.23699999999999999</v>
      </c>
      <c r="G26" t="s">
        <v>47</v>
      </c>
      <c r="H26" s="37">
        <v>0</v>
      </c>
      <c r="I26" s="37">
        <v>470</v>
      </c>
      <c r="J26" s="36">
        <f>SUM(H26:I26)</f>
        <v>470</v>
      </c>
      <c r="L26" s="36"/>
      <c r="M26" s="36"/>
    </row>
    <row r="27" spans="1:13" x14ac:dyDescent="0.6">
      <c r="G27" t="s">
        <v>68</v>
      </c>
      <c r="H27" s="36">
        <f>SUM(H18:H26)</f>
        <v>1761.1940298507459</v>
      </c>
      <c r="I27" s="36">
        <f>SUM(I18:I26)</f>
        <v>2326.9048489203979</v>
      </c>
    </row>
    <row r="28" spans="1:13" x14ac:dyDescent="0.6">
      <c r="A28" t="s">
        <v>25</v>
      </c>
    </row>
    <row r="29" spans="1:13" x14ac:dyDescent="0.6">
      <c r="A29" t="s">
        <v>53</v>
      </c>
      <c r="B29" s="9">
        <v>31</v>
      </c>
      <c r="C29" s="9">
        <v>38</v>
      </c>
    </row>
    <row r="30" spans="1:13" x14ac:dyDescent="0.6">
      <c r="A30" s="5" t="s">
        <v>26</v>
      </c>
      <c r="B30" s="9">
        <v>10000</v>
      </c>
      <c r="C30" s="9">
        <v>14200</v>
      </c>
      <c r="G30" s="1" t="s">
        <v>70</v>
      </c>
    </row>
    <row r="31" spans="1:13" x14ac:dyDescent="0.6">
      <c r="H31" s="40" t="s">
        <v>7</v>
      </c>
      <c r="I31" s="18" t="s">
        <v>8</v>
      </c>
      <c r="J31" s="40" t="s">
        <v>268</v>
      </c>
    </row>
    <row r="32" spans="1:13" x14ac:dyDescent="0.6">
      <c r="A32" s="5" t="s">
        <v>27</v>
      </c>
      <c r="G32" t="s">
        <v>63</v>
      </c>
      <c r="H32" s="36">
        <f>SUM($H$8:$H$15)*(1-$B$21)*$B$24</f>
        <v>1761.1940298507459</v>
      </c>
      <c r="I32" s="36">
        <f>SUM($I$8:$I$15)*(1-$C$21)*$C$24</f>
        <v>2326.9048489203983</v>
      </c>
      <c r="J32" s="36">
        <f>SUM(H32:I32)</f>
        <v>4088.098878771144</v>
      </c>
    </row>
    <row r="33" spans="1:10" x14ac:dyDescent="0.6">
      <c r="A33" s="5" t="s">
        <v>28</v>
      </c>
      <c r="B33" s="9">
        <v>8030</v>
      </c>
      <c r="C33" s="9">
        <v>8780</v>
      </c>
      <c r="G33" t="s">
        <v>24</v>
      </c>
      <c r="H33" s="36">
        <f>SUM($H$8:$H$15)*(1-$B$21)*$B$25</f>
        <v>1999.9999999999998</v>
      </c>
      <c r="I33" s="36">
        <f>SUM($I$8:$I$15)*(1-$C$21)*$C$25</f>
        <v>3456.2495475820901</v>
      </c>
      <c r="J33" s="36">
        <f>SUM(H33:I33)</f>
        <v>5456.2495475820897</v>
      </c>
    </row>
    <row r="34" spans="1:10" x14ac:dyDescent="0.6">
      <c r="A34" t="s">
        <v>29</v>
      </c>
      <c r="B34" s="9">
        <v>2000</v>
      </c>
      <c r="C34" s="9">
        <v>4000</v>
      </c>
      <c r="G34" t="s">
        <v>52</v>
      </c>
      <c r="H34" s="36">
        <f>SUM($H$8:$H$15)*(1-$B$21)*$B$26</f>
        <v>1213.9303482587061</v>
      </c>
      <c r="I34" s="36">
        <f>SUM($I$8:$I$15)*(1-$C$21)*$C$26</f>
        <v>1796.3402253880597</v>
      </c>
      <c r="J34" s="36">
        <f>SUM(H34:I34)</f>
        <v>3010.270573646766</v>
      </c>
    </row>
    <row r="35" spans="1:10" x14ac:dyDescent="0.6">
      <c r="G35" t="s">
        <v>267</v>
      </c>
      <c r="H35" s="36">
        <f>SUM(H32:H34)</f>
        <v>4975.1243781094518</v>
      </c>
      <c r="I35" s="36">
        <f>SUM(I32:I34)</f>
        <v>7579.4946218905479</v>
      </c>
    </row>
    <row r="36" spans="1:10" x14ac:dyDescent="0.6">
      <c r="A36" t="s">
        <v>30</v>
      </c>
    </row>
    <row r="37" spans="1:10" x14ac:dyDescent="0.6">
      <c r="A37" t="s">
        <v>31</v>
      </c>
      <c r="B37" s="26">
        <v>0.5</v>
      </c>
      <c r="C37" s="26">
        <v>0.5</v>
      </c>
      <c r="G37" s="1"/>
      <c r="H37" s="40" t="s">
        <v>7</v>
      </c>
      <c r="I37" s="18" t="s">
        <v>8</v>
      </c>
    </row>
    <row r="38" spans="1:10" x14ac:dyDescent="0.6">
      <c r="A38" t="s">
        <v>32</v>
      </c>
      <c r="B38" s="26">
        <v>1</v>
      </c>
      <c r="C38" s="26">
        <v>1</v>
      </c>
      <c r="G38" s="40" t="s">
        <v>23</v>
      </c>
    </row>
    <row r="39" spans="1:10" x14ac:dyDescent="0.6">
      <c r="B39" s="10"/>
      <c r="C39" s="10"/>
      <c r="G39" t="s">
        <v>60</v>
      </c>
      <c r="H39" s="19">
        <f>$B$33*$B$37</f>
        <v>4015</v>
      </c>
      <c r="I39" s="19">
        <f>$C$33*$C$37</f>
        <v>4390</v>
      </c>
    </row>
    <row r="40" spans="1:10" x14ac:dyDescent="0.6">
      <c r="G40" s="6" t="s">
        <v>35</v>
      </c>
      <c r="H40" s="19">
        <f>$B$33*$B$38</f>
        <v>8030</v>
      </c>
      <c r="I40" s="19">
        <f>$C$33*$C$38</f>
        <v>8780</v>
      </c>
    </row>
    <row r="41" spans="1:10" x14ac:dyDescent="0.6">
      <c r="A41" s="1" t="s">
        <v>33</v>
      </c>
      <c r="G41" s="5"/>
    </row>
    <row r="42" spans="1:10" x14ac:dyDescent="0.6">
      <c r="G42" s="40" t="s">
        <v>24</v>
      </c>
    </row>
    <row r="43" spans="1:10" x14ac:dyDescent="0.6">
      <c r="B43" s="18" t="s">
        <v>34</v>
      </c>
      <c r="C43" s="18" t="s">
        <v>35</v>
      </c>
      <c r="D43" s="64" t="s">
        <v>36</v>
      </c>
      <c r="E43" s="64"/>
      <c r="G43" s="6" t="s">
        <v>60</v>
      </c>
      <c r="H43" s="19">
        <f>$B$34*$B$37</f>
        <v>1000</v>
      </c>
      <c r="I43" s="19">
        <f>$C$34*$C$37</f>
        <v>2000</v>
      </c>
    </row>
    <row r="44" spans="1:10" x14ac:dyDescent="0.6">
      <c r="A44" s="5" t="s">
        <v>37</v>
      </c>
      <c r="B44" s="40" t="s">
        <v>5</v>
      </c>
      <c r="C44" s="18" t="s">
        <v>38</v>
      </c>
      <c r="D44" s="40" t="s">
        <v>7</v>
      </c>
      <c r="E44" s="18" t="s">
        <v>8</v>
      </c>
      <c r="G44" s="6" t="s">
        <v>35</v>
      </c>
      <c r="H44" s="19">
        <f>$B$34*$B$38</f>
        <v>2000</v>
      </c>
      <c r="I44" s="19">
        <f>$C$34*$C$38</f>
        <v>4000</v>
      </c>
    </row>
    <row r="45" spans="1:10" x14ac:dyDescent="0.6">
      <c r="B45" s="12" t="s">
        <v>9</v>
      </c>
      <c r="C45" s="12" t="s">
        <v>9</v>
      </c>
      <c r="D45" s="39" t="s">
        <v>10</v>
      </c>
      <c r="E45" s="39" t="s">
        <v>10</v>
      </c>
      <c r="G45" s="5"/>
    </row>
    <row r="46" spans="1:10" x14ac:dyDescent="0.6">
      <c r="A46" s="5" t="s">
        <v>39</v>
      </c>
      <c r="B46" s="19">
        <v>0</v>
      </c>
      <c r="C46" s="19">
        <v>900</v>
      </c>
      <c r="D46" s="7">
        <v>26</v>
      </c>
      <c r="E46" s="7">
        <v>30.1</v>
      </c>
    </row>
    <row r="47" spans="1:10" x14ac:dyDescent="0.6">
      <c r="A47" t="s">
        <v>40</v>
      </c>
      <c r="B47" s="19">
        <v>0</v>
      </c>
      <c r="C47" s="19">
        <v>1150</v>
      </c>
      <c r="D47" s="7">
        <v>51.7</v>
      </c>
      <c r="E47" s="7">
        <v>31.7</v>
      </c>
      <c r="G47" s="1" t="s">
        <v>55</v>
      </c>
      <c r="I47" s="40"/>
    </row>
    <row r="48" spans="1:10" x14ac:dyDescent="0.6">
      <c r="A48" t="s">
        <v>41</v>
      </c>
      <c r="B48" s="19">
        <v>0</v>
      </c>
      <c r="C48" s="19">
        <v>800</v>
      </c>
      <c r="D48" s="7">
        <v>16.600000000000001</v>
      </c>
      <c r="E48" s="7">
        <v>7.3</v>
      </c>
      <c r="G48" t="s">
        <v>56</v>
      </c>
      <c r="H48" s="22">
        <f>SUM($J$18:$J$26)*$B$63 + $J$34*$B$64 + $H$33*$B$61 + $I$33*$B$62</f>
        <v>1140865.7561142438</v>
      </c>
    </row>
    <row r="49" spans="1:8" x14ac:dyDescent="0.6">
      <c r="A49" t="s">
        <v>42</v>
      </c>
      <c r="B49" s="19">
        <v>0</v>
      </c>
      <c r="C49" s="19">
        <v>775</v>
      </c>
      <c r="D49" s="7">
        <v>16.2</v>
      </c>
      <c r="E49" s="7">
        <v>21.5</v>
      </c>
      <c r="G49" t="s">
        <v>67</v>
      </c>
      <c r="H49" s="22">
        <f>SUMPRODUCT($C$8:$C$15,$H$8:$H$15)+SUMPRODUCT($C$8:$C$15,$I$8:$I$15)</f>
        <v>312477.5</v>
      </c>
    </row>
    <row r="50" spans="1:8" x14ac:dyDescent="0.6">
      <c r="A50" t="s">
        <v>43</v>
      </c>
      <c r="B50" s="19">
        <v>0</v>
      </c>
      <c r="C50" s="19">
        <v>970</v>
      </c>
      <c r="D50" s="7">
        <v>24.5</v>
      </c>
      <c r="E50" s="7">
        <v>13.2</v>
      </c>
      <c r="G50" t="s">
        <v>64</v>
      </c>
      <c r="H50" s="22">
        <f>SUMPRODUCT($D$8:$E$15,$H$8:$I$15)+SUMPRODUCT($H$18:$I$26,$D$46:$E$54)</f>
        <v>161841.19093075962</v>
      </c>
    </row>
    <row r="51" spans="1:8" x14ac:dyDescent="0.6">
      <c r="A51" s="5" t="s">
        <v>44</v>
      </c>
      <c r="B51" s="19">
        <v>0</v>
      </c>
      <c r="C51" s="19">
        <v>200</v>
      </c>
      <c r="D51" s="7">
        <v>26.3</v>
      </c>
      <c r="E51" s="7">
        <v>28</v>
      </c>
      <c r="G51" t="s">
        <v>65</v>
      </c>
      <c r="H51" s="22">
        <f>SUM($H$8:$H$15)*(1-$B$21)*$B$29 + SUM($I$8:$I$15)*(1-$C$21)*$C$29 +SUM($B$30:$C$30)</f>
        <v>466449.65135323384</v>
      </c>
    </row>
    <row r="52" spans="1:8" x14ac:dyDescent="0.6">
      <c r="A52" t="s">
        <v>45</v>
      </c>
      <c r="B52" s="19">
        <v>0</v>
      </c>
      <c r="C52" s="19">
        <v>400</v>
      </c>
      <c r="D52" s="7">
        <v>21.3</v>
      </c>
      <c r="E52" s="7">
        <v>46.2</v>
      </c>
      <c r="G52" t="s">
        <v>66</v>
      </c>
      <c r="H52" s="22">
        <f>SUM($H$49:$H$51)</f>
        <v>940768.34228399349</v>
      </c>
    </row>
    <row r="53" spans="1:8" x14ac:dyDescent="0.6">
      <c r="A53" t="s">
        <v>46</v>
      </c>
      <c r="B53" s="19">
        <v>0</v>
      </c>
      <c r="C53" s="19">
        <v>310</v>
      </c>
      <c r="D53" s="7">
        <v>15.3</v>
      </c>
      <c r="E53" s="7">
        <v>28.4</v>
      </c>
      <c r="G53" t="s">
        <v>58</v>
      </c>
      <c r="H53" s="23">
        <f>$H$48-$H$52</f>
        <v>200097.41383025027</v>
      </c>
    </row>
    <row r="54" spans="1:8" x14ac:dyDescent="0.6">
      <c r="A54" t="s">
        <v>47</v>
      </c>
      <c r="B54" s="19">
        <v>0</v>
      </c>
      <c r="C54" s="19">
        <v>470</v>
      </c>
      <c r="D54" s="7">
        <v>24.3</v>
      </c>
      <c r="E54" s="7">
        <v>14.7</v>
      </c>
    </row>
    <row r="57" spans="1:8" x14ac:dyDescent="0.6">
      <c r="A57" s="1" t="s">
        <v>48</v>
      </c>
    </row>
    <row r="59" spans="1:8" x14ac:dyDescent="0.6">
      <c r="A59" t="s">
        <v>49</v>
      </c>
      <c r="B59" s="40" t="s">
        <v>6</v>
      </c>
    </row>
    <row r="60" spans="1:8" x14ac:dyDescent="0.6">
      <c r="B60" s="39" t="s">
        <v>10</v>
      </c>
    </row>
    <row r="61" spans="1:8" x14ac:dyDescent="0.6">
      <c r="A61" t="s">
        <v>50</v>
      </c>
      <c r="B61">
        <v>200</v>
      </c>
    </row>
    <row r="62" spans="1:8" x14ac:dyDescent="0.6">
      <c r="A62" s="5" t="s">
        <v>51</v>
      </c>
      <c r="B62">
        <v>150</v>
      </c>
    </row>
    <row r="63" spans="1:8" x14ac:dyDescent="0.6">
      <c r="A63" t="s">
        <v>23</v>
      </c>
      <c r="B63">
        <v>36</v>
      </c>
    </row>
    <row r="64" spans="1:8" x14ac:dyDescent="0.6">
      <c r="A64" t="s">
        <v>52</v>
      </c>
      <c r="B64">
        <v>25</v>
      </c>
    </row>
  </sheetData>
  <mergeCells count="2">
    <mergeCell ref="D5:E5"/>
    <mergeCell ref="D43:E43"/>
  </mergeCells>
  <printOptions headings="1"/>
  <pageMargins left="0.75" right="0.75" top="1" bottom="1" header="0.5" footer="0.5"/>
  <pageSetup orientation="portrait" horizontalDpi="429496729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EFA1B-FFD5-4B5A-8D90-44B648463E5B}">
  <sheetPr>
    <tabColor rgb="FFFFFF99"/>
  </sheetPr>
  <dimension ref="A1:G94"/>
  <sheetViews>
    <sheetView showGridLines="0" topLeftCell="A44" workbookViewId="0">
      <selection activeCell="M42" sqref="M42"/>
    </sheetView>
  </sheetViews>
  <sheetFormatPr defaultRowHeight="13" x14ac:dyDescent="0.6"/>
  <cols>
    <col min="1" max="1" width="2.1328125" customWidth="1"/>
    <col min="2" max="2" width="6" bestFit="1" customWidth="1"/>
    <col min="3" max="3" width="19.453125" bestFit="1" customWidth="1"/>
    <col min="4" max="4" width="13.1796875" bestFit="1" customWidth="1"/>
    <col min="5" max="5" width="13.453125" bestFit="1" customWidth="1"/>
    <col min="6" max="6" width="10.04296875" bestFit="1" customWidth="1"/>
    <col min="7" max="7" width="11.7265625" bestFit="1" customWidth="1"/>
  </cols>
  <sheetData>
    <row r="1" spans="1:5" x14ac:dyDescent="0.6">
      <c r="A1" s="1" t="s">
        <v>84</v>
      </c>
    </row>
    <row r="2" spans="1:5" x14ac:dyDescent="0.6">
      <c r="A2" s="1" t="s">
        <v>348</v>
      </c>
    </row>
    <row r="3" spans="1:5" x14ac:dyDescent="0.6">
      <c r="A3" s="1" t="s">
        <v>347</v>
      </c>
    </row>
    <row r="4" spans="1:5" x14ac:dyDescent="0.6">
      <c r="A4" s="1" t="s">
        <v>86</v>
      </c>
    </row>
    <row r="5" spans="1:5" x14ac:dyDescent="0.6">
      <c r="A5" s="1" t="s">
        <v>87</v>
      </c>
    </row>
    <row r="6" spans="1:5" x14ac:dyDescent="0.6">
      <c r="A6" s="1"/>
      <c r="B6" t="s">
        <v>88</v>
      </c>
    </row>
    <row r="7" spans="1:5" x14ac:dyDescent="0.6">
      <c r="A7" s="1"/>
      <c r="B7" t="s">
        <v>346</v>
      </c>
    </row>
    <row r="8" spans="1:5" x14ac:dyDescent="0.6">
      <c r="A8" s="1"/>
      <c r="B8" t="s">
        <v>345</v>
      </c>
    </row>
    <row r="9" spans="1:5" x14ac:dyDescent="0.6">
      <c r="A9" s="1" t="s">
        <v>91</v>
      </c>
    </row>
    <row r="10" spans="1:5" x14ac:dyDescent="0.6">
      <c r="B10" t="s">
        <v>92</v>
      </c>
    </row>
    <row r="11" spans="1:5" x14ac:dyDescent="0.6">
      <c r="B11" t="s">
        <v>93</v>
      </c>
    </row>
    <row r="14" spans="1:5" ht="13.75" thickBot="1" x14ac:dyDescent="0.75">
      <c r="A14" t="s">
        <v>94</v>
      </c>
    </row>
    <row r="15" spans="1:5" ht="13.75" thickBot="1" x14ac:dyDescent="0.75">
      <c r="B15" s="72" t="s">
        <v>72</v>
      </c>
      <c r="C15" s="72" t="s">
        <v>73</v>
      </c>
      <c r="D15" s="72" t="s">
        <v>95</v>
      </c>
      <c r="E15" s="72" t="s">
        <v>96</v>
      </c>
    </row>
    <row r="16" spans="1:5" ht="13.75" thickBot="1" x14ac:dyDescent="0.75">
      <c r="B16" s="69" t="s">
        <v>274</v>
      </c>
      <c r="C16" s="69" t="s">
        <v>58</v>
      </c>
      <c r="D16" s="73">
        <v>183135.10759999999</v>
      </c>
      <c r="E16" s="73">
        <v>200097.41380000001</v>
      </c>
    </row>
    <row r="19" spans="1:6" ht="13.75" thickBot="1" x14ac:dyDescent="0.75">
      <c r="A19" t="s">
        <v>97</v>
      </c>
    </row>
    <row r="20" spans="1:6" ht="13.75" thickBot="1" x14ac:dyDescent="0.75">
      <c r="B20" s="72" t="s">
        <v>72</v>
      </c>
      <c r="C20" s="72" t="s">
        <v>73</v>
      </c>
      <c r="D20" s="72" t="s">
        <v>95</v>
      </c>
      <c r="E20" s="72" t="s">
        <v>96</v>
      </c>
      <c r="F20" s="72" t="s">
        <v>98</v>
      </c>
    </row>
    <row r="21" spans="1:6" x14ac:dyDescent="0.6">
      <c r="B21" s="70" t="s">
        <v>101</v>
      </c>
      <c r="C21" s="70" t="s">
        <v>102</v>
      </c>
      <c r="D21" s="71">
        <v>1000</v>
      </c>
      <c r="E21" s="71">
        <v>1000</v>
      </c>
      <c r="F21" s="70" t="s">
        <v>103</v>
      </c>
    </row>
    <row r="22" spans="1:6" x14ac:dyDescent="0.6">
      <c r="B22" s="70" t="s">
        <v>104</v>
      </c>
      <c r="C22" s="70" t="s">
        <v>105</v>
      </c>
      <c r="D22" s="71">
        <v>0</v>
      </c>
      <c r="E22" s="71">
        <v>0</v>
      </c>
      <c r="F22" s="70" t="s">
        <v>103</v>
      </c>
    </row>
    <row r="23" spans="1:6" x14ac:dyDescent="0.6">
      <c r="B23" s="70" t="s">
        <v>106</v>
      </c>
      <c r="C23" s="70" t="s">
        <v>107</v>
      </c>
      <c r="D23" s="71">
        <v>1583</v>
      </c>
      <c r="E23" s="71">
        <v>1583</v>
      </c>
      <c r="F23" s="70" t="s">
        <v>103</v>
      </c>
    </row>
    <row r="24" spans="1:6" x14ac:dyDescent="0.6">
      <c r="B24" s="70" t="s">
        <v>108</v>
      </c>
      <c r="C24" s="70" t="s">
        <v>109</v>
      </c>
      <c r="D24" s="71">
        <v>0</v>
      </c>
      <c r="E24" s="71">
        <v>0</v>
      </c>
      <c r="F24" s="70" t="s">
        <v>103</v>
      </c>
    </row>
    <row r="25" spans="1:6" x14ac:dyDescent="0.6">
      <c r="B25" s="70" t="s">
        <v>110</v>
      </c>
      <c r="C25" s="70" t="s">
        <v>111</v>
      </c>
      <c r="D25" s="71">
        <v>0</v>
      </c>
      <c r="E25" s="71">
        <v>0</v>
      </c>
      <c r="F25" s="70" t="s">
        <v>103</v>
      </c>
    </row>
    <row r="26" spans="1:6" x14ac:dyDescent="0.6">
      <c r="B26" s="70" t="s">
        <v>112</v>
      </c>
      <c r="C26" s="70" t="s">
        <v>113</v>
      </c>
      <c r="D26" s="71">
        <v>2140</v>
      </c>
      <c r="E26" s="71">
        <v>2140</v>
      </c>
      <c r="F26" s="70" t="s">
        <v>103</v>
      </c>
    </row>
    <row r="27" spans="1:6" x14ac:dyDescent="0.6">
      <c r="B27" s="70" t="s">
        <v>114</v>
      </c>
      <c r="C27" s="70" t="s">
        <v>115</v>
      </c>
      <c r="D27" s="71">
        <v>530.18024471680542</v>
      </c>
      <c r="E27" s="71">
        <v>530.18024471680542</v>
      </c>
      <c r="F27" s="70" t="s">
        <v>103</v>
      </c>
    </row>
    <row r="28" spans="1:6" x14ac:dyDescent="0.6">
      <c r="B28" s="70" t="s">
        <v>116</v>
      </c>
      <c r="C28" s="70" t="s">
        <v>117</v>
      </c>
      <c r="D28" s="71">
        <v>839.81975528319458</v>
      </c>
      <c r="E28" s="71">
        <v>839.81975528319458</v>
      </c>
      <c r="F28" s="70" t="s">
        <v>103</v>
      </c>
    </row>
    <row r="29" spans="1:6" x14ac:dyDescent="0.6">
      <c r="B29" s="70" t="s">
        <v>118</v>
      </c>
      <c r="C29" s="70" t="s">
        <v>119</v>
      </c>
      <c r="D29" s="71">
        <v>2000</v>
      </c>
      <c r="E29" s="71">
        <v>2000.0000000000002</v>
      </c>
      <c r="F29" s="70" t="s">
        <v>103</v>
      </c>
    </row>
    <row r="30" spans="1:6" x14ac:dyDescent="0.6">
      <c r="B30" s="70" t="s">
        <v>120</v>
      </c>
      <c r="C30" s="70" t="s">
        <v>121</v>
      </c>
      <c r="D30" s="71">
        <v>0</v>
      </c>
      <c r="E30" s="71">
        <v>0</v>
      </c>
      <c r="F30" s="70" t="s">
        <v>103</v>
      </c>
    </row>
    <row r="31" spans="1:6" x14ac:dyDescent="0.6">
      <c r="B31" s="70" t="s">
        <v>122</v>
      </c>
      <c r="C31" s="70" t="s">
        <v>123</v>
      </c>
      <c r="D31" s="71">
        <v>0</v>
      </c>
      <c r="E31" s="71">
        <v>0</v>
      </c>
      <c r="F31" s="70" t="s">
        <v>103</v>
      </c>
    </row>
    <row r="32" spans="1:6" x14ac:dyDescent="0.6">
      <c r="B32" s="70" t="s">
        <v>124</v>
      </c>
      <c r="C32" s="70" t="s">
        <v>125</v>
      </c>
      <c r="D32" s="71">
        <v>1850</v>
      </c>
      <c r="E32" s="71">
        <v>1850</v>
      </c>
      <c r="F32" s="70" t="s">
        <v>103</v>
      </c>
    </row>
    <row r="33" spans="2:6" x14ac:dyDescent="0.6">
      <c r="B33" s="70" t="s">
        <v>126</v>
      </c>
      <c r="C33" s="70" t="s">
        <v>127</v>
      </c>
      <c r="D33" s="71">
        <v>0</v>
      </c>
      <c r="E33" s="71">
        <v>0</v>
      </c>
      <c r="F33" s="70" t="s">
        <v>103</v>
      </c>
    </row>
    <row r="34" spans="2:6" x14ac:dyDescent="0.6">
      <c r="B34" s="70" t="s">
        <v>128</v>
      </c>
      <c r="C34" s="70" t="s">
        <v>129</v>
      </c>
      <c r="D34" s="71">
        <v>1260</v>
      </c>
      <c r="E34" s="71">
        <v>1260</v>
      </c>
      <c r="F34" s="70" t="s">
        <v>103</v>
      </c>
    </row>
    <row r="35" spans="2:6" x14ac:dyDescent="0.6">
      <c r="B35" s="70" t="s">
        <v>130</v>
      </c>
      <c r="C35" s="70" t="s">
        <v>131</v>
      </c>
      <c r="D35" s="71">
        <v>0</v>
      </c>
      <c r="E35" s="71">
        <v>0</v>
      </c>
      <c r="F35" s="70" t="s">
        <v>103</v>
      </c>
    </row>
    <row r="36" spans="2:6" x14ac:dyDescent="0.6">
      <c r="B36" s="70" t="s">
        <v>132</v>
      </c>
      <c r="C36" s="70" t="s">
        <v>133</v>
      </c>
      <c r="D36" s="71">
        <v>1700</v>
      </c>
      <c r="E36" s="71">
        <v>1700</v>
      </c>
      <c r="F36" s="70" t="s">
        <v>103</v>
      </c>
    </row>
    <row r="37" spans="2:6" x14ac:dyDescent="0.6">
      <c r="B37" s="70" t="s">
        <v>138</v>
      </c>
      <c r="C37" s="70" t="s">
        <v>135</v>
      </c>
      <c r="D37" s="71">
        <v>480</v>
      </c>
      <c r="E37" s="71">
        <v>276.19402985074589</v>
      </c>
      <c r="F37" s="70" t="s">
        <v>103</v>
      </c>
    </row>
    <row r="38" spans="2:6" x14ac:dyDescent="0.6">
      <c r="B38" s="70" t="s">
        <v>140</v>
      </c>
      <c r="C38" s="70" t="s">
        <v>137</v>
      </c>
      <c r="D38" s="71">
        <v>0</v>
      </c>
      <c r="E38" s="71">
        <v>0</v>
      </c>
      <c r="F38" s="70" t="s">
        <v>103</v>
      </c>
    </row>
    <row r="39" spans="2:6" x14ac:dyDescent="0.6">
      <c r="B39" s="70" t="s">
        <v>142</v>
      </c>
      <c r="C39" s="70" t="s">
        <v>139</v>
      </c>
      <c r="D39" s="71">
        <v>0</v>
      </c>
      <c r="E39" s="71">
        <v>0</v>
      </c>
      <c r="F39" s="70" t="s">
        <v>103</v>
      </c>
    </row>
    <row r="40" spans="2:6" x14ac:dyDescent="0.6">
      <c r="B40" s="70" t="s">
        <v>144</v>
      </c>
      <c r="C40" s="70" t="s">
        <v>141</v>
      </c>
      <c r="D40" s="71">
        <v>850</v>
      </c>
      <c r="E40" s="71">
        <v>0</v>
      </c>
      <c r="F40" s="70" t="s">
        <v>103</v>
      </c>
    </row>
    <row r="41" spans="2:6" x14ac:dyDescent="0.6">
      <c r="B41" s="70" t="s">
        <v>146</v>
      </c>
      <c r="C41" s="70" t="s">
        <v>143</v>
      </c>
      <c r="D41" s="71">
        <v>133.09515107960195</v>
      </c>
      <c r="E41" s="71">
        <v>0</v>
      </c>
      <c r="F41" s="70" t="s">
        <v>103</v>
      </c>
    </row>
    <row r="42" spans="2:6" x14ac:dyDescent="0.6">
      <c r="B42" s="70" t="s">
        <v>148</v>
      </c>
      <c r="C42" s="70" t="s">
        <v>145</v>
      </c>
      <c r="D42" s="71">
        <v>506.90484892039808</v>
      </c>
      <c r="E42" s="71">
        <v>800</v>
      </c>
      <c r="F42" s="70" t="s">
        <v>103</v>
      </c>
    </row>
    <row r="43" spans="2:6" x14ac:dyDescent="0.6">
      <c r="B43" s="70" t="s">
        <v>150</v>
      </c>
      <c r="C43" s="70" t="s">
        <v>147</v>
      </c>
      <c r="D43" s="71">
        <v>651.09887877114409</v>
      </c>
      <c r="E43" s="71">
        <v>775</v>
      </c>
      <c r="F43" s="70" t="s">
        <v>103</v>
      </c>
    </row>
    <row r="44" spans="2:6" x14ac:dyDescent="0.6">
      <c r="B44" s="70" t="s">
        <v>152</v>
      </c>
      <c r="C44" s="70" t="s">
        <v>149</v>
      </c>
      <c r="D44" s="71">
        <v>0</v>
      </c>
      <c r="E44" s="71">
        <v>0</v>
      </c>
      <c r="F44" s="70" t="s">
        <v>103</v>
      </c>
    </row>
    <row r="45" spans="2:6" x14ac:dyDescent="0.6">
      <c r="B45" s="70" t="s">
        <v>154</v>
      </c>
      <c r="C45" s="70" t="s">
        <v>151</v>
      </c>
      <c r="D45" s="71">
        <v>0</v>
      </c>
      <c r="E45" s="71">
        <v>0</v>
      </c>
      <c r="F45" s="70" t="s">
        <v>103</v>
      </c>
    </row>
    <row r="46" spans="2:6" x14ac:dyDescent="0.6">
      <c r="B46" s="70" t="s">
        <v>156</v>
      </c>
      <c r="C46" s="70" t="s">
        <v>153</v>
      </c>
      <c r="D46" s="71">
        <v>970</v>
      </c>
      <c r="E46" s="71">
        <v>970</v>
      </c>
      <c r="F46" s="70" t="s">
        <v>103</v>
      </c>
    </row>
    <row r="47" spans="2:6" x14ac:dyDescent="0.6">
      <c r="B47" s="70" t="s">
        <v>158</v>
      </c>
      <c r="C47" s="70" t="s">
        <v>155</v>
      </c>
      <c r="D47" s="71">
        <v>107</v>
      </c>
      <c r="E47" s="71">
        <v>0</v>
      </c>
      <c r="F47" s="70" t="s">
        <v>103</v>
      </c>
    </row>
    <row r="48" spans="2:6" x14ac:dyDescent="0.6">
      <c r="B48" s="70" t="s">
        <v>160</v>
      </c>
      <c r="C48" s="70" t="s">
        <v>157</v>
      </c>
      <c r="D48" s="71">
        <v>0</v>
      </c>
      <c r="E48" s="71">
        <v>86.904848920398081</v>
      </c>
      <c r="F48" s="70" t="s">
        <v>103</v>
      </c>
    </row>
    <row r="49" spans="1:7" x14ac:dyDescent="0.6">
      <c r="B49" s="70" t="s">
        <v>162</v>
      </c>
      <c r="C49" s="70" t="s">
        <v>159</v>
      </c>
      <c r="D49" s="71">
        <v>80</v>
      </c>
      <c r="E49" s="71">
        <v>400</v>
      </c>
      <c r="F49" s="70" t="s">
        <v>103</v>
      </c>
    </row>
    <row r="50" spans="1:7" x14ac:dyDescent="0.6">
      <c r="B50" s="70" t="s">
        <v>164</v>
      </c>
      <c r="C50" s="70" t="s">
        <v>161</v>
      </c>
      <c r="D50" s="71">
        <v>0</v>
      </c>
      <c r="E50" s="71">
        <v>0</v>
      </c>
      <c r="F50" s="70" t="s">
        <v>103</v>
      </c>
    </row>
    <row r="51" spans="1:7" x14ac:dyDescent="0.6">
      <c r="B51" s="70" t="s">
        <v>166</v>
      </c>
      <c r="C51" s="70" t="s">
        <v>163</v>
      </c>
      <c r="D51" s="71">
        <v>310</v>
      </c>
      <c r="E51" s="71">
        <v>310</v>
      </c>
      <c r="F51" s="70" t="s">
        <v>103</v>
      </c>
    </row>
    <row r="52" spans="1:7" x14ac:dyDescent="0.6">
      <c r="B52" s="70" t="s">
        <v>168</v>
      </c>
      <c r="C52" s="70" t="s">
        <v>165</v>
      </c>
      <c r="D52" s="71">
        <v>0</v>
      </c>
      <c r="E52" s="71">
        <v>0</v>
      </c>
      <c r="F52" s="70" t="s">
        <v>103</v>
      </c>
    </row>
    <row r="53" spans="1:7" x14ac:dyDescent="0.6">
      <c r="B53" s="70" t="s">
        <v>178</v>
      </c>
      <c r="C53" s="70" t="s">
        <v>167</v>
      </c>
      <c r="D53" s="71">
        <v>0</v>
      </c>
      <c r="E53" s="71">
        <v>0</v>
      </c>
      <c r="F53" s="70" t="s">
        <v>103</v>
      </c>
    </row>
    <row r="54" spans="1:7" ht="13.75" thickBot="1" x14ac:dyDescent="0.75">
      <c r="B54" s="69" t="s">
        <v>210</v>
      </c>
      <c r="C54" s="69" t="s">
        <v>169</v>
      </c>
      <c r="D54" s="68">
        <v>0</v>
      </c>
      <c r="E54" s="68">
        <v>470</v>
      </c>
      <c r="F54" s="69" t="s">
        <v>103</v>
      </c>
    </row>
    <row r="57" spans="1:7" ht="13.75" thickBot="1" x14ac:dyDescent="0.75">
      <c r="A57" t="s">
        <v>99</v>
      </c>
    </row>
    <row r="58" spans="1:7" ht="13.75" thickBot="1" x14ac:dyDescent="0.75">
      <c r="B58" s="72" t="s">
        <v>72</v>
      </c>
      <c r="C58" s="72" t="s">
        <v>73</v>
      </c>
      <c r="D58" s="72" t="s">
        <v>74</v>
      </c>
      <c r="E58" s="72" t="s">
        <v>75</v>
      </c>
      <c r="F58" s="72" t="s">
        <v>76</v>
      </c>
      <c r="G58" s="72" t="s">
        <v>77</v>
      </c>
    </row>
    <row r="59" spans="1:7" x14ac:dyDescent="0.6">
      <c r="B59" s="70" t="s">
        <v>314</v>
      </c>
      <c r="C59" s="70" t="s">
        <v>313</v>
      </c>
      <c r="D59" s="71">
        <v>4975.1243781094518</v>
      </c>
      <c r="E59" s="70" t="s">
        <v>344</v>
      </c>
      <c r="F59" s="70" t="s">
        <v>83</v>
      </c>
      <c r="G59" s="70">
        <v>3054.8756218905482</v>
      </c>
    </row>
    <row r="60" spans="1:7" x14ac:dyDescent="0.6">
      <c r="B60" s="70" t="s">
        <v>184</v>
      </c>
      <c r="C60" s="70" t="s">
        <v>182</v>
      </c>
      <c r="D60" s="71">
        <v>276.19402985074589</v>
      </c>
      <c r="E60" s="70" t="s">
        <v>343</v>
      </c>
      <c r="F60" s="70" t="s">
        <v>83</v>
      </c>
      <c r="G60" s="70">
        <v>623.80597014925411</v>
      </c>
    </row>
    <row r="61" spans="1:7" x14ac:dyDescent="0.6">
      <c r="B61" s="70" t="s">
        <v>187</v>
      </c>
      <c r="C61" s="70" t="s">
        <v>185</v>
      </c>
      <c r="D61" s="71">
        <v>0</v>
      </c>
      <c r="E61" s="70" t="s">
        <v>342</v>
      </c>
      <c r="F61" s="70" t="s">
        <v>83</v>
      </c>
      <c r="G61" s="70">
        <v>1150</v>
      </c>
    </row>
    <row r="62" spans="1:7" x14ac:dyDescent="0.6">
      <c r="B62" s="70" t="s">
        <v>190</v>
      </c>
      <c r="C62" s="70" t="s">
        <v>188</v>
      </c>
      <c r="D62" s="71">
        <v>800</v>
      </c>
      <c r="E62" s="70" t="s">
        <v>341</v>
      </c>
      <c r="F62" s="70" t="s">
        <v>80</v>
      </c>
      <c r="G62" s="70">
        <v>0</v>
      </c>
    </row>
    <row r="63" spans="1:7" x14ac:dyDescent="0.6">
      <c r="B63" s="70" t="s">
        <v>193</v>
      </c>
      <c r="C63" s="70" t="s">
        <v>191</v>
      </c>
      <c r="D63" s="71">
        <v>775</v>
      </c>
      <c r="E63" s="70" t="s">
        <v>340</v>
      </c>
      <c r="F63" s="70" t="s">
        <v>80</v>
      </c>
      <c r="G63" s="70">
        <v>0</v>
      </c>
    </row>
    <row r="64" spans="1:7" x14ac:dyDescent="0.6">
      <c r="B64" s="70" t="s">
        <v>196</v>
      </c>
      <c r="C64" s="70" t="s">
        <v>194</v>
      </c>
      <c r="D64" s="71">
        <v>970</v>
      </c>
      <c r="E64" s="70" t="s">
        <v>339</v>
      </c>
      <c r="F64" s="70" t="s">
        <v>80</v>
      </c>
      <c r="G64" s="70">
        <v>0</v>
      </c>
    </row>
    <row r="65" spans="2:7" x14ac:dyDescent="0.6">
      <c r="B65" s="70" t="s">
        <v>199</v>
      </c>
      <c r="C65" s="70" t="s">
        <v>197</v>
      </c>
      <c r="D65" s="71">
        <v>86.904848920398081</v>
      </c>
      <c r="E65" s="70" t="s">
        <v>338</v>
      </c>
      <c r="F65" s="70" t="s">
        <v>83</v>
      </c>
      <c r="G65" s="70">
        <v>113.09515107960192</v>
      </c>
    </row>
    <row r="66" spans="2:7" x14ac:dyDescent="0.6">
      <c r="B66" s="70" t="s">
        <v>202</v>
      </c>
      <c r="C66" s="70" t="s">
        <v>200</v>
      </c>
      <c r="D66" s="71">
        <v>400</v>
      </c>
      <c r="E66" s="70" t="s">
        <v>337</v>
      </c>
      <c r="F66" s="70" t="s">
        <v>80</v>
      </c>
      <c r="G66" s="70">
        <v>0</v>
      </c>
    </row>
    <row r="67" spans="2:7" x14ac:dyDescent="0.6">
      <c r="B67" s="70" t="s">
        <v>205</v>
      </c>
      <c r="C67" s="70" t="s">
        <v>203</v>
      </c>
      <c r="D67" s="71">
        <v>310</v>
      </c>
      <c r="E67" s="70" t="s">
        <v>336</v>
      </c>
      <c r="F67" s="70" t="s">
        <v>80</v>
      </c>
      <c r="G67" s="70">
        <v>0</v>
      </c>
    </row>
    <row r="68" spans="2:7" x14ac:dyDescent="0.6">
      <c r="B68" s="70" t="s">
        <v>326</v>
      </c>
      <c r="C68" s="70" t="s">
        <v>206</v>
      </c>
      <c r="D68" s="71">
        <v>470</v>
      </c>
      <c r="E68" s="70" t="s">
        <v>335</v>
      </c>
      <c r="F68" s="70" t="s">
        <v>80</v>
      </c>
      <c r="G68" s="70">
        <v>0</v>
      </c>
    </row>
    <row r="69" spans="2:7" x14ac:dyDescent="0.6">
      <c r="B69" s="70" t="s">
        <v>184</v>
      </c>
      <c r="C69" s="70" t="s">
        <v>182</v>
      </c>
      <c r="D69" s="71">
        <v>276.19402985074589</v>
      </c>
      <c r="E69" s="70" t="s">
        <v>334</v>
      </c>
      <c r="F69" s="70" t="s">
        <v>83</v>
      </c>
      <c r="G69" s="71">
        <v>276.19402985074589</v>
      </c>
    </row>
    <row r="70" spans="2:7" x14ac:dyDescent="0.6">
      <c r="B70" s="70" t="s">
        <v>187</v>
      </c>
      <c r="C70" s="70" t="s">
        <v>185</v>
      </c>
      <c r="D70" s="71">
        <v>0</v>
      </c>
      <c r="E70" s="70" t="s">
        <v>333</v>
      </c>
      <c r="F70" s="70" t="s">
        <v>80</v>
      </c>
      <c r="G70" s="71">
        <v>0</v>
      </c>
    </row>
    <row r="71" spans="2:7" x14ac:dyDescent="0.6">
      <c r="B71" s="70" t="s">
        <v>190</v>
      </c>
      <c r="C71" s="70" t="s">
        <v>188</v>
      </c>
      <c r="D71" s="71">
        <v>800</v>
      </c>
      <c r="E71" s="70" t="s">
        <v>332</v>
      </c>
      <c r="F71" s="70" t="s">
        <v>83</v>
      </c>
      <c r="G71" s="71">
        <v>800</v>
      </c>
    </row>
    <row r="72" spans="2:7" x14ac:dyDescent="0.6">
      <c r="B72" s="70" t="s">
        <v>193</v>
      </c>
      <c r="C72" s="70" t="s">
        <v>191</v>
      </c>
      <c r="D72" s="71">
        <v>775</v>
      </c>
      <c r="E72" s="70" t="s">
        <v>331</v>
      </c>
      <c r="F72" s="70" t="s">
        <v>83</v>
      </c>
      <c r="G72" s="71">
        <v>775</v>
      </c>
    </row>
    <row r="73" spans="2:7" x14ac:dyDescent="0.6">
      <c r="B73" s="70" t="s">
        <v>196</v>
      </c>
      <c r="C73" s="70" t="s">
        <v>194</v>
      </c>
      <c r="D73" s="71">
        <v>970</v>
      </c>
      <c r="E73" s="70" t="s">
        <v>330</v>
      </c>
      <c r="F73" s="70" t="s">
        <v>83</v>
      </c>
      <c r="G73" s="71">
        <v>970</v>
      </c>
    </row>
    <row r="74" spans="2:7" x14ac:dyDescent="0.6">
      <c r="B74" s="70" t="s">
        <v>199</v>
      </c>
      <c r="C74" s="70" t="s">
        <v>197</v>
      </c>
      <c r="D74" s="71">
        <v>86.904848920398081</v>
      </c>
      <c r="E74" s="70" t="s">
        <v>329</v>
      </c>
      <c r="F74" s="70" t="s">
        <v>83</v>
      </c>
      <c r="G74" s="71">
        <v>86.904848920398081</v>
      </c>
    </row>
    <row r="75" spans="2:7" x14ac:dyDescent="0.6">
      <c r="B75" s="70" t="s">
        <v>202</v>
      </c>
      <c r="C75" s="70" t="s">
        <v>200</v>
      </c>
      <c r="D75" s="71">
        <v>400</v>
      </c>
      <c r="E75" s="70" t="s">
        <v>328</v>
      </c>
      <c r="F75" s="70" t="s">
        <v>83</v>
      </c>
      <c r="G75" s="71">
        <v>400</v>
      </c>
    </row>
    <row r="76" spans="2:7" x14ac:dyDescent="0.6">
      <c r="B76" s="70" t="s">
        <v>205</v>
      </c>
      <c r="C76" s="70" t="s">
        <v>203</v>
      </c>
      <c r="D76" s="71">
        <v>310</v>
      </c>
      <c r="E76" s="70" t="s">
        <v>327</v>
      </c>
      <c r="F76" s="70" t="s">
        <v>83</v>
      </c>
      <c r="G76" s="71">
        <v>310</v>
      </c>
    </row>
    <row r="77" spans="2:7" x14ac:dyDescent="0.6">
      <c r="B77" s="70" t="s">
        <v>326</v>
      </c>
      <c r="C77" s="70" t="s">
        <v>206</v>
      </c>
      <c r="D77" s="71">
        <v>470</v>
      </c>
      <c r="E77" s="70" t="s">
        <v>325</v>
      </c>
      <c r="F77" s="70" t="s">
        <v>83</v>
      </c>
      <c r="G77" s="71">
        <v>470</v>
      </c>
    </row>
    <row r="78" spans="2:7" x14ac:dyDescent="0.6">
      <c r="B78" s="70" t="s">
        <v>324</v>
      </c>
      <c r="C78" s="70" t="s">
        <v>179</v>
      </c>
      <c r="D78" s="71">
        <v>1761.1940298507459</v>
      </c>
      <c r="E78" s="70" t="s">
        <v>323</v>
      </c>
      <c r="F78" s="70" t="s">
        <v>80</v>
      </c>
      <c r="G78" s="70">
        <v>0</v>
      </c>
    </row>
    <row r="79" spans="2:7" x14ac:dyDescent="0.6">
      <c r="B79" s="70" t="s">
        <v>215</v>
      </c>
      <c r="C79" s="70" t="s">
        <v>216</v>
      </c>
      <c r="D79" s="70">
        <v>1000</v>
      </c>
      <c r="E79" s="70" t="s">
        <v>322</v>
      </c>
      <c r="F79" s="70" t="s">
        <v>80</v>
      </c>
      <c r="G79" s="70">
        <v>0</v>
      </c>
    </row>
    <row r="80" spans="2:7" x14ac:dyDescent="0.6">
      <c r="B80" s="70" t="s">
        <v>218</v>
      </c>
      <c r="C80" s="70" t="s">
        <v>219</v>
      </c>
      <c r="D80" s="70">
        <v>1583</v>
      </c>
      <c r="E80" s="70" t="s">
        <v>321</v>
      </c>
      <c r="F80" s="70" t="s">
        <v>80</v>
      </c>
      <c r="G80" s="70">
        <v>0</v>
      </c>
    </row>
    <row r="81" spans="2:7" x14ac:dyDescent="0.6">
      <c r="B81" s="70" t="s">
        <v>221</v>
      </c>
      <c r="C81" s="70" t="s">
        <v>222</v>
      </c>
      <c r="D81" s="70">
        <v>2140</v>
      </c>
      <c r="E81" s="70" t="s">
        <v>320</v>
      </c>
      <c r="F81" s="70" t="s">
        <v>80</v>
      </c>
      <c r="G81" s="70">
        <v>0</v>
      </c>
    </row>
    <row r="82" spans="2:7" x14ac:dyDescent="0.6">
      <c r="B82" s="70" t="s">
        <v>224</v>
      </c>
      <c r="C82" s="70" t="s">
        <v>225</v>
      </c>
      <c r="D82" s="70">
        <v>1370</v>
      </c>
      <c r="E82" s="70" t="s">
        <v>319</v>
      </c>
      <c r="F82" s="70" t="s">
        <v>80</v>
      </c>
      <c r="G82" s="70">
        <v>0</v>
      </c>
    </row>
    <row r="83" spans="2:7" x14ac:dyDescent="0.6">
      <c r="B83" s="70" t="s">
        <v>227</v>
      </c>
      <c r="C83" s="70" t="s">
        <v>228</v>
      </c>
      <c r="D83" s="70">
        <v>2000.0000000000002</v>
      </c>
      <c r="E83" s="70" t="s">
        <v>318</v>
      </c>
      <c r="F83" s="70" t="s">
        <v>80</v>
      </c>
      <c r="G83" s="70">
        <v>0</v>
      </c>
    </row>
    <row r="84" spans="2:7" x14ac:dyDescent="0.6">
      <c r="B84" s="70" t="s">
        <v>230</v>
      </c>
      <c r="C84" s="70" t="s">
        <v>231</v>
      </c>
      <c r="D84" s="70">
        <v>1850</v>
      </c>
      <c r="E84" s="70" t="s">
        <v>317</v>
      </c>
      <c r="F84" s="70" t="s">
        <v>80</v>
      </c>
      <c r="G84" s="70">
        <v>0</v>
      </c>
    </row>
    <row r="85" spans="2:7" x14ac:dyDescent="0.6">
      <c r="B85" s="70" t="s">
        <v>233</v>
      </c>
      <c r="C85" s="70" t="s">
        <v>234</v>
      </c>
      <c r="D85" s="70">
        <v>1260</v>
      </c>
      <c r="E85" s="70" t="s">
        <v>316</v>
      </c>
      <c r="F85" s="70" t="s">
        <v>80</v>
      </c>
      <c r="G85" s="70">
        <v>0</v>
      </c>
    </row>
    <row r="86" spans="2:7" x14ac:dyDescent="0.6">
      <c r="B86" s="70" t="s">
        <v>236</v>
      </c>
      <c r="C86" s="70" t="s">
        <v>237</v>
      </c>
      <c r="D86" s="70">
        <v>1700</v>
      </c>
      <c r="E86" s="70" t="s">
        <v>315</v>
      </c>
      <c r="F86" s="70" t="s">
        <v>80</v>
      </c>
      <c r="G86" s="70">
        <v>0</v>
      </c>
    </row>
    <row r="87" spans="2:7" x14ac:dyDescent="0.6">
      <c r="B87" s="70" t="s">
        <v>314</v>
      </c>
      <c r="C87" s="70" t="s">
        <v>313</v>
      </c>
      <c r="D87" s="71">
        <v>4975.1243781094518</v>
      </c>
      <c r="E87" s="70" t="s">
        <v>312</v>
      </c>
      <c r="F87" s="70" t="s">
        <v>83</v>
      </c>
      <c r="G87" s="71">
        <v>960.12437810945175</v>
      </c>
    </row>
    <row r="88" spans="2:7" x14ac:dyDescent="0.6">
      <c r="B88" s="70" t="s">
        <v>170</v>
      </c>
      <c r="C88" s="70" t="s">
        <v>82</v>
      </c>
      <c r="D88" s="71">
        <v>3456.2495475820901</v>
      </c>
      <c r="E88" s="70" t="s">
        <v>311</v>
      </c>
      <c r="F88" s="70" t="s">
        <v>83</v>
      </c>
      <c r="G88" s="70">
        <v>543.75045241790986</v>
      </c>
    </row>
    <row r="89" spans="2:7" x14ac:dyDescent="0.6">
      <c r="B89" s="70" t="s">
        <v>306</v>
      </c>
      <c r="C89" s="70" t="s">
        <v>305</v>
      </c>
      <c r="D89" s="71">
        <v>7579.4946218905479</v>
      </c>
      <c r="E89" s="70" t="s">
        <v>310</v>
      </c>
      <c r="F89" s="70" t="s">
        <v>83</v>
      </c>
      <c r="G89" s="70">
        <v>1200.5053781094521</v>
      </c>
    </row>
    <row r="90" spans="2:7" x14ac:dyDescent="0.6">
      <c r="B90" s="70" t="s">
        <v>309</v>
      </c>
      <c r="C90" s="70" t="s">
        <v>211</v>
      </c>
      <c r="D90" s="71">
        <v>2326.9048489203979</v>
      </c>
      <c r="E90" s="70" t="s">
        <v>308</v>
      </c>
      <c r="F90" s="70" t="s">
        <v>80</v>
      </c>
      <c r="G90" s="70">
        <v>0</v>
      </c>
    </row>
    <row r="91" spans="2:7" x14ac:dyDescent="0.6">
      <c r="B91" s="70" t="s">
        <v>170</v>
      </c>
      <c r="C91" s="70" t="s">
        <v>82</v>
      </c>
      <c r="D91" s="71">
        <v>3456.2495475820901</v>
      </c>
      <c r="E91" s="70" t="s">
        <v>307</v>
      </c>
      <c r="F91" s="70" t="s">
        <v>83</v>
      </c>
      <c r="G91" s="71">
        <v>1456.2495475820901</v>
      </c>
    </row>
    <row r="92" spans="2:7" x14ac:dyDescent="0.6">
      <c r="B92" s="70" t="s">
        <v>306</v>
      </c>
      <c r="C92" s="70" t="s">
        <v>305</v>
      </c>
      <c r="D92" s="71">
        <v>7579.4946218905479</v>
      </c>
      <c r="E92" s="70" t="s">
        <v>304</v>
      </c>
      <c r="F92" s="70" t="s">
        <v>83</v>
      </c>
      <c r="G92" s="71">
        <v>3189.4946218905479</v>
      </c>
    </row>
    <row r="93" spans="2:7" x14ac:dyDescent="0.6">
      <c r="B93" s="70" t="s">
        <v>174</v>
      </c>
      <c r="C93" s="70" t="s">
        <v>79</v>
      </c>
      <c r="D93" s="71">
        <v>1999.9999999999998</v>
      </c>
      <c r="E93" s="70" t="s">
        <v>303</v>
      </c>
      <c r="F93" s="70" t="s">
        <v>80</v>
      </c>
      <c r="G93" s="70">
        <v>0</v>
      </c>
    </row>
    <row r="94" spans="2:7" ht="13.75" thickBot="1" x14ac:dyDescent="0.75">
      <c r="B94" s="69" t="s">
        <v>174</v>
      </c>
      <c r="C94" s="69" t="s">
        <v>79</v>
      </c>
      <c r="D94" s="68">
        <v>1999.9999999999998</v>
      </c>
      <c r="E94" s="69" t="s">
        <v>302</v>
      </c>
      <c r="F94" s="69" t="s">
        <v>83</v>
      </c>
      <c r="G94" s="68">
        <v>999.99999999999977</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483C8-B80C-4019-A856-F325A5547E31}">
  <sheetPr>
    <tabColor rgb="FFFFFF99"/>
  </sheetPr>
  <dimension ref="A1:H82"/>
  <sheetViews>
    <sheetView showGridLines="0" topLeftCell="A36" workbookViewId="0">
      <selection activeCell="M42" sqref="M42"/>
    </sheetView>
  </sheetViews>
  <sheetFormatPr defaultRowHeight="13" x14ac:dyDescent="0.6"/>
  <cols>
    <col min="1" max="1" width="2.1328125" customWidth="1"/>
    <col min="2" max="2" width="6" bestFit="1" customWidth="1"/>
    <col min="3" max="3" width="19.453125" bestFit="1" customWidth="1"/>
    <col min="4" max="4" width="11.7265625" bestFit="1" customWidth="1"/>
    <col min="5" max="5" width="10.7265625" bestFit="1" customWidth="1"/>
    <col min="6" max="6" width="10.1796875" bestFit="1" customWidth="1"/>
    <col min="7" max="8" width="11.7265625" bestFit="1" customWidth="1"/>
  </cols>
  <sheetData>
    <row r="1" spans="1:8" x14ac:dyDescent="0.6">
      <c r="A1" s="1" t="s">
        <v>248</v>
      </c>
    </row>
    <row r="2" spans="1:8" x14ac:dyDescent="0.6">
      <c r="A2" s="1" t="s">
        <v>348</v>
      </c>
    </row>
    <row r="3" spans="1:8" x14ac:dyDescent="0.6">
      <c r="A3" s="1" t="s">
        <v>349</v>
      </c>
    </row>
    <row r="6" spans="1:8" ht="13.75" thickBot="1" x14ac:dyDescent="0.75">
      <c r="A6" t="s">
        <v>97</v>
      </c>
    </row>
    <row r="7" spans="1:8" x14ac:dyDescent="0.6">
      <c r="B7" s="75"/>
      <c r="C7" s="75"/>
      <c r="D7" s="75" t="s">
        <v>250</v>
      </c>
      <c r="E7" s="75" t="s">
        <v>252</v>
      </c>
      <c r="F7" s="75" t="s">
        <v>253</v>
      </c>
      <c r="G7" s="75" t="s">
        <v>255</v>
      </c>
      <c r="H7" s="75" t="s">
        <v>255</v>
      </c>
    </row>
    <row r="8" spans="1:8" ht="13.75" thickBot="1" x14ac:dyDescent="0.75">
      <c r="B8" s="74" t="s">
        <v>72</v>
      </c>
      <c r="C8" s="74" t="s">
        <v>73</v>
      </c>
      <c r="D8" s="74" t="s">
        <v>251</v>
      </c>
      <c r="E8" s="74" t="s">
        <v>57</v>
      </c>
      <c r="F8" s="74" t="s">
        <v>254</v>
      </c>
      <c r="G8" s="74" t="s">
        <v>256</v>
      </c>
      <c r="H8" s="74" t="s">
        <v>257</v>
      </c>
    </row>
    <row r="9" spans="1:8" x14ac:dyDescent="0.6">
      <c r="B9" s="70" t="s">
        <v>101</v>
      </c>
      <c r="C9" s="70" t="s">
        <v>102</v>
      </c>
      <c r="D9" s="70">
        <v>1000</v>
      </c>
      <c r="E9" s="70">
        <v>0</v>
      </c>
      <c r="F9" s="70">
        <v>23.801499999997759</v>
      </c>
      <c r="G9" s="70">
        <v>1E+30</v>
      </c>
      <c r="H9" s="70">
        <v>0</v>
      </c>
    </row>
    <row r="10" spans="1:8" x14ac:dyDescent="0.6">
      <c r="B10" s="70" t="s">
        <v>104</v>
      </c>
      <c r="C10" s="70" t="s">
        <v>105</v>
      </c>
      <c r="D10" s="70">
        <v>0</v>
      </c>
      <c r="E10" s="70">
        <v>0</v>
      </c>
      <c r="F10" s="70">
        <v>-1.455774999994901</v>
      </c>
      <c r="G10" s="70">
        <v>0</v>
      </c>
      <c r="H10" s="70">
        <v>1E+30</v>
      </c>
    </row>
    <row r="11" spans="1:8" x14ac:dyDescent="0.6">
      <c r="B11" s="70" t="s">
        <v>106</v>
      </c>
      <c r="C11" s="70" t="s">
        <v>107</v>
      </c>
      <c r="D11" s="70">
        <v>1583</v>
      </c>
      <c r="E11" s="70">
        <v>0</v>
      </c>
      <c r="F11" s="70">
        <v>24.501499999998487</v>
      </c>
      <c r="G11" s="70">
        <v>1E+30</v>
      </c>
      <c r="H11" s="70">
        <v>2.1000000000021828</v>
      </c>
    </row>
    <row r="12" spans="1:8" x14ac:dyDescent="0.6">
      <c r="B12" s="70" t="s">
        <v>108</v>
      </c>
      <c r="C12" s="70" t="s">
        <v>109</v>
      </c>
      <c r="D12" s="70">
        <v>0</v>
      </c>
      <c r="E12" s="70">
        <v>-2.1000000000021828</v>
      </c>
      <c r="F12" s="70">
        <v>-2.8557750000036322</v>
      </c>
      <c r="G12" s="70">
        <v>2.1000000000021828</v>
      </c>
      <c r="H12" s="70">
        <v>1E+30</v>
      </c>
    </row>
    <row r="13" spans="1:8" x14ac:dyDescent="0.6">
      <c r="B13" s="70" t="s">
        <v>110</v>
      </c>
      <c r="C13" s="70" t="s">
        <v>111</v>
      </c>
      <c r="D13" s="70">
        <v>0</v>
      </c>
      <c r="E13" s="70">
        <v>-14.700000000004362</v>
      </c>
      <c r="F13" s="70">
        <v>8.9014999999999418</v>
      </c>
      <c r="G13" s="70">
        <v>14.700000000004362</v>
      </c>
      <c r="H13" s="70">
        <v>1E+30</v>
      </c>
    </row>
    <row r="14" spans="1:8" x14ac:dyDescent="0.6">
      <c r="B14" s="70" t="s">
        <v>112</v>
      </c>
      <c r="C14" s="70" t="s">
        <v>113</v>
      </c>
      <c r="D14" s="70">
        <v>2140</v>
      </c>
      <c r="E14" s="70">
        <v>0</v>
      </c>
      <c r="F14" s="70">
        <v>-1.6557749999956286</v>
      </c>
      <c r="G14" s="70">
        <v>1E+30</v>
      </c>
      <c r="H14" s="70">
        <v>14.700000000004362</v>
      </c>
    </row>
    <row r="15" spans="1:8" x14ac:dyDescent="0.6">
      <c r="B15" s="70" t="s">
        <v>114</v>
      </c>
      <c r="C15" s="70" t="s">
        <v>115</v>
      </c>
      <c r="D15" s="70">
        <v>530.18024471680542</v>
      </c>
      <c r="E15" s="70">
        <v>0</v>
      </c>
      <c r="F15" s="70">
        <v>26.701499999999214</v>
      </c>
      <c r="G15" s="70">
        <v>0</v>
      </c>
      <c r="H15" s="70">
        <v>3.2500000000036233</v>
      </c>
    </row>
    <row r="16" spans="1:8" x14ac:dyDescent="0.6">
      <c r="B16" s="70" t="s">
        <v>116</v>
      </c>
      <c r="C16" s="70" t="s">
        <v>117</v>
      </c>
      <c r="D16" s="70">
        <v>839.81975528319458</v>
      </c>
      <c r="E16" s="70">
        <v>0</v>
      </c>
      <c r="F16" s="70">
        <v>1.4442249999992782</v>
      </c>
      <c r="G16" s="70">
        <v>3.2500000000036233</v>
      </c>
      <c r="H16" s="70">
        <v>0</v>
      </c>
    </row>
    <row r="17" spans="2:8" x14ac:dyDescent="0.6">
      <c r="B17" s="70" t="s">
        <v>118</v>
      </c>
      <c r="C17" s="70" t="s">
        <v>119</v>
      </c>
      <c r="D17" s="70">
        <v>2000.0000000000002</v>
      </c>
      <c r="E17" s="70">
        <v>0</v>
      </c>
      <c r="F17" s="70">
        <v>25.601499999997031</v>
      </c>
      <c r="G17" s="70">
        <v>1E+30</v>
      </c>
      <c r="H17" s="70">
        <v>1.2999999999956202</v>
      </c>
    </row>
    <row r="18" spans="2:8" x14ac:dyDescent="0.6">
      <c r="B18" s="70" t="s">
        <v>120</v>
      </c>
      <c r="C18" s="70" t="s">
        <v>121</v>
      </c>
      <c r="D18" s="70">
        <v>0</v>
      </c>
      <c r="E18" s="70">
        <v>-1.2999999999956202</v>
      </c>
      <c r="F18" s="70">
        <v>-0.95577499999853899</v>
      </c>
      <c r="G18" s="70">
        <v>1.2999999999956202</v>
      </c>
      <c r="H18" s="70">
        <v>1E+30</v>
      </c>
    </row>
    <row r="19" spans="2:8" x14ac:dyDescent="0.6">
      <c r="B19" s="70" t="s">
        <v>122</v>
      </c>
      <c r="C19" s="70" t="s">
        <v>123</v>
      </c>
      <c r="D19" s="70">
        <v>0</v>
      </c>
      <c r="E19" s="70">
        <v>-3.250000000003622</v>
      </c>
      <c r="F19" s="70">
        <v>23.051499999997759</v>
      </c>
      <c r="G19" s="70">
        <v>3.250000000003622</v>
      </c>
      <c r="H19" s="70">
        <v>1E+30</v>
      </c>
    </row>
    <row r="20" spans="2:8" x14ac:dyDescent="0.6">
      <c r="B20" s="70" t="s">
        <v>124</v>
      </c>
      <c r="C20" s="70" t="s">
        <v>125</v>
      </c>
      <c r="D20" s="70">
        <v>1850</v>
      </c>
      <c r="E20" s="70">
        <v>0</v>
      </c>
      <c r="F20" s="70">
        <v>1.044225000001461</v>
      </c>
      <c r="G20" s="70">
        <v>1E+30</v>
      </c>
      <c r="H20" s="70">
        <v>3.250000000003622</v>
      </c>
    </row>
    <row r="21" spans="2:8" x14ac:dyDescent="0.6">
      <c r="B21" s="70" t="s">
        <v>126</v>
      </c>
      <c r="C21" s="70" t="s">
        <v>127</v>
      </c>
      <c r="D21" s="70">
        <v>0</v>
      </c>
      <c r="E21" s="70">
        <v>-16.5</v>
      </c>
      <c r="F21" s="70">
        <v>16.001500000002125</v>
      </c>
      <c r="G21" s="70">
        <v>16.5</v>
      </c>
      <c r="H21" s="70">
        <v>1E+30</v>
      </c>
    </row>
    <row r="22" spans="2:8" x14ac:dyDescent="0.6">
      <c r="B22" s="70" t="s">
        <v>128</v>
      </c>
      <c r="C22" s="70" t="s">
        <v>129</v>
      </c>
      <c r="D22" s="70">
        <v>1260</v>
      </c>
      <c r="E22" s="70">
        <v>0</v>
      </c>
      <c r="F22" s="70">
        <v>7.2442250000021886</v>
      </c>
      <c r="G22" s="70">
        <v>1E+30</v>
      </c>
      <c r="H22" s="70">
        <v>16.5</v>
      </c>
    </row>
    <row r="23" spans="2:8" x14ac:dyDescent="0.6">
      <c r="B23" s="70" t="s">
        <v>130</v>
      </c>
      <c r="C23" s="70" t="s">
        <v>131</v>
      </c>
      <c r="D23" s="70">
        <v>0</v>
      </c>
      <c r="E23" s="70">
        <v>-12.599999999998545</v>
      </c>
      <c r="F23" s="70">
        <v>13.501499999998487</v>
      </c>
      <c r="G23" s="70">
        <v>12.599999999998545</v>
      </c>
      <c r="H23" s="70">
        <v>1E+30</v>
      </c>
    </row>
    <row r="24" spans="2:8" x14ac:dyDescent="0.6">
      <c r="B24" s="70" t="s">
        <v>132</v>
      </c>
      <c r="C24" s="70" t="s">
        <v>133</v>
      </c>
      <c r="D24" s="70">
        <v>1700</v>
      </c>
      <c r="E24" s="70">
        <v>0</v>
      </c>
      <c r="F24" s="70">
        <v>0.84422499999709544</v>
      </c>
      <c r="G24" s="70">
        <v>1E+30</v>
      </c>
      <c r="H24" s="70">
        <v>12.599999999998545</v>
      </c>
    </row>
    <row r="25" spans="2:8" x14ac:dyDescent="0.6">
      <c r="B25" s="70" t="s">
        <v>138</v>
      </c>
      <c r="C25" s="70" t="s">
        <v>135</v>
      </c>
      <c r="D25" s="70">
        <v>276.19402985074589</v>
      </c>
      <c r="E25" s="70">
        <v>0</v>
      </c>
      <c r="F25" s="70">
        <v>10</v>
      </c>
      <c r="G25" s="70">
        <v>3.2999999999992724</v>
      </c>
      <c r="H25" s="70">
        <v>0.30000000000291038</v>
      </c>
    </row>
    <row r="26" spans="2:8" x14ac:dyDescent="0.6">
      <c r="B26" s="70" t="s">
        <v>142</v>
      </c>
      <c r="C26" s="70" t="s">
        <v>139</v>
      </c>
      <c r="D26" s="70">
        <v>0</v>
      </c>
      <c r="E26" s="70">
        <v>-21.999999999996362</v>
      </c>
      <c r="F26" s="70">
        <v>-15.69999999999709</v>
      </c>
      <c r="G26" s="70">
        <v>21.999999999996362</v>
      </c>
      <c r="H26" s="70">
        <v>1E+30</v>
      </c>
    </row>
    <row r="27" spans="2:8" x14ac:dyDescent="0.6">
      <c r="B27" s="70" t="s">
        <v>146</v>
      </c>
      <c r="C27" s="70" t="s">
        <v>143</v>
      </c>
      <c r="D27" s="70">
        <v>0</v>
      </c>
      <c r="E27" s="70">
        <v>-11.30000000000291</v>
      </c>
      <c r="F27" s="70">
        <v>19.399999999997817</v>
      </c>
      <c r="G27" s="70">
        <v>11.30000000000291</v>
      </c>
      <c r="H27" s="70">
        <v>1E+30</v>
      </c>
    </row>
    <row r="28" spans="2:8" x14ac:dyDescent="0.6">
      <c r="B28" s="70" t="s">
        <v>150</v>
      </c>
      <c r="C28" s="70" t="s">
        <v>147</v>
      </c>
      <c r="D28" s="70">
        <v>775</v>
      </c>
      <c r="E28" s="70">
        <v>0</v>
      </c>
      <c r="F28" s="70">
        <v>19.799999999999272</v>
      </c>
      <c r="G28" s="70">
        <v>1E+30</v>
      </c>
      <c r="H28" s="70">
        <v>3.2999999999992724</v>
      </c>
    </row>
    <row r="29" spans="2:8" x14ac:dyDescent="0.6">
      <c r="B29" s="70" t="s">
        <v>154</v>
      </c>
      <c r="C29" s="70" t="s">
        <v>151</v>
      </c>
      <c r="D29" s="70">
        <v>0</v>
      </c>
      <c r="E29" s="70">
        <v>-13.30000000000291</v>
      </c>
      <c r="F29" s="70">
        <v>11.5</v>
      </c>
      <c r="G29" s="70">
        <v>13.30000000000291</v>
      </c>
      <c r="H29" s="70">
        <v>1E+30</v>
      </c>
    </row>
    <row r="30" spans="2:8" x14ac:dyDescent="0.6">
      <c r="B30" s="70" t="s">
        <v>158</v>
      </c>
      <c r="C30" s="70" t="s">
        <v>155</v>
      </c>
      <c r="D30" s="70">
        <v>0</v>
      </c>
      <c r="E30" s="70">
        <v>-0.30000000000291038</v>
      </c>
      <c r="F30" s="70">
        <v>9.6999999999970896</v>
      </c>
      <c r="G30" s="70">
        <v>0.30000000000291038</v>
      </c>
      <c r="H30" s="70">
        <v>1E+30</v>
      </c>
    </row>
    <row r="31" spans="2:8" x14ac:dyDescent="0.6">
      <c r="B31" s="70" t="s">
        <v>162</v>
      </c>
      <c r="C31" s="70" t="s">
        <v>159</v>
      </c>
      <c r="D31" s="70">
        <v>400</v>
      </c>
      <c r="E31" s="70">
        <v>0</v>
      </c>
      <c r="F31" s="70">
        <v>14.700000000000728</v>
      </c>
      <c r="G31" s="70">
        <v>1E+30</v>
      </c>
      <c r="H31" s="70">
        <v>4.700000000000724</v>
      </c>
    </row>
    <row r="32" spans="2:8" x14ac:dyDescent="0.6">
      <c r="B32" s="70" t="s">
        <v>166</v>
      </c>
      <c r="C32" s="70" t="s">
        <v>163</v>
      </c>
      <c r="D32" s="70">
        <v>310</v>
      </c>
      <c r="E32" s="70">
        <v>0</v>
      </c>
      <c r="F32" s="70">
        <v>20.700000000000728</v>
      </c>
      <c r="G32" s="70">
        <v>1E+30</v>
      </c>
      <c r="H32" s="70">
        <v>10.700000000000728</v>
      </c>
    </row>
    <row r="33" spans="1:8" x14ac:dyDescent="0.6">
      <c r="B33" s="70" t="s">
        <v>178</v>
      </c>
      <c r="C33" s="70" t="s">
        <v>167</v>
      </c>
      <c r="D33" s="70">
        <v>0</v>
      </c>
      <c r="E33" s="70">
        <v>-11.600000000005821</v>
      </c>
      <c r="F33" s="70">
        <v>11.69999999999709</v>
      </c>
      <c r="G33" s="70">
        <v>11.600000000005821</v>
      </c>
      <c r="H33" s="70">
        <v>1E+30</v>
      </c>
    </row>
    <row r="34" spans="1:8" x14ac:dyDescent="0.6">
      <c r="B34" s="70" t="s">
        <v>140</v>
      </c>
      <c r="C34" s="70" t="s">
        <v>137</v>
      </c>
      <c r="D34" s="70">
        <v>0</v>
      </c>
      <c r="E34" s="70">
        <v>-2.1000000000021828</v>
      </c>
      <c r="F34" s="70">
        <v>5.8999999999978172</v>
      </c>
      <c r="G34" s="70">
        <v>2.1000000000021828</v>
      </c>
      <c r="H34" s="70">
        <v>1E+30</v>
      </c>
    </row>
    <row r="35" spans="1:8" x14ac:dyDescent="0.6">
      <c r="B35" s="70" t="s">
        <v>144</v>
      </c>
      <c r="C35" s="70" t="s">
        <v>141</v>
      </c>
      <c r="D35" s="70">
        <v>0</v>
      </c>
      <c r="E35" s="70">
        <v>0</v>
      </c>
      <c r="F35" s="70">
        <v>4.2999999999992724</v>
      </c>
      <c r="G35" s="70">
        <v>3.7000000000007276</v>
      </c>
      <c r="H35" s="70">
        <v>21.999999999996362</v>
      </c>
    </row>
    <row r="36" spans="1:8" x14ac:dyDescent="0.6">
      <c r="B36" s="70" t="s">
        <v>148</v>
      </c>
      <c r="C36" s="70" t="s">
        <v>145</v>
      </c>
      <c r="D36" s="70">
        <v>800</v>
      </c>
      <c r="E36" s="70">
        <v>0</v>
      </c>
      <c r="F36" s="70">
        <v>28.700000000000728</v>
      </c>
      <c r="G36" s="70">
        <v>1E+30</v>
      </c>
      <c r="H36" s="70">
        <v>11.30000000000291</v>
      </c>
    </row>
    <row r="37" spans="1:8" x14ac:dyDescent="0.6">
      <c r="B37" s="70" t="s">
        <v>152</v>
      </c>
      <c r="C37" s="70" t="s">
        <v>149</v>
      </c>
      <c r="D37" s="70">
        <v>0</v>
      </c>
      <c r="E37" s="70">
        <v>-3.2999999999992724</v>
      </c>
      <c r="F37" s="70">
        <v>14.5</v>
      </c>
      <c r="G37" s="70">
        <v>3.2999999999992724</v>
      </c>
      <c r="H37" s="70">
        <v>1E+30</v>
      </c>
    </row>
    <row r="38" spans="1:8" x14ac:dyDescent="0.6">
      <c r="B38" s="70" t="s">
        <v>156</v>
      </c>
      <c r="C38" s="70" t="s">
        <v>153</v>
      </c>
      <c r="D38" s="70">
        <v>970</v>
      </c>
      <c r="E38" s="70">
        <v>0</v>
      </c>
      <c r="F38" s="70">
        <v>22.80000000000291</v>
      </c>
      <c r="G38" s="70">
        <v>1E+30</v>
      </c>
      <c r="H38" s="70">
        <v>13.30000000000291</v>
      </c>
    </row>
    <row r="39" spans="1:8" x14ac:dyDescent="0.6">
      <c r="B39" s="70" t="s">
        <v>160</v>
      </c>
      <c r="C39" s="70" t="s">
        <v>157</v>
      </c>
      <c r="D39" s="70">
        <v>86.904848920398081</v>
      </c>
      <c r="E39" s="70">
        <v>0</v>
      </c>
      <c r="F39" s="70">
        <v>8</v>
      </c>
      <c r="G39" s="70">
        <v>11.30000000000291</v>
      </c>
      <c r="H39" s="70">
        <v>2.1000000000021828</v>
      </c>
    </row>
    <row r="40" spans="1:8" x14ac:dyDescent="0.6">
      <c r="B40" s="70" t="s">
        <v>164</v>
      </c>
      <c r="C40" s="70" t="s">
        <v>161</v>
      </c>
      <c r="D40" s="70">
        <v>0</v>
      </c>
      <c r="E40" s="70">
        <v>-22.900000000001448</v>
      </c>
      <c r="F40" s="70">
        <v>-10.200000000000728</v>
      </c>
      <c r="G40" s="70">
        <v>22.900000000001448</v>
      </c>
      <c r="H40" s="70">
        <v>1E+30</v>
      </c>
    </row>
    <row r="41" spans="1:8" x14ac:dyDescent="0.6">
      <c r="B41" s="70" t="s">
        <v>168</v>
      </c>
      <c r="C41" s="70" t="s">
        <v>165</v>
      </c>
      <c r="D41" s="70">
        <v>0</v>
      </c>
      <c r="E41" s="70">
        <v>-11.099999999998545</v>
      </c>
      <c r="F41" s="70">
        <v>7.6000000000021828</v>
      </c>
      <c r="G41" s="70">
        <v>11.099999999998545</v>
      </c>
      <c r="H41" s="70">
        <v>1E+30</v>
      </c>
    </row>
    <row r="42" spans="1:8" ht="13.75" thickBot="1" x14ac:dyDescent="0.75">
      <c r="B42" s="69" t="s">
        <v>210</v>
      </c>
      <c r="C42" s="69" t="s">
        <v>169</v>
      </c>
      <c r="D42" s="69">
        <v>470</v>
      </c>
      <c r="E42" s="69">
        <v>0</v>
      </c>
      <c r="F42" s="69">
        <v>21.30000000000291</v>
      </c>
      <c r="G42" s="69">
        <v>1E+30</v>
      </c>
      <c r="H42" s="69">
        <v>11.600000000005821</v>
      </c>
    </row>
    <row r="44" spans="1:8" ht="13.75" thickBot="1" x14ac:dyDescent="0.75">
      <c r="A44" t="s">
        <v>99</v>
      </c>
    </row>
    <row r="45" spans="1:8" x14ac:dyDescent="0.6">
      <c r="B45" s="75"/>
      <c r="C45" s="75"/>
      <c r="D45" s="75" t="s">
        <v>250</v>
      </c>
      <c r="E45" s="75" t="s">
        <v>258</v>
      </c>
      <c r="F45" s="75" t="s">
        <v>259</v>
      </c>
      <c r="G45" s="75" t="s">
        <v>255</v>
      </c>
      <c r="H45" s="75" t="s">
        <v>255</v>
      </c>
    </row>
    <row r="46" spans="1:8" ht="13.75" thickBot="1" x14ac:dyDescent="0.75">
      <c r="B46" s="74" t="s">
        <v>72</v>
      </c>
      <c r="C46" s="74" t="s">
        <v>73</v>
      </c>
      <c r="D46" s="74" t="s">
        <v>251</v>
      </c>
      <c r="E46" s="74" t="s">
        <v>6</v>
      </c>
      <c r="F46" s="74" t="s">
        <v>260</v>
      </c>
      <c r="G46" s="74" t="s">
        <v>256</v>
      </c>
      <c r="H46" s="74" t="s">
        <v>257</v>
      </c>
    </row>
    <row r="47" spans="1:8" x14ac:dyDescent="0.6">
      <c r="B47" s="70" t="s">
        <v>314</v>
      </c>
      <c r="C47" s="70" t="s">
        <v>313</v>
      </c>
      <c r="D47" s="70">
        <v>4975.1243781094518</v>
      </c>
      <c r="E47" s="70">
        <v>0</v>
      </c>
      <c r="F47" s="70">
        <v>8030</v>
      </c>
      <c r="G47" s="70">
        <v>1E+30</v>
      </c>
      <c r="H47" s="70">
        <v>3054.8756218905473</v>
      </c>
    </row>
    <row r="48" spans="1:8" x14ac:dyDescent="0.6">
      <c r="B48" s="70" t="s">
        <v>184</v>
      </c>
      <c r="C48" s="70" t="s">
        <v>182</v>
      </c>
      <c r="D48" s="70">
        <v>276.19402985074589</v>
      </c>
      <c r="E48" s="70">
        <v>0</v>
      </c>
      <c r="F48" s="70">
        <v>900</v>
      </c>
      <c r="G48" s="70">
        <v>1E+30</v>
      </c>
      <c r="H48" s="70">
        <v>623.80597014925411</v>
      </c>
    </row>
    <row r="49" spans="2:8" x14ac:dyDescent="0.6">
      <c r="B49" s="70" t="s">
        <v>187</v>
      </c>
      <c r="C49" s="70" t="s">
        <v>185</v>
      </c>
      <c r="D49" s="70">
        <v>0</v>
      </c>
      <c r="E49" s="70">
        <v>0</v>
      </c>
      <c r="F49" s="70">
        <v>1150</v>
      </c>
      <c r="G49" s="70">
        <v>1E+30</v>
      </c>
      <c r="H49" s="70">
        <v>1150</v>
      </c>
    </row>
    <row r="50" spans="2:8" x14ac:dyDescent="0.6">
      <c r="B50" s="70" t="s">
        <v>190</v>
      </c>
      <c r="C50" s="70" t="s">
        <v>188</v>
      </c>
      <c r="D50" s="70">
        <v>800</v>
      </c>
      <c r="E50" s="70">
        <v>20.700000000000728</v>
      </c>
      <c r="F50" s="70">
        <v>800</v>
      </c>
      <c r="G50" s="70">
        <v>86.904848920398081</v>
      </c>
      <c r="H50" s="70">
        <v>113.09515107960192</v>
      </c>
    </row>
    <row r="51" spans="2:8" x14ac:dyDescent="0.6">
      <c r="B51" s="70" t="s">
        <v>193</v>
      </c>
      <c r="C51" s="70" t="s">
        <v>191</v>
      </c>
      <c r="D51" s="70">
        <v>775</v>
      </c>
      <c r="E51" s="70">
        <v>9.7999999999992724</v>
      </c>
      <c r="F51" s="70">
        <v>775</v>
      </c>
      <c r="G51" s="70">
        <v>276.19402985074589</v>
      </c>
      <c r="H51" s="70">
        <v>623.80597014925411</v>
      </c>
    </row>
    <row r="52" spans="2:8" x14ac:dyDescent="0.6">
      <c r="B52" s="70" t="s">
        <v>196</v>
      </c>
      <c r="C52" s="70" t="s">
        <v>194</v>
      </c>
      <c r="D52" s="70">
        <v>970</v>
      </c>
      <c r="E52" s="70">
        <v>14.80000000000291</v>
      </c>
      <c r="F52" s="70">
        <v>970</v>
      </c>
      <c r="G52" s="70">
        <v>86.904848920398081</v>
      </c>
      <c r="H52" s="70">
        <v>113.09515107960192</v>
      </c>
    </row>
    <row r="53" spans="2:8" x14ac:dyDescent="0.6">
      <c r="B53" s="70" t="s">
        <v>199</v>
      </c>
      <c r="C53" s="70" t="s">
        <v>197</v>
      </c>
      <c r="D53" s="70">
        <v>86.904848920398081</v>
      </c>
      <c r="E53" s="70">
        <v>0</v>
      </c>
      <c r="F53" s="70">
        <v>200</v>
      </c>
      <c r="G53" s="70">
        <v>1E+30</v>
      </c>
      <c r="H53" s="70">
        <v>113.09515107960192</v>
      </c>
    </row>
    <row r="54" spans="2:8" x14ac:dyDescent="0.6">
      <c r="B54" s="70" t="s">
        <v>202</v>
      </c>
      <c r="C54" s="70" t="s">
        <v>200</v>
      </c>
      <c r="D54" s="70">
        <v>400</v>
      </c>
      <c r="E54" s="70">
        <v>4.700000000000724</v>
      </c>
      <c r="F54" s="70">
        <v>400</v>
      </c>
      <c r="G54" s="70">
        <v>276.19402985074578</v>
      </c>
      <c r="H54" s="70">
        <v>400</v>
      </c>
    </row>
    <row r="55" spans="2:8" x14ac:dyDescent="0.6">
      <c r="B55" s="70" t="s">
        <v>205</v>
      </c>
      <c r="C55" s="70" t="s">
        <v>203</v>
      </c>
      <c r="D55" s="70">
        <v>310</v>
      </c>
      <c r="E55" s="70">
        <v>10.700000000000728</v>
      </c>
      <c r="F55" s="70">
        <v>310</v>
      </c>
      <c r="G55" s="70">
        <v>276.19402985074589</v>
      </c>
      <c r="H55" s="70">
        <v>310</v>
      </c>
    </row>
    <row r="56" spans="2:8" x14ac:dyDescent="0.6">
      <c r="B56" s="70" t="s">
        <v>326</v>
      </c>
      <c r="C56" s="70" t="s">
        <v>206</v>
      </c>
      <c r="D56" s="70">
        <v>470</v>
      </c>
      <c r="E56" s="70">
        <v>13.30000000000291</v>
      </c>
      <c r="F56" s="70">
        <v>470</v>
      </c>
      <c r="G56" s="70">
        <v>86.904848920398081</v>
      </c>
      <c r="H56" s="70">
        <v>113.09515107960192</v>
      </c>
    </row>
    <row r="57" spans="2:8" x14ac:dyDescent="0.6">
      <c r="B57" s="70" t="s">
        <v>184</v>
      </c>
      <c r="C57" s="70" t="s">
        <v>182</v>
      </c>
      <c r="D57" s="70">
        <v>276.19402985074589</v>
      </c>
      <c r="E57" s="70">
        <v>0</v>
      </c>
      <c r="F57" s="70">
        <v>0</v>
      </c>
      <c r="G57" s="70">
        <v>276.19402985074589</v>
      </c>
      <c r="H57" s="70">
        <v>1E+30</v>
      </c>
    </row>
    <row r="58" spans="2:8" x14ac:dyDescent="0.6">
      <c r="B58" s="70" t="s">
        <v>187</v>
      </c>
      <c r="C58" s="70" t="s">
        <v>185</v>
      </c>
      <c r="D58" s="70">
        <v>0</v>
      </c>
      <c r="E58" s="70">
        <v>-3.7000000000007276</v>
      </c>
      <c r="F58" s="70">
        <v>0</v>
      </c>
      <c r="G58" s="70">
        <v>86.904848920398081</v>
      </c>
      <c r="H58" s="70">
        <v>0</v>
      </c>
    </row>
    <row r="59" spans="2:8" x14ac:dyDescent="0.6">
      <c r="B59" s="70" t="s">
        <v>190</v>
      </c>
      <c r="C59" s="70" t="s">
        <v>188</v>
      </c>
      <c r="D59" s="70">
        <v>800</v>
      </c>
      <c r="E59" s="70">
        <v>0</v>
      </c>
      <c r="F59" s="70">
        <v>0</v>
      </c>
      <c r="G59" s="70">
        <v>800</v>
      </c>
      <c r="H59" s="70">
        <v>1E+30</v>
      </c>
    </row>
    <row r="60" spans="2:8" x14ac:dyDescent="0.6">
      <c r="B60" s="70" t="s">
        <v>193</v>
      </c>
      <c r="C60" s="70" t="s">
        <v>191</v>
      </c>
      <c r="D60" s="70">
        <v>775</v>
      </c>
      <c r="E60" s="70">
        <v>0</v>
      </c>
      <c r="F60" s="70">
        <v>0</v>
      </c>
      <c r="G60" s="70">
        <v>775</v>
      </c>
      <c r="H60" s="70">
        <v>1E+30</v>
      </c>
    </row>
    <row r="61" spans="2:8" x14ac:dyDescent="0.6">
      <c r="B61" s="70" t="s">
        <v>196</v>
      </c>
      <c r="C61" s="70" t="s">
        <v>194</v>
      </c>
      <c r="D61" s="70">
        <v>970</v>
      </c>
      <c r="E61" s="70">
        <v>0</v>
      </c>
      <c r="F61" s="70">
        <v>0</v>
      </c>
      <c r="G61" s="70">
        <v>970</v>
      </c>
      <c r="H61" s="70">
        <v>1E+30</v>
      </c>
    </row>
    <row r="62" spans="2:8" x14ac:dyDescent="0.6">
      <c r="B62" s="70" t="s">
        <v>199</v>
      </c>
      <c r="C62" s="70" t="s">
        <v>197</v>
      </c>
      <c r="D62" s="70">
        <v>86.904848920398081</v>
      </c>
      <c r="E62" s="70">
        <v>0</v>
      </c>
      <c r="F62" s="70">
        <v>0</v>
      </c>
      <c r="G62" s="70">
        <v>86.904848920398081</v>
      </c>
      <c r="H62" s="70">
        <v>1E+30</v>
      </c>
    </row>
    <row r="63" spans="2:8" x14ac:dyDescent="0.6">
      <c r="B63" s="70" t="s">
        <v>202</v>
      </c>
      <c r="C63" s="70" t="s">
        <v>200</v>
      </c>
      <c r="D63" s="70">
        <v>400</v>
      </c>
      <c r="E63" s="70">
        <v>0</v>
      </c>
      <c r="F63" s="70">
        <v>0</v>
      </c>
      <c r="G63" s="70">
        <v>400</v>
      </c>
      <c r="H63" s="70">
        <v>1E+30</v>
      </c>
    </row>
    <row r="64" spans="2:8" x14ac:dyDescent="0.6">
      <c r="B64" s="70" t="s">
        <v>205</v>
      </c>
      <c r="C64" s="70" t="s">
        <v>203</v>
      </c>
      <c r="D64" s="70">
        <v>310</v>
      </c>
      <c r="E64" s="70">
        <v>0</v>
      </c>
      <c r="F64" s="70">
        <v>0</v>
      </c>
      <c r="G64" s="70">
        <v>310</v>
      </c>
      <c r="H64" s="70">
        <v>1E+30</v>
      </c>
    </row>
    <row r="65" spans="2:8" x14ac:dyDescent="0.6">
      <c r="B65" s="70" t="s">
        <v>326</v>
      </c>
      <c r="C65" s="70" t="s">
        <v>206</v>
      </c>
      <c r="D65" s="70">
        <v>470</v>
      </c>
      <c r="E65" s="70">
        <v>0</v>
      </c>
      <c r="F65" s="70">
        <v>0</v>
      </c>
      <c r="G65" s="70">
        <v>470</v>
      </c>
      <c r="H65" s="70">
        <v>1E+30</v>
      </c>
    </row>
    <row r="66" spans="2:8" x14ac:dyDescent="0.6">
      <c r="B66" s="70" t="s">
        <v>324</v>
      </c>
      <c r="C66" s="70" t="s">
        <v>179</v>
      </c>
      <c r="D66" s="70">
        <v>1761.1940298507459</v>
      </c>
      <c r="E66" s="70">
        <v>10</v>
      </c>
      <c r="F66" s="70">
        <v>0</v>
      </c>
      <c r="G66" s="70">
        <v>623.80597014925411</v>
      </c>
      <c r="H66" s="70">
        <v>276.19402985074589</v>
      </c>
    </row>
    <row r="67" spans="2:8" x14ac:dyDescent="0.6">
      <c r="B67" s="70" t="s">
        <v>215</v>
      </c>
      <c r="C67" s="70" t="s">
        <v>216</v>
      </c>
      <c r="D67" s="70">
        <v>1000</v>
      </c>
      <c r="E67" s="70">
        <v>0.93391299999782085</v>
      </c>
      <c r="F67" s="70">
        <v>1000</v>
      </c>
      <c r="G67" s="70">
        <v>378.6106004787303</v>
      </c>
      <c r="H67" s="70">
        <v>290.93287130503444</v>
      </c>
    </row>
    <row r="68" spans="2:8" x14ac:dyDescent="0.6">
      <c r="B68" s="70" t="s">
        <v>218</v>
      </c>
      <c r="C68" s="70" t="s">
        <v>219</v>
      </c>
      <c r="D68" s="70">
        <v>1583</v>
      </c>
      <c r="E68" s="70">
        <v>1.6339129999985467</v>
      </c>
      <c r="F68" s="70">
        <v>1583</v>
      </c>
      <c r="G68" s="70">
        <v>378.6106004787303</v>
      </c>
      <c r="H68" s="70">
        <v>290.93287130503444</v>
      </c>
    </row>
    <row r="69" spans="2:8" x14ac:dyDescent="0.6">
      <c r="B69" s="70" t="s">
        <v>221</v>
      </c>
      <c r="C69" s="70" t="s">
        <v>222</v>
      </c>
      <c r="D69" s="70">
        <v>2140</v>
      </c>
      <c r="E69" s="70">
        <v>0.73391300000436566</v>
      </c>
      <c r="F69" s="70">
        <v>2140</v>
      </c>
      <c r="G69" s="70">
        <v>378.6106004787303</v>
      </c>
      <c r="H69" s="70">
        <v>290.93287130503444</v>
      </c>
    </row>
    <row r="70" spans="2:8" x14ac:dyDescent="0.6">
      <c r="B70" s="70" t="s">
        <v>224</v>
      </c>
      <c r="C70" s="70" t="s">
        <v>225</v>
      </c>
      <c r="D70" s="70">
        <v>1370</v>
      </c>
      <c r="E70" s="70">
        <v>3.8339129999992765</v>
      </c>
      <c r="F70" s="70">
        <v>1370</v>
      </c>
      <c r="G70" s="70">
        <v>378.61060047872991</v>
      </c>
      <c r="H70" s="70">
        <v>290.93287130503415</v>
      </c>
    </row>
    <row r="71" spans="2:8" x14ac:dyDescent="0.6">
      <c r="B71" s="70" t="s">
        <v>227</v>
      </c>
      <c r="C71" s="70" t="s">
        <v>228</v>
      </c>
      <c r="D71" s="70">
        <v>2000.0000000000002</v>
      </c>
      <c r="E71" s="70">
        <v>2.7339129999970808</v>
      </c>
      <c r="F71" s="70">
        <v>2000</v>
      </c>
      <c r="G71" s="70">
        <v>378.61060047873008</v>
      </c>
      <c r="H71" s="70">
        <v>290.93287130503427</v>
      </c>
    </row>
    <row r="72" spans="2:8" x14ac:dyDescent="0.6">
      <c r="B72" s="70" t="s">
        <v>230</v>
      </c>
      <c r="C72" s="70" t="s">
        <v>231</v>
      </c>
      <c r="D72" s="70">
        <v>1850</v>
      </c>
      <c r="E72" s="70">
        <v>3.4339130000014588</v>
      </c>
      <c r="F72" s="70">
        <v>1850</v>
      </c>
      <c r="G72" s="70">
        <v>378.61060047873008</v>
      </c>
      <c r="H72" s="70">
        <v>290.93287130503427</v>
      </c>
    </row>
    <row r="73" spans="2:8" x14ac:dyDescent="0.6">
      <c r="B73" s="70" t="s">
        <v>233</v>
      </c>
      <c r="C73" s="70" t="s">
        <v>234</v>
      </c>
      <c r="D73" s="70">
        <v>1260</v>
      </c>
      <c r="E73" s="70">
        <v>9.6339130000021882</v>
      </c>
      <c r="F73" s="70">
        <v>1260</v>
      </c>
      <c r="G73" s="70">
        <v>378.61060047872985</v>
      </c>
      <c r="H73" s="70">
        <v>290.9328713050341</v>
      </c>
    </row>
    <row r="74" spans="2:8" x14ac:dyDescent="0.6">
      <c r="B74" s="70" t="s">
        <v>236</v>
      </c>
      <c r="C74" s="70" t="s">
        <v>237</v>
      </c>
      <c r="D74" s="70">
        <v>1700</v>
      </c>
      <c r="E74" s="70">
        <v>3.2339129999970941</v>
      </c>
      <c r="F74" s="70">
        <v>1700</v>
      </c>
      <c r="G74" s="70">
        <v>378.61060047873008</v>
      </c>
      <c r="H74" s="70">
        <v>290.93287130503427</v>
      </c>
    </row>
    <row r="75" spans="2:8" x14ac:dyDescent="0.6">
      <c r="B75" s="70" t="s">
        <v>314</v>
      </c>
      <c r="C75" s="70" t="s">
        <v>313</v>
      </c>
      <c r="D75" s="70">
        <v>4975.1243781094518</v>
      </c>
      <c r="E75" s="70">
        <v>0</v>
      </c>
      <c r="F75" s="70">
        <v>4015</v>
      </c>
      <c r="G75" s="70">
        <v>960.12437810945255</v>
      </c>
      <c r="H75" s="70">
        <v>1E+30</v>
      </c>
    </row>
    <row r="76" spans="2:8" x14ac:dyDescent="0.6">
      <c r="B76" s="70" t="s">
        <v>170</v>
      </c>
      <c r="C76" s="70" t="s">
        <v>82</v>
      </c>
      <c r="D76" s="70">
        <v>3456.2495475820901</v>
      </c>
      <c r="E76" s="70">
        <v>0</v>
      </c>
      <c r="F76" s="70">
        <v>4000</v>
      </c>
      <c r="G76" s="70">
        <v>1E+30</v>
      </c>
      <c r="H76" s="70">
        <v>543.75045241791008</v>
      </c>
    </row>
    <row r="77" spans="2:8" x14ac:dyDescent="0.6">
      <c r="B77" s="70" t="s">
        <v>306</v>
      </c>
      <c r="C77" s="70" t="s">
        <v>305</v>
      </c>
      <c r="D77" s="70">
        <v>7579.4946218905479</v>
      </c>
      <c r="E77" s="70">
        <v>0</v>
      </c>
      <c r="F77" s="70">
        <v>8780</v>
      </c>
      <c r="G77" s="70">
        <v>1E+30</v>
      </c>
      <c r="H77" s="70">
        <v>1200.5053781094537</v>
      </c>
    </row>
    <row r="78" spans="2:8" x14ac:dyDescent="0.6">
      <c r="B78" s="70" t="s">
        <v>309</v>
      </c>
      <c r="C78" s="70" t="s">
        <v>211</v>
      </c>
      <c r="D78" s="70">
        <v>2326.9048489203979</v>
      </c>
      <c r="E78" s="70">
        <v>8</v>
      </c>
      <c r="F78" s="70">
        <v>0</v>
      </c>
      <c r="G78" s="70">
        <v>113.09515107960192</v>
      </c>
      <c r="H78" s="70">
        <v>86.904848920398081</v>
      </c>
    </row>
    <row r="79" spans="2:8" x14ac:dyDescent="0.6">
      <c r="B79" s="70" t="s">
        <v>170</v>
      </c>
      <c r="C79" s="70" t="s">
        <v>82</v>
      </c>
      <c r="D79" s="70">
        <v>3456.2495475820901</v>
      </c>
      <c r="E79" s="70">
        <v>0</v>
      </c>
      <c r="F79" s="70">
        <v>2000</v>
      </c>
      <c r="G79" s="70">
        <v>1456.2495475820897</v>
      </c>
      <c r="H79" s="70">
        <v>1E+30</v>
      </c>
    </row>
    <row r="80" spans="2:8" x14ac:dyDescent="0.6">
      <c r="B80" s="70" t="s">
        <v>306</v>
      </c>
      <c r="C80" s="70" t="s">
        <v>305</v>
      </c>
      <c r="D80" s="70">
        <v>7579.4946218905479</v>
      </c>
      <c r="E80" s="70">
        <v>0</v>
      </c>
      <c r="F80" s="70">
        <v>4390</v>
      </c>
      <c r="G80" s="70">
        <v>3189.4946218905461</v>
      </c>
      <c r="H80" s="70">
        <v>1E+30</v>
      </c>
    </row>
    <row r="81" spans="2:8" x14ac:dyDescent="0.6">
      <c r="B81" s="70" t="s">
        <v>174</v>
      </c>
      <c r="C81" s="70" t="s">
        <v>79</v>
      </c>
      <c r="D81" s="70">
        <v>1999.9999999999998</v>
      </c>
      <c r="E81" s="70">
        <v>67.269017195624997</v>
      </c>
      <c r="F81" s="70">
        <v>2000</v>
      </c>
      <c r="G81" s="70">
        <v>113.79722887947899</v>
      </c>
      <c r="H81" s="70">
        <v>148.09202193485342</v>
      </c>
    </row>
    <row r="82" spans="2:8" ht="13.75" thickBot="1" x14ac:dyDescent="0.75">
      <c r="B82" s="69" t="s">
        <v>174</v>
      </c>
      <c r="C82" s="69" t="s">
        <v>79</v>
      </c>
      <c r="D82" s="69">
        <v>1999.9999999999998</v>
      </c>
      <c r="E82" s="69">
        <v>0</v>
      </c>
      <c r="F82" s="69">
        <v>1000</v>
      </c>
      <c r="G82" s="69">
        <v>1000</v>
      </c>
      <c r="H82" s="69">
        <v>1E+30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FC675-1505-4C1C-B4CE-E349B3860264}">
  <sheetPr>
    <tabColor rgb="FFFFFF99"/>
  </sheetPr>
  <dimension ref="A1:J46"/>
  <sheetViews>
    <sheetView showGridLines="0" workbookViewId="0">
      <selection activeCell="M42" sqref="M42"/>
    </sheetView>
  </sheetViews>
  <sheetFormatPr defaultRowHeight="13" x14ac:dyDescent="0.6"/>
  <cols>
    <col min="1" max="1" width="2.1328125" customWidth="1"/>
    <col min="2" max="2" width="6" bestFit="1" customWidth="1"/>
    <col min="3" max="3" width="14.453125" bestFit="1" customWidth="1"/>
    <col min="4" max="4" width="12" bestFit="1" customWidth="1"/>
    <col min="5" max="5" width="2.1328125" customWidth="1"/>
    <col min="6" max="6" width="6.26953125" bestFit="1" customWidth="1"/>
    <col min="7" max="7" width="8.90625" bestFit="1" customWidth="1"/>
    <col min="8" max="8" width="2.1328125" customWidth="1"/>
    <col min="9" max="9" width="6.26953125" bestFit="1" customWidth="1"/>
    <col min="10" max="10" width="8.90625" bestFit="1" customWidth="1"/>
  </cols>
  <sheetData>
    <row r="1" spans="1:10" x14ac:dyDescent="0.6">
      <c r="A1" s="1" t="s">
        <v>261</v>
      </c>
    </row>
    <row r="2" spans="1:10" x14ac:dyDescent="0.6">
      <c r="A2" s="1" t="s">
        <v>348</v>
      </c>
    </row>
    <row r="3" spans="1:10" x14ac:dyDescent="0.6">
      <c r="A3" s="1" t="s">
        <v>350</v>
      </c>
    </row>
    <row r="5" spans="1:10" ht="13.75" thickBot="1" x14ac:dyDescent="0.75"/>
    <row r="6" spans="1:10" x14ac:dyDescent="0.6">
      <c r="B6" s="75"/>
      <c r="C6" s="75" t="s">
        <v>253</v>
      </c>
      <c r="D6" s="75"/>
    </row>
    <row r="7" spans="1:10" ht="13.75" thickBot="1" x14ac:dyDescent="0.75">
      <c r="B7" s="74" t="s">
        <v>72</v>
      </c>
      <c r="C7" s="74" t="s">
        <v>73</v>
      </c>
      <c r="D7" s="74" t="s">
        <v>251</v>
      </c>
    </row>
    <row r="8" spans="1:10" ht="13.75" thickBot="1" x14ac:dyDescent="0.75">
      <c r="B8" s="69" t="s">
        <v>274</v>
      </c>
      <c r="C8" s="69" t="s">
        <v>58</v>
      </c>
      <c r="D8" s="73">
        <v>200097.41380000001</v>
      </c>
    </row>
    <row r="10" spans="1:10" ht="13.75" thickBot="1" x14ac:dyDescent="0.75"/>
    <row r="11" spans="1:10" x14ac:dyDescent="0.6">
      <c r="B11" s="75"/>
      <c r="C11" s="75" t="s">
        <v>262</v>
      </c>
      <c r="D11" s="75"/>
      <c r="F11" s="75" t="s">
        <v>263</v>
      </c>
      <c r="G11" s="75" t="s">
        <v>253</v>
      </c>
      <c r="I11" s="75" t="s">
        <v>266</v>
      </c>
      <c r="J11" s="75" t="s">
        <v>253</v>
      </c>
    </row>
    <row r="12" spans="1:10" ht="13.75" thickBot="1" x14ac:dyDescent="0.75">
      <c r="B12" s="74" t="s">
        <v>72</v>
      </c>
      <c r="C12" s="74" t="s">
        <v>73</v>
      </c>
      <c r="D12" s="74" t="s">
        <v>251</v>
      </c>
      <c r="F12" s="74" t="s">
        <v>264</v>
      </c>
      <c r="G12" s="74" t="s">
        <v>265</v>
      </c>
      <c r="I12" s="74" t="s">
        <v>264</v>
      </c>
      <c r="J12" s="74" t="s">
        <v>265</v>
      </c>
    </row>
    <row r="13" spans="1:10" x14ac:dyDescent="0.6">
      <c r="B13" s="70" t="s">
        <v>101</v>
      </c>
      <c r="C13" s="70" t="s">
        <v>102</v>
      </c>
      <c r="D13" s="71">
        <v>1000</v>
      </c>
      <c r="F13" s="71">
        <v>1000</v>
      </c>
      <c r="G13" s="71">
        <v>200097.41</v>
      </c>
      <c r="I13" s="71">
        <v>1000</v>
      </c>
      <c r="J13" s="71">
        <v>200097.41</v>
      </c>
    </row>
    <row r="14" spans="1:10" x14ac:dyDescent="0.6">
      <c r="B14" s="70" t="s">
        <v>104</v>
      </c>
      <c r="C14" s="70" t="s">
        <v>105</v>
      </c>
      <c r="D14" s="71">
        <v>0</v>
      </c>
      <c r="F14" s="71">
        <v>0</v>
      </c>
      <c r="G14" s="71">
        <v>200097.41</v>
      </c>
      <c r="I14" s="71">
        <v>0</v>
      </c>
      <c r="J14" s="71">
        <v>200097.41</v>
      </c>
    </row>
    <row r="15" spans="1:10" x14ac:dyDescent="0.6">
      <c r="B15" s="70" t="s">
        <v>106</v>
      </c>
      <c r="C15" s="70" t="s">
        <v>107</v>
      </c>
      <c r="D15" s="71">
        <v>1583</v>
      </c>
      <c r="F15" s="71">
        <v>1583</v>
      </c>
      <c r="G15" s="71">
        <v>200097.41</v>
      </c>
      <c r="I15" s="71">
        <v>1583</v>
      </c>
      <c r="J15" s="71">
        <v>200097.41</v>
      </c>
    </row>
    <row r="16" spans="1:10" x14ac:dyDescent="0.6">
      <c r="B16" s="70" t="s">
        <v>108</v>
      </c>
      <c r="C16" s="70" t="s">
        <v>109</v>
      </c>
      <c r="D16" s="71">
        <v>0</v>
      </c>
      <c r="F16" s="71">
        <v>0</v>
      </c>
      <c r="G16" s="71">
        <v>200097.41</v>
      </c>
      <c r="I16" s="71">
        <v>0</v>
      </c>
      <c r="J16" s="71">
        <v>200097.41</v>
      </c>
    </row>
    <row r="17" spans="2:10" x14ac:dyDescent="0.6">
      <c r="B17" s="70" t="s">
        <v>110</v>
      </c>
      <c r="C17" s="70" t="s">
        <v>111</v>
      </c>
      <c r="D17" s="71">
        <v>0</v>
      </c>
      <c r="F17" s="71">
        <v>0</v>
      </c>
      <c r="G17" s="71">
        <v>200097.41</v>
      </c>
      <c r="I17" s="71">
        <v>0</v>
      </c>
      <c r="J17" s="71">
        <v>200097.41</v>
      </c>
    </row>
    <row r="18" spans="2:10" x14ac:dyDescent="0.6">
      <c r="B18" s="70" t="s">
        <v>112</v>
      </c>
      <c r="C18" s="70" t="s">
        <v>113</v>
      </c>
      <c r="D18" s="71">
        <v>2140</v>
      </c>
      <c r="F18" s="71">
        <v>2140</v>
      </c>
      <c r="G18" s="71">
        <v>200097.41</v>
      </c>
      <c r="I18" s="71">
        <v>2140</v>
      </c>
      <c r="J18" s="71">
        <v>200097.41</v>
      </c>
    </row>
    <row r="19" spans="2:10" x14ac:dyDescent="0.6">
      <c r="B19" s="70" t="s">
        <v>114</v>
      </c>
      <c r="C19" s="70" t="s">
        <v>115</v>
      </c>
      <c r="D19" s="71">
        <v>530.18024471680542</v>
      </c>
      <c r="F19" s="71">
        <v>530.18024471680542</v>
      </c>
      <c r="G19" s="71">
        <v>200097.41</v>
      </c>
      <c r="I19" s="71">
        <v>530.18024471680542</v>
      </c>
      <c r="J19" s="71">
        <v>200097.41</v>
      </c>
    </row>
    <row r="20" spans="2:10" x14ac:dyDescent="0.6">
      <c r="B20" s="70" t="s">
        <v>116</v>
      </c>
      <c r="C20" s="70" t="s">
        <v>117</v>
      </c>
      <c r="D20" s="71">
        <v>839.81975528319458</v>
      </c>
      <c r="F20" s="71">
        <v>839.81975528319458</v>
      </c>
      <c r="G20" s="71">
        <v>200097.41</v>
      </c>
      <c r="I20" s="71">
        <v>839.81975528319458</v>
      </c>
      <c r="J20" s="71">
        <v>200097.41</v>
      </c>
    </row>
    <row r="21" spans="2:10" x14ac:dyDescent="0.6">
      <c r="B21" s="70" t="s">
        <v>118</v>
      </c>
      <c r="C21" s="70" t="s">
        <v>119</v>
      </c>
      <c r="D21" s="71">
        <v>2000.0000000000002</v>
      </c>
      <c r="F21" s="71">
        <v>2000</v>
      </c>
      <c r="G21" s="71">
        <v>200097.41</v>
      </c>
      <c r="I21" s="71">
        <v>2000</v>
      </c>
      <c r="J21" s="71">
        <v>200097.41</v>
      </c>
    </row>
    <row r="22" spans="2:10" x14ac:dyDescent="0.6">
      <c r="B22" s="70" t="s">
        <v>120</v>
      </c>
      <c r="C22" s="70" t="s">
        <v>121</v>
      </c>
      <c r="D22" s="71">
        <v>0</v>
      </c>
      <c r="F22" s="71">
        <v>-2.2737367544323206E-13</v>
      </c>
      <c r="G22" s="71">
        <v>200097.41</v>
      </c>
      <c r="I22" s="71">
        <v>-2.2737367544323206E-13</v>
      </c>
      <c r="J22" s="71">
        <v>200097.41</v>
      </c>
    </row>
    <row r="23" spans="2:10" x14ac:dyDescent="0.6">
      <c r="B23" s="70" t="s">
        <v>122</v>
      </c>
      <c r="C23" s="70" t="s">
        <v>123</v>
      </c>
      <c r="D23" s="71">
        <v>0</v>
      </c>
      <c r="F23" s="71">
        <v>0</v>
      </c>
      <c r="G23" s="71">
        <v>200097.41</v>
      </c>
      <c r="I23" s="71">
        <v>0</v>
      </c>
      <c r="J23" s="71">
        <v>200097.41</v>
      </c>
    </row>
    <row r="24" spans="2:10" x14ac:dyDescent="0.6">
      <c r="B24" s="70" t="s">
        <v>124</v>
      </c>
      <c r="C24" s="70" t="s">
        <v>125</v>
      </c>
      <c r="D24" s="71">
        <v>1850</v>
      </c>
      <c r="F24" s="71">
        <v>1850</v>
      </c>
      <c r="G24" s="71">
        <v>200097.41</v>
      </c>
      <c r="I24" s="71">
        <v>1850</v>
      </c>
      <c r="J24" s="71">
        <v>200097.41</v>
      </c>
    </row>
    <row r="25" spans="2:10" x14ac:dyDescent="0.6">
      <c r="B25" s="70" t="s">
        <v>126</v>
      </c>
      <c r="C25" s="70" t="s">
        <v>127</v>
      </c>
      <c r="D25" s="71">
        <v>0</v>
      </c>
      <c r="F25" s="71">
        <v>0</v>
      </c>
      <c r="G25" s="71">
        <v>200097.41</v>
      </c>
      <c r="I25" s="71">
        <v>0</v>
      </c>
      <c r="J25" s="71">
        <v>200097.41</v>
      </c>
    </row>
    <row r="26" spans="2:10" x14ac:dyDescent="0.6">
      <c r="B26" s="70" t="s">
        <v>128</v>
      </c>
      <c r="C26" s="70" t="s">
        <v>129</v>
      </c>
      <c r="D26" s="71">
        <v>1260</v>
      </c>
      <c r="F26" s="71">
        <v>1260</v>
      </c>
      <c r="G26" s="71">
        <v>200097.41</v>
      </c>
      <c r="I26" s="71">
        <v>1260</v>
      </c>
      <c r="J26" s="71">
        <v>200097.41</v>
      </c>
    </row>
    <row r="27" spans="2:10" x14ac:dyDescent="0.6">
      <c r="B27" s="70" t="s">
        <v>130</v>
      </c>
      <c r="C27" s="70" t="s">
        <v>131</v>
      </c>
      <c r="D27" s="71">
        <v>0</v>
      </c>
      <c r="F27" s="71">
        <v>0</v>
      </c>
      <c r="G27" s="71">
        <v>200097.41</v>
      </c>
      <c r="I27" s="71">
        <v>0</v>
      </c>
      <c r="J27" s="71">
        <v>200097.41</v>
      </c>
    </row>
    <row r="28" spans="2:10" x14ac:dyDescent="0.6">
      <c r="B28" s="70" t="s">
        <v>132</v>
      </c>
      <c r="C28" s="70" t="s">
        <v>133</v>
      </c>
      <c r="D28" s="71">
        <v>1700</v>
      </c>
      <c r="F28" s="71">
        <v>1700</v>
      </c>
      <c r="G28" s="71">
        <v>200097.41</v>
      </c>
      <c r="I28" s="71">
        <v>1700</v>
      </c>
      <c r="J28" s="71">
        <v>200097.41</v>
      </c>
    </row>
    <row r="29" spans="2:10" x14ac:dyDescent="0.6">
      <c r="B29" s="70" t="s">
        <v>138</v>
      </c>
      <c r="C29" s="70" t="s">
        <v>135</v>
      </c>
      <c r="D29" s="71">
        <v>276.19402985074589</v>
      </c>
      <c r="F29" s="71">
        <v>0</v>
      </c>
      <c r="G29" s="71">
        <v>197335.47</v>
      </c>
      <c r="I29" s="71">
        <v>276.19402985074589</v>
      </c>
      <c r="J29" s="71">
        <v>200097.41</v>
      </c>
    </row>
    <row r="30" spans="2:10" x14ac:dyDescent="0.6">
      <c r="B30" s="70" t="s">
        <v>140</v>
      </c>
      <c r="C30" s="70" t="s">
        <v>137</v>
      </c>
      <c r="D30" s="71">
        <v>0</v>
      </c>
      <c r="F30" s="71">
        <v>0</v>
      </c>
      <c r="G30" s="71">
        <v>200097.41</v>
      </c>
      <c r="I30" s="71">
        <v>4.5474735088646412E-13</v>
      </c>
      <c r="J30" s="71">
        <v>200097.41</v>
      </c>
    </row>
    <row r="31" spans="2:10" x14ac:dyDescent="0.6">
      <c r="B31" s="70" t="s">
        <v>142</v>
      </c>
      <c r="C31" s="70" t="s">
        <v>139</v>
      </c>
      <c r="D31" s="71">
        <v>0</v>
      </c>
      <c r="F31" s="71">
        <v>0</v>
      </c>
      <c r="G31" s="71">
        <v>200097.41</v>
      </c>
      <c r="I31" s="71">
        <v>0</v>
      </c>
      <c r="J31" s="71">
        <v>200097.41</v>
      </c>
    </row>
    <row r="32" spans="2:10" x14ac:dyDescent="0.6">
      <c r="B32" s="70" t="s">
        <v>144</v>
      </c>
      <c r="C32" s="70" t="s">
        <v>141</v>
      </c>
      <c r="D32" s="71">
        <v>0</v>
      </c>
      <c r="F32" s="71">
        <v>0</v>
      </c>
      <c r="G32" s="71">
        <v>200097.41</v>
      </c>
      <c r="I32" s="71">
        <v>4.5474735088646412E-13</v>
      </c>
      <c r="J32" s="71">
        <v>200097.41</v>
      </c>
    </row>
    <row r="33" spans="2:10" x14ac:dyDescent="0.6">
      <c r="B33" s="70" t="s">
        <v>146</v>
      </c>
      <c r="C33" s="70" t="s">
        <v>143</v>
      </c>
      <c r="D33" s="71">
        <v>0</v>
      </c>
      <c r="F33" s="71">
        <v>0</v>
      </c>
      <c r="G33" s="71">
        <v>200097.41</v>
      </c>
      <c r="I33" s="71">
        <v>0</v>
      </c>
      <c r="J33" s="71">
        <v>200097.41</v>
      </c>
    </row>
    <row r="34" spans="2:10" x14ac:dyDescent="0.6">
      <c r="B34" s="70" t="s">
        <v>148</v>
      </c>
      <c r="C34" s="70" t="s">
        <v>145</v>
      </c>
      <c r="D34" s="71">
        <v>800</v>
      </c>
      <c r="F34" s="71">
        <v>0</v>
      </c>
      <c r="G34" s="71">
        <v>177137.41</v>
      </c>
      <c r="I34" s="71">
        <v>800</v>
      </c>
      <c r="J34" s="71">
        <v>200097.41</v>
      </c>
    </row>
    <row r="35" spans="2:10" x14ac:dyDescent="0.6">
      <c r="B35" s="70" t="s">
        <v>150</v>
      </c>
      <c r="C35" s="70" t="s">
        <v>147</v>
      </c>
      <c r="D35" s="71">
        <v>775</v>
      </c>
      <c r="F35" s="71">
        <v>0</v>
      </c>
      <c r="G35" s="71">
        <v>184752.41</v>
      </c>
      <c r="I35" s="71">
        <v>775</v>
      </c>
      <c r="J35" s="71">
        <v>200097.41</v>
      </c>
    </row>
    <row r="36" spans="2:10" x14ac:dyDescent="0.6">
      <c r="B36" s="70" t="s">
        <v>152</v>
      </c>
      <c r="C36" s="70" t="s">
        <v>149</v>
      </c>
      <c r="D36" s="71">
        <v>0</v>
      </c>
      <c r="F36" s="71">
        <v>0</v>
      </c>
      <c r="G36" s="71">
        <v>200097.41</v>
      </c>
      <c r="I36" s="71">
        <v>0</v>
      </c>
      <c r="J36" s="71">
        <v>200097.41</v>
      </c>
    </row>
    <row r="37" spans="2:10" x14ac:dyDescent="0.6">
      <c r="B37" s="70" t="s">
        <v>154</v>
      </c>
      <c r="C37" s="70" t="s">
        <v>151</v>
      </c>
      <c r="D37" s="71">
        <v>0</v>
      </c>
      <c r="F37" s="71">
        <v>0</v>
      </c>
      <c r="G37" s="71">
        <v>200097.41</v>
      </c>
      <c r="I37" s="71">
        <v>0</v>
      </c>
      <c r="J37" s="71">
        <v>200097.41</v>
      </c>
    </row>
    <row r="38" spans="2:10" x14ac:dyDescent="0.6">
      <c r="B38" s="70" t="s">
        <v>156</v>
      </c>
      <c r="C38" s="70" t="s">
        <v>153</v>
      </c>
      <c r="D38" s="71">
        <v>970</v>
      </c>
      <c r="F38" s="71">
        <v>0</v>
      </c>
      <c r="G38" s="71">
        <v>177981.41</v>
      </c>
      <c r="I38" s="71">
        <v>970</v>
      </c>
      <c r="J38" s="71">
        <v>200097.41</v>
      </c>
    </row>
    <row r="39" spans="2:10" x14ac:dyDescent="0.6">
      <c r="B39" s="70" t="s">
        <v>158</v>
      </c>
      <c r="C39" s="70" t="s">
        <v>155</v>
      </c>
      <c r="D39" s="71">
        <v>0</v>
      </c>
      <c r="F39" s="71">
        <v>0</v>
      </c>
      <c r="G39" s="71">
        <v>200097.41</v>
      </c>
      <c r="I39" s="71">
        <v>0</v>
      </c>
      <c r="J39" s="71">
        <v>200097.41</v>
      </c>
    </row>
    <row r="40" spans="2:10" x14ac:dyDescent="0.6">
      <c r="B40" s="70" t="s">
        <v>160</v>
      </c>
      <c r="C40" s="70" t="s">
        <v>157</v>
      </c>
      <c r="D40" s="71">
        <v>86.904848920398081</v>
      </c>
      <c r="F40" s="71">
        <v>0</v>
      </c>
      <c r="G40" s="71">
        <v>199402.18</v>
      </c>
      <c r="I40" s="71">
        <v>86.904848920398308</v>
      </c>
      <c r="J40" s="71">
        <v>200097.41</v>
      </c>
    </row>
    <row r="41" spans="2:10" x14ac:dyDescent="0.6">
      <c r="B41" s="70" t="s">
        <v>162</v>
      </c>
      <c r="C41" s="70" t="s">
        <v>159</v>
      </c>
      <c r="D41" s="71">
        <v>400</v>
      </c>
      <c r="F41" s="71">
        <v>0</v>
      </c>
      <c r="G41" s="71">
        <v>194217.41</v>
      </c>
      <c r="I41" s="71">
        <v>400</v>
      </c>
      <c r="J41" s="71">
        <v>200097.41</v>
      </c>
    </row>
    <row r="42" spans="2:10" x14ac:dyDescent="0.6">
      <c r="B42" s="70" t="s">
        <v>164</v>
      </c>
      <c r="C42" s="70" t="s">
        <v>161</v>
      </c>
      <c r="D42" s="71">
        <v>0</v>
      </c>
      <c r="F42" s="71">
        <v>0</v>
      </c>
      <c r="G42" s="71">
        <v>200097.41</v>
      </c>
      <c r="I42" s="71">
        <v>0</v>
      </c>
      <c r="J42" s="71">
        <v>200097.41</v>
      </c>
    </row>
    <row r="43" spans="2:10" x14ac:dyDescent="0.6">
      <c r="B43" s="70" t="s">
        <v>166</v>
      </c>
      <c r="C43" s="70" t="s">
        <v>163</v>
      </c>
      <c r="D43" s="71">
        <v>310</v>
      </c>
      <c r="F43" s="71">
        <v>0</v>
      </c>
      <c r="G43" s="71">
        <v>193680.41</v>
      </c>
      <c r="I43" s="71">
        <v>310</v>
      </c>
      <c r="J43" s="71">
        <v>200097.41</v>
      </c>
    </row>
    <row r="44" spans="2:10" x14ac:dyDescent="0.6">
      <c r="B44" s="70" t="s">
        <v>168</v>
      </c>
      <c r="C44" s="70" t="s">
        <v>165</v>
      </c>
      <c r="D44" s="71">
        <v>0</v>
      </c>
      <c r="F44" s="71">
        <v>0</v>
      </c>
      <c r="G44" s="71">
        <v>200097.41</v>
      </c>
      <c r="I44" s="71">
        <v>0</v>
      </c>
      <c r="J44" s="71">
        <v>200097.41</v>
      </c>
    </row>
    <row r="45" spans="2:10" x14ac:dyDescent="0.6">
      <c r="B45" s="70" t="s">
        <v>178</v>
      </c>
      <c r="C45" s="70" t="s">
        <v>167</v>
      </c>
      <c r="D45" s="71">
        <v>0</v>
      </c>
      <c r="F45" s="71">
        <v>0</v>
      </c>
      <c r="G45" s="71">
        <v>200097.41</v>
      </c>
      <c r="I45" s="71">
        <v>0</v>
      </c>
      <c r="J45" s="71">
        <v>200097.41</v>
      </c>
    </row>
    <row r="46" spans="2:10" ht="13.75" thickBot="1" x14ac:dyDescent="0.75">
      <c r="B46" s="69" t="s">
        <v>210</v>
      </c>
      <c r="C46" s="69" t="s">
        <v>169</v>
      </c>
      <c r="D46" s="68">
        <v>470</v>
      </c>
      <c r="F46" s="68">
        <v>0</v>
      </c>
      <c r="G46" s="68">
        <v>190086.41</v>
      </c>
      <c r="I46" s="68">
        <v>470</v>
      </c>
      <c r="J46" s="68">
        <v>200097.41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D7A89-DAAB-4F2B-9936-DB79BE29F463}">
  <sheetPr>
    <tabColor rgb="FFFFFF99"/>
  </sheetPr>
  <dimension ref="A1:P45"/>
  <sheetViews>
    <sheetView topLeftCell="C1" zoomScale="80" zoomScaleNormal="80" workbookViewId="0">
      <selection activeCell="J41" sqref="J41"/>
    </sheetView>
  </sheetViews>
  <sheetFormatPr defaultRowHeight="13" x14ac:dyDescent="0.6"/>
  <cols>
    <col min="1" max="1" width="20.7265625" bestFit="1" customWidth="1"/>
    <col min="2" max="2" width="10.76953125" bestFit="1" customWidth="1"/>
    <col min="3" max="3" width="24.26953125" bestFit="1" customWidth="1"/>
    <col min="4" max="4" width="7.86328125" customWidth="1"/>
    <col min="5" max="5" width="24.6796875" bestFit="1" customWidth="1"/>
    <col min="7" max="7" width="16.453125" bestFit="1" customWidth="1"/>
    <col min="8" max="8" width="16.453125" customWidth="1"/>
    <col min="9" max="9" width="16" bestFit="1" customWidth="1"/>
    <col min="10" max="10" width="16.86328125" bestFit="1" customWidth="1"/>
    <col min="11" max="11" width="16" bestFit="1" customWidth="1"/>
    <col min="12" max="12" width="16.86328125" bestFit="1" customWidth="1"/>
    <col min="13" max="13" width="16" bestFit="1" customWidth="1"/>
    <col min="14" max="14" width="16.86328125" bestFit="1" customWidth="1"/>
    <col min="15" max="15" width="16" bestFit="1" customWidth="1"/>
    <col min="16" max="16" width="16.86328125" bestFit="1" customWidth="1"/>
  </cols>
  <sheetData>
    <row r="1" spans="1:16" x14ac:dyDescent="0.6">
      <c r="A1" t="s">
        <v>361</v>
      </c>
      <c r="I1" s="64" t="s">
        <v>97</v>
      </c>
      <c r="J1" s="64"/>
      <c r="K1" s="64" t="s">
        <v>97</v>
      </c>
      <c r="L1" s="64"/>
      <c r="M1" s="64" t="s">
        <v>99</v>
      </c>
      <c r="N1" s="64"/>
      <c r="O1" s="64"/>
      <c r="P1" s="64"/>
    </row>
    <row r="2" spans="1:16" x14ac:dyDescent="0.6">
      <c r="I2" s="64" t="s">
        <v>7</v>
      </c>
      <c r="J2" s="64"/>
      <c r="K2" s="87" t="s">
        <v>8</v>
      </c>
      <c r="L2" s="87"/>
      <c r="M2" s="64" t="s">
        <v>369</v>
      </c>
      <c r="N2" s="64"/>
      <c r="O2" s="64" t="s">
        <v>368</v>
      </c>
      <c r="P2" s="64"/>
    </row>
    <row r="3" spans="1:16" x14ac:dyDescent="0.6">
      <c r="A3" s="21" t="s">
        <v>62</v>
      </c>
      <c r="B3" t="s">
        <v>74</v>
      </c>
      <c r="C3" t="s">
        <v>367</v>
      </c>
      <c r="D3" t="s">
        <v>77</v>
      </c>
      <c r="E3" t="s">
        <v>366</v>
      </c>
      <c r="F3" t="s">
        <v>77</v>
      </c>
      <c r="G3" t="s">
        <v>365</v>
      </c>
      <c r="H3" t="s">
        <v>364</v>
      </c>
      <c r="I3" t="s">
        <v>363</v>
      </c>
      <c r="J3" t="s">
        <v>362</v>
      </c>
      <c r="K3" t="s">
        <v>363</v>
      </c>
      <c r="L3" t="s">
        <v>362</v>
      </c>
      <c r="M3" t="s">
        <v>363</v>
      </c>
      <c r="N3" t="s">
        <v>362</v>
      </c>
      <c r="O3" t="s">
        <v>363</v>
      </c>
      <c r="P3" t="s">
        <v>362</v>
      </c>
    </row>
    <row r="4" spans="1:16" x14ac:dyDescent="0.6">
      <c r="A4" s="5" t="s">
        <v>39</v>
      </c>
      <c r="B4">
        <v>480</v>
      </c>
      <c r="C4" t="s">
        <v>80</v>
      </c>
      <c r="D4">
        <v>0</v>
      </c>
      <c r="E4" t="s">
        <v>83</v>
      </c>
      <c r="F4">
        <v>420</v>
      </c>
      <c r="G4">
        <v>-9.7999999999992724</v>
      </c>
      <c r="H4">
        <v>0</v>
      </c>
      <c r="I4">
        <v>9.7999999999992724</v>
      </c>
      <c r="J4">
        <v>13.400000000005093</v>
      </c>
      <c r="K4">
        <v>13.400000000005093</v>
      </c>
      <c r="L4">
        <v>1E+30</v>
      </c>
      <c r="M4">
        <v>76.098878771143291</v>
      </c>
      <c r="N4">
        <v>123.9011212288567</v>
      </c>
      <c r="O4">
        <v>1E+30</v>
      </c>
      <c r="P4">
        <v>420</v>
      </c>
    </row>
    <row r="5" spans="1:16" x14ac:dyDescent="0.6">
      <c r="A5" t="s">
        <v>40</v>
      </c>
      <c r="B5">
        <v>850</v>
      </c>
      <c r="C5" t="s">
        <v>80</v>
      </c>
      <c r="D5">
        <v>0</v>
      </c>
      <c r="E5" t="s">
        <v>83</v>
      </c>
      <c r="F5">
        <v>300</v>
      </c>
      <c r="G5">
        <v>-24.80000000000291</v>
      </c>
      <c r="H5">
        <v>0</v>
      </c>
      <c r="I5">
        <v>10.699999999993452</v>
      </c>
      <c r="J5">
        <v>1E+30</v>
      </c>
      <c r="K5">
        <v>24.80000000000291</v>
      </c>
      <c r="L5">
        <v>10.699999999993452</v>
      </c>
      <c r="M5">
        <v>76.098878771143291</v>
      </c>
      <c r="N5">
        <v>123.9011212288567</v>
      </c>
      <c r="O5">
        <v>1E+30</v>
      </c>
      <c r="P5">
        <v>300</v>
      </c>
    </row>
    <row r="6" spans="1:16" x14ac:dyDescent="0.6">
      <c r="A6" t="s">
        <v>41</v>
      </c>
      <c r="B6">
        <v>640</v>
      </c>
      <c r="C6" t="s">
        <v>80</v>
      </c>
      <c r="D6">
        <v>0</v>
      </c>
      <c r="E6" t="s">
        <v>83</v>
      </c>
      <c r="F6">
        <v>159.99999999999966</v>
      </c>
      <c r="G6">
        <v>-0.40000000000145519</v>
      </c>
      <c r="H6">
        <v>0</v>
      </c>
      <c r="I6">
        <v>0.40000000000145519</v>
      </c>
      <c r="J6">
        <v>0.30000000000291038</v>
      </c>
      <c r="K6">
        <v>0.30000000000291038</v>
      </c>
      <c r="L6">
        <v>6.2999999999992724</v>
      </c>
      <c r="M6">
        <v>76.098878771143291</v>
      </c>
      <c r="N6">
        <v>123.90112122885671</v>
      </c>
      <c r="O6">
        <v>1E+30</v>
      </c>
      <c r="P6">
        <v>160</v>
      </c>
    </row>
    <row r="7" spans="1:16" x14ac:dyDescent="0.6">
      <c r="A7" t="s">
        <v>42</v>
      </c>
      <c r="B7">
        <v>651.09887877114409</v>
      </c>
      <c r="C7" t="s">
        <v>83</v>
      </c>
      <c r="D7">
        <v>76.098878771143291</v>
      </c>
      <c r="E7" t="s">
        <v>83</v>
      </c>
      <c r="F7">
        <v>123.90112122885671</v>
      </c>
      <c r="G7">
        <v>0</v>
      </c>
      <c r="H7">
        <v>0</v>
      </c>
      <c r="I7">
        <v>0.9000000000014553</v>
      </c>
      <c r="J7">
        <v>0.40000000000145525</v>
      </c>
      <c r="K7">
        <v>14.600000000002183</v>
      </c>
      <c r="L7">
        <v>1E+30</v>
      </c>
      <c r="M7">
        <v>76.098878771143291</v>
      </c>
      <c r="N7">
        <v>1E+30</v>
      </c>
      <c r="O7">
        <v>1E+30</v>
      </c>
      <c r="P7">
        <v>123.9011212288567</v>
      </c>
    </row>
    <row r="8" spans="1:16" x14ac:dyDescent="0.6">
      <c r="A8" t="s">
        <v>43</v>
      </c>
      <c r="B8">
        <v>970</v>
      </c>
      <c r="C8" t="s">
        <v>80</v>
      </c>
      <c r="D8">
        <v>0</v>
      </c>
      <c r="E8" t="s">
        <v>80</v>
      </c>
      <c r="F8">
        <v>0</v>
      </c>
      <c r="G8">
        <v>-6.2999999999992724</v>
      </c>
      <c r="H8">
        <v>0</v>
      </c>
      <c r="I8">
        <v>2</v>
      </c>
      <c r="J8">
        <v>1E+30</v>
      </c>
      <c r="K8">
        <v>6.2999999999992724</v>
      </c>
      <c r="L8">
        <v>2</v>
      </c>
      <c r="M8">
        <v>0</v>
      </c>
      <c r="N8">
        <v>123.9011212288567</v>
      </c>
      <c r="O8">
        <v>1E+30</v>
      </c>
      <c r="P8">
        <v>-2.8421709430404007E-14</v>
      </c>
    </row>
    <row r="9" spans="1:16" x14ac:dyDescent="0.6">
      <c r="A9" s="5" t="s">
        <v>44</v>
      </c>
      <c r="B9">
        <v>107</v>
      </c>
      <c r="C9" t="s">
        <v>80</v>
      </c>
      <c r="D9">
        <v>0</v>
      </c>
      <c r="E9" t="s">
        <v>83</v>
      </c>
      <c r="F9">
        <v>93</v>
      </c>
      <c r="G9">
        <v>-10.100000000002183</v>
      </c>
      <c r="H9">
        <v>0</v>
      </c>
      <c r="I9">
        <v>10.100000000002183</v>
      </c>
      <c r="J9">
        <v>11</v>
      </c>
      <c r="K9">
        <v>11</v>
      </c>
      <c r="L9">
        <v>1E+30</v>
      </c>
      <c r="M9">
        <v>76.098878771143291</v>
      </c>
      <c r="N9">
        <v>107</v>
      </c>
      <c r="O9">
        <v>1E+30</v>
      </c>
      <c r="P9">
        <v>93.000000000000014</v>
      </c>
    </row>
    <row r="10" spans="1:16" x14ac:dyDescent="0.6">
      <c r="A10" t="s">
        <v>45</v>
      </c>
      <c r="B10">
        <v>80</v>
      </c>
      <c r="C10" t="s">
        <v>80</v>
      </c>
      <c r="D10">
        <v>0</v>
      </c>
      <c r="E10" t="s">
        <v>83</v>
      </c>
      <c r="F10">
        <v>320</v>
      </c>
      <c r="G10">
        <v>-5.0999999999985484</v>
      </c>
      <c r="H10">
        <v>0</v>
      </c>
      <c r="I10">
        <v>5.0999999999985484</v>
      </c>
      <c r="J10">
        <v>34.20000000000438</v>
      </c>
      <c r="K10">
        <v>34.20000000000438</v>
      </c>
      <c r="L10">
        <v>1E+30</v>
      </c>
      <c r="M10">
        <v>76.098878771143262</v>
      </c>
      <c r="N10">
        <v>80</v>
      </c>
      <c r="O10">
        <v>1E+30</v>
      </c>
      <c r="P10">
        <v>320</v>
      </c>
    </row>
    <row r="11" spans="1:16" x14ac:dyDescent="0.6">
      <c r="A11" t="s">
        <v>46</v>
      </c>
      <c r="B11">
        <v>310</v>
      </c>
      <c r="C11" t="s">
        <v>83</v>
      </c>
      <c r="D11">
        <v>310</v>
      </c>
      <c r="E11" t="s">
        <v>80</v>
      </c>
      <c r="F11">
        <v>0</v>
      </c>
      <c r="G11">
        <v>0</v>
      </c>
      <c r="H11">
        <v>0.90000000000145519</v>
      </c>
      <c r="I11">
        <v>1E+30</v>
      </c>
      <c r="J11">
        <v>0.90000000000145519</v>
      </c>
      <c r="K11">
        <v>22.400000000001455</v>
      </c>
      <c r="L11">
        <v>1E+30</v>
      </c>
      <c r="M11">
        <v>310</v>
      </c>
      <c r="N11">
        <v>1E+30</v>
      </c>
      <c r="O11">
        <v>76.098878771143291</v>
      </c>
      <c r="P11">
        <v>123.90112122885671</v>
      </c>
    </row>
    <row r="12" spans="1:16" x14ac:dyDescent="0.6">
      <c r="A12" t="s">
        <v>47</v>
      </c>
      <c r="B12">
        <v>0</v>
      </c>
      <c r="C12" t="s">
        <v>80</v>
      </c>
      <c r="D12">
        <v>0</v>
      </c>
      <c r="E12" t="s">
        <v>83</v>
      </c>
      <c r="F12">
        <v>470</v>
      </c>
      <c r="G12">
        <v>-7.7999999999992724</v>
      </c>
      <c r="H12">
        <v>0</v>
      </c>
      <c r="I12">
        <v>0.30000000000291038</v>
      </c>
      <c r="J12">
        <v>1E+30</v>
      </c>
      <c r="K12">
        <v>7.7999999999992724</v>
      </c>
      <c r="L12">
        <v>0.30000000000291038</v>
      </c>
      <c r="M12">
        <v>76.098878771143291</v>
      </c>
      <c r="N12">
        <v>0</v>
      </c>
      <c r="O12">
        <v>1E+30</v>
      </c>
      <c r="P12">
        <v>470</v>
      </c>
    </row>
    <row r="14" spans="1:16" x14ac:dyDescent="0.6">
      <c r="A14" t="s">
        <v>370</v>
      </c>
      <c r="I14" s="64" t="s">
        <v>97</v>
      </c>
      <c r="J14" s="64"/>
      <c r="K14" s="64" t="s">
        <v>97</v>
      </c>
      <c r="L14" s="64"/>
      <c r="M14" s="64" t="s">
        <v>99</v>
      </c>
      <c r="N14" s="64"/>
      <c r="O14" s="64"/>
      <c r="P14" s="64"/>
    </row>
    <row r="15" spans="1:16" x14ac:dyDescent="0.6">
      <c r="I15" s="64" t="s">
        <v>7</v>
      </c>
      <c r="J15" s="64"/>
      <c r="K15" s="87" t="s">
        <v>8</v>
      </c>
      <c r="L15" s="87"/>
      <c r="M15" s="64" t="s">
        <v>369</v>
      </c>
      <c r="N15" s="64"/>
      <c r="O15" s="64" t="s">
        <v>368</v>
      </c>
      <c r="P15" s="64"/>
    </row>
    <row r="16" spans="1:16" x14ac:dyDescent="0.6">
      <c r="A16" s="21" t="s">
        <v>62</v>
      </c>
      <c r="B16" t="s">
        <v>74</v>
      </c>
      <c r="C16" t="s">
        <v>367</v>
      </c>
      <c r="D16" t="s">
        <v>77</v>
      </c>
      <c r="E16" t="s">
        <v>366</v>
      </c>
      <c r="F16" t="s">
        <v>77</v>
      </c>
      <c r="G16" t="s">
        <v>365</v>
      </c>
      <c r="H16" t="s">
        <v>364</v>
      </c>
      <c r="I16" t="s">
        <v>363</v>
      </c>
      <c r="J16" t="s">
        <v>362</v>
      </c>
      <c r="K16" t="s">
        <v>363</v>
      </c>
      <c r="L16" t="s">
        <v>362</v>
      </c>
      <c r="M16" t="s">
        <v>363</v>
      </c>
      <c r="N16" t="s">
        <v>362</v>
      </c>
      <c r="O16" t="s">
        <v>363</v>
      </c>
      <c r="P16" t="s">
        <v>362</v>
      </c>
    </row>
    <row r="17" spans="1:16" x14ac:dyDescent="0.6">
      <c r="A17" s="5" t="s">
        <v>39</v>
      </c>
      <c r="B17">
        <v>276.19402985074589</v>
      </c>
      <c r="C17" t="s">
        <v>83</v>
      </c>
      <c r="D17">
        <v>276.19402985074589</v>
      </c>
      <c r="E17" t="s">
        <v>83</v>
      </c>
      <c r="F17">
        <v>623.80597014925411</v>
      </c>
      <c r="G17">
        <v>0</v>
      </c>
      <c r="H17">
        <v>0</v>
      </c>
      <c r="I17">
        <v>3.299999999999272</v>
      </c>
      <c r="J17">
        <v>0.30000000000291083</v>
      </c>
      <c r="K17">
        <v>2.1000000000021823</v>
      </c>
      <c r="L17">
        <v>1E+30</v>
      </c>
      <c r="M17">
        <v>1E+30</v>
      </c>
      <c r="N17">
        <v>623.80597014925434</v>
      </c>
      <c r="O17">
        <v>276.19402985074589</v>
      </c>
      <c r="P17">
        <v>1E+30</v>
      </c>
    </row>
    <row r="18" spans="1:16" x14ac:dyDescent="0.6">
      <c r="A18" t="s">
        <v>40</v>
      </c>
      <c r="B18">
        <v>0</v>
      </c>
      <c r="C18" t="s">
        <v>80</v>
      </c>
      <c r="D18">
        <v>0</v>
      </c>
      <c r="E18" t="s">
        <v>83</v>
      </c>
      <c r="F18">
        <v>1150</v>
      </c>
      <c r="G18">
        <v>-3.7000000000007276</v>
      </c>
      <c r="H18">
        <v>0</v>
      </c>
      <c r="I18">
        <v>21.999999999996358</v>
      </c>
      <c r="J18">
        <v>1E+30</v>
      </c>
      <c r="K18">
        <v>3.7000000000007272</v>
      </c>
      <c r="L18">
        <v>21.999999999996358</v>
      </c>
      <c r="M18">
        <v>1E+30</v>
      </c>
      <c r="N18">
        <v>1150</v>
      </c>
      <c r="O18">
        <v>86.904848920398081</v>
      </c>
      <c r="P18">
        <v>0</v>
      </c>
    </row>
    <row r="19" spans="1:16" x14ac:dyDescent="0.6">
      <c r="A19" t="s">
        <v>41</v>
      </c>
      <c r="B19">
        <v>800</v>
      </c>
      <c r="C19" t="s">
        <v>83</v>
      </c>
      <c r="D19">
        <v>800</v>
      </c>
      <c r="E19" t="s">
        <v>80</v>
      </c>
      <c r="F19">
        <v>0</v>
      </c>
      <c r="G19">
        <v>0</v>
      </c>
      <c r="H19">
        <v>20.700000000000724</v>
      </c>
      <c r="I19">
        <v>11.300000000002907</v>
      </c>
      <c r="J19">
        <v>1E+30</v>
      </c>
      <c r="K19">
        <v>1E+30</v>
      </c>
      <c r="L19">
        <v>11.300000000002907</v>
      </c>
      <c r="M19">
        <v>86.904848920397399</v>
      </c>
      <c r="N19">
        <v>113.09515107960263</v>
      </c>
      <c r="O19">
        <v>800</v>
      </c>
      <c r="P19">
        <v>1E+30</v>
      </c>
    </row>
    <row r="20" spans="1:16" x14ac:dyDescent="0.6">
      <c r="A20" t="s">
        <v>42</v>
      </c>
      <c r="B20">
        <v>775</v>
      </c>
      <c r="C20" t="s">
        <v>83</v>
      </c>
      <c r="D20">
        <v>775</v>
      </c>
      <c r="E20" t="s">
        <v>80</v>
      </c>
      <c r="F20">
        <v>0</v>
      </c>
      <c r="G20">
        <v>0</v>
      </c>
      <c r="H20">
        <v>9.7999999999992724</v>
      </c>
      <c r="I20">
        <v>1E+30</v>
      </c>
      <c r="J20">
        <v>3.2999999999992724</v>
      </c>
      <c r="K20">
        <v>3.299999999999272</v>
      </c>
      <c r="L20">
        <v>1E+30</v>
      </c>
      <c r="M20">
        <v>276.19402985074566</v>
      </c>
      <c r="N20">
        <v>623.80597014925434</v>
      </c>
      <c r="O20">
        <v>775</v>
      </c>
      <c r="P20">
        <v>1E+30</v>
      </c>
    </row>
    <row r="21" spans="1:16" x14ac:dyDescent="0.6">
      <c r="A21" t="s">
        <v>43</v>
      </c>
      <c r="B21">
        <v>970</v>
      </c>
      <c r="C21" t="s">
        <v>83</v>
      </c>
      <c r="D21">
        <v>970</v>
      </c>
      <c r="E21" t="s">
        <v>80</v>
      </c>
      <c r="F21">
        <v>0</v>
      </c>
      <c r="G21">
        <v>0</v>
      </c>
      <c r="H21">
        <v>14.80000000000291</v>
      </c>
      <c r="I21">
        <v>13.300000000002907</v>
      </c>
      <c r="J21">
        <v>1E+30</v>
      </c>
      <c r="K21">
        <v>1E+30</v>
      </c>
      <c r="L21">
        <v>13.300000000002907</v>
      </c>
      <c r="M21">
        <v>86.904848920397399</v>
      </c>
      <c r="N21">
        <v>113.09515107960263</v>
      </c>
      <c r="O21">
        <v>970</v>
      </c>
      <c r="P21">
        <v>1E+30</v>
      </c>
    </row>
    <row r="22" spans="1:16" x14ac:dyDescent="0.6">
      <c r="A22" s="5" t="s">
        <v>44</v>
      </c>
      <c r="B22">
        <v>86.904848920398081</v>
      </c>
      <c r="C22" t="s">
        <v>83</v>
      </c>
      <c r="D22">
        <v>86.904848920398081</v>
      </c>
      <c r="E22" t="s">
        <v>83</v>
      </c>
      <c r="F22">
        <v>113.09515107960192</v>
      </c>
      <c r="G22">
        <v>0</v>
      </c>
      <c r="H22">
        <v>0</v>
      </c>
      <c r="I22">
        <v>0.30000000000291083</v>
      </c>
      <c r="J22">
        <v>1E+30</v>
      </c>
      <c r="K22">
        <v>11.300000000002909</v>
      </c>
      <c r="L22">
        <v>2.1000000000021828</v>
      </c>
      <c r="M22">
        <v>1E+30</v>
      </c>
      <c r="N22">
        <v>113.09515107960262</v>
      </c>
      <c r="O22">
        <v>86.904848920398081</v>
      </c>
      <c r="P22">
        <v>1E+30</v>
      </c>
    </row>
    <row r="23" spans="1:16" x14ac:dyDescent="0.6">
      <c r="A23" t="s">
        <v>45</v>
      </c>
      <c r="B23">
        <v>400</v>
      </c>
      <c r="C23" t="s">
        <v>83</v>
      </c>
      <c r="D23">
        <v>400</v>
      </c>
      <c r="E23" t="s">
        <v>80</v>
      </c>
      <c r="F23">
        <v>0</v>
      </c>
      <c r="G23">
        <v>0</v>
      </c>
      <c r="H23">
        <v>4.7000000000007081</v>
      </c>
      <c r="I23">
        <v>1E+30</v>
      </c>
      <c r="J23">
        <v>4.7000000000007081</v>
      </c>
      <c r="K23">
        <v>22.900000000001441</v>
      </c>
      <c r="L23">
        <v>1E+30</v>
      </c>
      <c r="M23">
        <v>276.19402985074549</v>
      </c>
      <c r="N23">
        <v>400</v>
      </c>
      <c r="O23">
        <v>400</v>
      </c>
      <c r="P23">
        <v>1E+30</v>
      </c>
    </row>
    <row r="24" spans="1:16" x14ac:dyDescent="0.6">
      <c r="A24" t="s">
        <v>46</v>
      </c>
      <c r="B24">
        <v>310</v>
      </c>
      <c r="C24" t="s">
        <v>83</v>
      </c>
      <c r="D24">
        <v>310</v>
      </c>
      <c r="E24" t="s">
        <v>80</v>
      </c>
      <c r="F24">
        <v>0</v>
      </c>
      <c r="G24">
        <v>0</v>
      </c>
      <c r="H24">
        <v>10.700000000000728</v>
      </c>
      <c r="I24">
        <v>1E+30</v>
      </c>
      <c r="J24">
        <v>10.700000000000728</v>
      </c>
      <c r="K24">
        <v>11.099999999998545</v>
      </c>
      <c r="L24">
        <v>1E+30</v>
      </c>
      <c r="M24">
        <v>276.19402985074566</v>
      </c>
      <c r="N24">
        <v>310</v>
      </c>
      <c r="O24">
        <v>310</v>
      </c>
      <c r="P24">
        <v>1E+30</v>
      </c>
    </row>
    <row r="25" spans="1:16" x14ac:dyDescent="0.6">
      <c r="A25" t="s">
        <v>47</v>
      </c>
      <c r="B25">
        <v>470</v>
      </c>
      <c r="C25" t="s">
        <v>83</v>
      </c>
      <c r="D25">
        <v>470</v>
      </c>
      <c r="E25" t="s">
        <v>80</v>
      </c>
      <c r="F25">
        <v>0</v>
      </c>
      <c r="G25">
        <v>0</v>
      </c>
      <c r="H25">
        <v>13.30000000000291</v>
      </c>
      <c r="I25">
        <v>11.600000000005817</v>
      </c>
      <c r="J25">
        <v>1E+30</v>
      </c>
      <c r="K25">
        <v>1E+30</v>
      </c>
      <c r="L25">
        <v>11.600000000005817</v>
      </c>
      <c r="M25">
        <v>86.904848920397399</v>
      </c>
      <c r="N25">
        <v>113.09515107960263</v>
      </c>
      <c r="O25">
        <v>470</v>
      </c>
      <c r="P25">
        <v>1E+30</v>
      </c>
    </row>
    <row r="26" spans="1:16" ht="13.75" thickBot="1" x14ac:dyDescent="0.75"/>
    <row r="27" spans="1:16" x14ac:dyDescent="0.6">
      <c r="E27" s="86" t="s">
        <v>361</v>
      </c>
      <c r="F27" s="85"/>
      <c r="G27" s="85"/>
      <c r="H27" s="85"/>
      <c r="I27" s="84"/>
      <c r="J27" s="86" t="s">
        <v>360</v>
      </c>
      <c r="K27" s="85"/>
      <c r="L27" s="85"/>
      <c r="M27" s="85"/>
      <c r="N27" s="84"/>
    </row>
    <row r="28" spans="1:16" x14ac:dyDescent="0.6">
      <c r="A28" s="21" t="s">
        <v>62</v>
      </c>
      <c r="B28" t="s">
        <v>359</v>
      </c>
      <c r="E28" s="83" t="s">
        <v>7</v>
      </c>
      <c r="F28" t="s">
        <v>8</v>
      </c>
      <c r="G28" t="s">
        <v>358</v>
      </c>
      <c r="H28" t="s">
        <v>357</v>
      </c>
      <c r="I28" s="82" t="s">
        <v>66</v>
      </c>
      <c r="J28" s="83" t="s">
        <v>7</v>
      </c>
      <c r="K28" t="s">
        <v>8</v>
      </c>
      <c r="L28" t="s">
        <v>358</v>
      </c>
      <c r="M28" t="s">
        <v>357</v>
      </c>
      <c r="N28" s="82" t="s">
        <v>66</v>
      </c>
      <c r="O28" t="s">
        <v>356</v>
      </c>
    </row>
    <row r="29" spans="1:16" x14ac:dyDescent="0.6">
      <c r="A29" s="5" t="s">
        <v>39</v>
      </c>
      <c r="B29">
        <f>B17-B4</f>
        <v>-203.80597014925411</v>
      </c>
      <c r="E29" s="83">
        <v>480</v>
      </c>
      <c r="F29">
        <v>0</v>
      </c>
      <c r="G29">
        <v>12480</v>
      </c>
      <c r="H29">
        <v>0</v>
      </c>
      <c r="I29" s="82">
        <v>12480</v>
      </c>
      <c r="J29" s="83">
        <v>276.19402985074589</v>
      </c>
      <c r="K29">
        <v>0</v>
      </c>
      <c r="L29">
        <v>7181.0447761193936</v>
      </c>
      <c r="M29">
        <v>0</v>
      </c>
      <c r="N29" s="82">
        <v>7181.0447761193936</v>
      </c>
      <c r="O29">
        <v>5298.9552238806064</v>
      </c>
    </row>
    <row r="30" spans="1:16" x14ac:dyDescent="0.6">
      <c r="A30" t="s">
        <v>40</v>
      </c>
      <c r="B30">
        <f>B18-B5</f>
        <v>-850</v>
      </c>
      <c r="E30" s="83">
        <v>0</v>
      </c>
      <c r="F30">
        <v>850</v>
      </c>
      <c r="G30">
        <v>0</v>
      </c>
      <c r="H30">
        <v>26945</v>
      </c>
      <c r="I30" s="82">
        <v>26945</v>
      </c>
      <c r="J30" s="83">
        <v>0</v>
      </c>
      <c r="K30">
        <v>0</v>
      </c>
      <c r="L30">
        <v>0</v>
      </c>
      <c r="M30">
        <v>0</v>
      </c>
      <c r="N30" s="82">
        <v>0</v>
      </c>
      <c r="O30">
        <v>26945</v>
      </c>
    </row>
    <row r="31" spans="1:16" x14ac:dyDescent="0.6">
      <c r="A31" t="s">
        <v>41</v>
      </c>
      <c r="B31">
        <f>B19-B6</f>
        <v>160</v>
      </c>
      <c r="E31" s="83">
        <v>133.09515107960195</v>
      </c>
      <c r="F31">
        <v>506.90484892039808</v>
      </c>
      <c r="G31">
        <v>2209.3795079213924</v>
      </c>
      <c r="H31">
        <v>3700.405397118906</v>
      </c>
      <c r="I31" s="82">
        <v>5909.7849050402983</v>
      </c>
      <c r="J31" s="83">
        <v>0</v>
      </c>
      <c r="K31">
        <v>800</v>
      </c>
      <c r="L31">
        <v>0</v>
      </c>
      <c r="M31">
        <v>5840</v>
      </c>
      <c r="N31" s="82">
        <v>5840</v>
      </c>
      <c r="O31">
        <v>69.784905040298327</v>
      </c>
    </row>
    <row r="32" spans="1:16" x14ac:dyDescent="0.6">
      <c r="A32" t="s">
        <v>42</v>
      </c>
      <c r="B32">
        <f>B20-B7</f>
        <v>123.90112122885591</v>
      </c>
      <c r="E32" s="83">
        <v>651.09887877114409</v>
      </c>
      <c r="F32">
        <v>0</v>
      </c>
      <c r="G32">
        <v>10547.801836092534</v>
      </c>
      <c r="H32">
        <v>0</v>
      </c>
      <c r="I32" s="82">
        <v>10547.801836092534</v>
      </c>
      <c r="J32" s="83">
        <v>775</v>
      </c>
      <c r="K32">
        <v>0</v>
      </c>
      <c r="L32">
        <v>12555</v>
      </c>
      <c r="M32">
        <v>0</v>
      </c>
      <c r="N32" s="82">
        <v>12555</v>
      </c>
      <c r="O32">
        <v>-2007.1981639074656</v>
      </c>
    </row>
    <row r="33" spans="1:15" x14ac:dyDescent="0.6">
      <c r="A33" t="s">
        <v>43</v>
      </c>
      <c r="B33">
        <f>B21-B8</f>
        <v>0</v>
      </c>
      <c r="E33" s="83">
        <v>0</v>
      </c>
      <c r="F33">
        <v>970</v>
      </c>
      <c r="G33">
        <v>0</v>
      </c>
      <c r="H33">
        <v>12804</v>
      </c>
      <c r="I33" s="82">
        <v>12804</v>
      </c>
      <c r="J33" s="83">
        <v>0</v>
      </c>
      <c r="K33">
        <v>970</v>
      </c>
      <c r="L33">
        <v>0</v>
      </c>
      <c r="M33">
        <v>12804</v>
      </c>
      <c r="N33" s="82">
        <v>12804</v>
      </c>
      <c r="O33">
        <v>0</v>
      </c>
    </row>
    <row r="34" spans="1:15" x14ac:dyDescent="0.6">
      <c r="A34" s="5" t="s">
        <v>44</v>
      </c>
      <c r="B34">
        <f>B22-B9</f>
        <v>-20.095151079601919</v>
      </c>
      <c r="E34" s="83">
        <v>107</v>
      </c>
      <c r="F34">
        <v>0</v>
      </c>
      <c r="G34">
        <v>2814.1</v>
      </c>
      <c r="H34">
        <v>0</v>
      </c>
      <c r="I34" s="82">
        <v>2814.1</v>
      </c>
      <c r="J34" s="83">
        <v>0</v>
      </c>
      <c r="K34">
        <v>86.904848920398081</v>
      </c>
      <c r="L34">
        <v>0</v>
      </c>
      <c r="M34">
        <v>2433.3357697711463</v>
      </c>
      <c r="N34" s="82">
        <v>2433.3357697711463</v>
      </c>
      <c r="O34">
        <v>380.76423022885365</v>
      </c>
    </row>
    <row r="35" spans="1:15" x14ac:dyDescent="0.6">
      <c r="A35" t="s">
        <v>45</v>
      </c>
      <c r="B35">
        <f>B23-B10</f>
        <v>320</v>
      </c>
      <c r="E35" s="83">
        <v>80</v>
      </c>
      <c r="F35">
        <v>0</v>
      </c>
      <c r="G35">
        <v>1704</v>
      </c>
      <c r="H35">
        <v>0</v>
      </c>
      <c r="I35" s="82">
        <v>1704</v>
      </c>
      <c r="J35" s="83">
        <v>400</v>
      </c>
      <c r="K35">
        <v>0</v>
      </c>
      <c r="L35">
        <v>8520</v>
      </c>
      <c r="M35">
        <v>0</v>
      </c>
      <c r="N35" s="82">
        <v>8520</v>
      </c>
      <c r="O35">
        <v>-6816</v>
      </c>
    </row>
    <row r="36" spans="1:15" x14ac:dyDescent="0.6">
      <c r="A36" t="s">
        <v>46</v>
      </c>
      <c r="B36">
        <f>B24-B11</f>
        <v>0</v>
      </c>
      <c r="E36" s="83">
        <v>310</v>
      </c>
      <c r="F36">
        <v>0</v>
      </c>
      <c r="G36">
        <v>4743</v>
      </c>
      <c r="H36">
        <v>0</v>
      </c>
      <c r="I36" s="82">
        <v>4743</v>
      </c>
      <c r="J36" s="83">
        <v>310</v>
      </c>
      <c r="K36">
        <v>0</v>
      </c>
      <c r="L36">
        <v>4743</v>
      </c>
      <c r="M36">
        <v>0</v>
      </c>
      <c r="N36" s="82">
        <v>4743</v>
      </c>
      <c r="O36">
        <v>0</v>
      </c>
    </row>
    <row r="37" spans="1:15" ht="13.75" thickBot="1" x14ac:dyDescent="0.75">
      <c r="A37" t="s">
        <v>47</v>
      </c>
      <c r="B37">
        <f>B25-B12</f>
        <v>470</v>
      </c>
      <c r="E37" s="81">
        <v>0</v>
      </c>
      <c r="F37" s="80">
        <v>0</v>
      </c>
      <c r="G37" s="80">
        <v>0</v>
      </c>
      <c r="H37" s="80">
        <v>0</v>
      </c>
      <c r="I37" s="79">
        <v>0</v>
      </c>
      <c r="J37" s="81">
        <v>0</v>
      </c>
      <c r="K37" s="80">
        <v>470</v>
      </c>
      <c r="L37" s="80">
        <v>0</v>
      </c>
      <c r="M37" s="80">
        <v>6909</v>
      </c>
      <c r="N37" s="79">
        <v>6909</v>
      </c>
      <c r="O37">
        <v>-6909</v>
      </c>
    </row>
    <row r="38" spans="1:15" ht="13.75" thickBot="1" x14ac:dyDescent="0.75"/>
    <row r="39" spans="1:15" ht="13.75" thickBot="1" x14ac:dyDescent="0.75">
      <c r="B39">
        <f>SUM(B29:B37)</f>
        <v>0</v>
      </c>
      <c r="O39" s="78">
        <f>SUM(O29:O37)</f>
        <v>16962.306195242294</v>
      </c>
    </row>
    <row r="41" spans="1:15" x14ac:dyDescent="0.6">
      <c r="A41" s="1" t="s">
        <v>355</v>
      </c>
    </row>
    <row r="42" spans="1:15" x14ac:dyDescent="0.6">
      <c r="A42" t="s">
        <v>354</v>
      </c>
      <c r="B42" s="77">
        <f>Profit</f>
        <v>183135.10763500794</v>
      </c>
    </row>
    <row r="43" spans="1:15" x14ac:dyDescent="0.6">
      <c r="A43" t="s">
        <v>353</v>
      </c>
      <c r="B43" s="77">
        <f>[2]!Profit</f>
        <v>183135.10763500794</v>
      </c>
    </row>
    <row r="44" spans="1:15" ht="13.75" thickBot="1" x14ac:dyDescent="0.75">
      <c r="A44" t="s">
        <v>352</v>
      </c>
      <c r="B44" s="77">
        <f>B43-B42</f>
        <v>0</v>
      </c>
    </row>
    <row r="45" spans="1:15" ht="13.75" thickBot="1" x14ac:dyDescent="0.75">
      <c r="A45" t="s">
        <v>351</v>
      </c>
      <c r="B45" s="76">
        <f>B44/B42</f>
        <v>0</v>
      </c>
    </row>
  </sheetData>
  <mergeCells count="14">
    <mergeCell ref="K2:L2"/>
    <mergeCell ref="I14:J14"/>
    <mergeCell ref="K14:L14"/>
    <mergeCell ref="M14:P14"/>
    <mergeCell ref="I15:J15"/>
    <mergeCell ref="K15:L15"/>
    <mergeCell ref="M2:N2"/>
    <mergeCell ref="O2:P2"/>
    <mergeCell ref="M1:P1"/>
    <mergeCell ref="M15:N15"/>
    <mergeCell ref="O15:P15"/>
    <mergeCell ref="I1:J1"/>
    <mergeCell ref="K1:L1"/>
    <mergeCell ref="I2:J2"/>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E2466-12E4-4E13-826A-31CCDCE3B7D7}">
  <sheetPr>
    <tabColor theme="9" tint="0.59999389629810485"/>
  </sheetPr>
  <dimension ref="A1:O64"/>
  <sheetViews>
    <sheetView topLeftCell="B1" zoomScale="70" zoomScaleNormal="70" workbookViewId="0">
      <selection activeCell="O31" sqref="O31"/>
    </sheetView>
  </sheetViews>
  <sheetFormatPr defaultColWidth="8.86328125" defaultRowHeight="13" x14ac:dyDescent="0.6"/>
  <cols>
    <col min="1" max="1" width="30.7265625" customWidth="1"/>
    <col min="2" max="5" width="11.7265625" customWidth="1"/>
    <col min="7" max="7" width="21" bestFit="1" customWidth="1"/>
    <col min="8" max="8" width="16.7265625" bestFit="1" customWidth="1"/>
    <col min="9" max="9" width="19.7265625" customWidth="1"/>
    <col min="10" max="10" width="14" bestFit="1" customWidth="1"/>
    <col min="11" max="11" width="7.7265625" customWidth="1"/>
    <col min="12" max="12" width="12.26953125" customWidth="1"/>
    <col min="13" max="13" width="11.86328125" bestFit="1" customWidth="1"/>
  </cols>
  <sheetData>
    <row r="1" spans="1:15" x14ac:dyDescent="0.6">
      <c r="A1" s="1" t="s">
        <v>0</v>
      </c>
      <c r="G1" s="1" t="s">
        <v>59</v>
      </c>
    </row>
    <row r="4" spans="1:15" x14ac:dyDescent="0.6">
      <c r="A4" s="1" t="s">
        <v>1</v>
      </c>
      <c r="G4" s="1" t="s">
        <v>54</v>
      </c>
      <c r="K4" s="1" t="s">
        <v>269</v>
      </c>
    </row>
    <row r="5" spans="1:15" x14ac:dyDescent="0.6">
      <c r="B5" s="18" t="s">
        <v>2</v>
      </c>
      <c r="C5" s="38"/>
      <c r="D5" s="64" t="s">
        <v>3</v>
      </c>
      <c r="E5" s="64"/>
      <c r="K5" t="s">
        <v>279</v>
      </c>
      <c r="L5" s="42">
        <v>0</v>
      </c>
      <c r="N5" s="38" t="s">
        <v>278</v>
      </c>
      <c r="O5">
        <v>1</v>
      </c>
    </row>
    <row r="6" spans="1:15" x14ac:dyDescent="0.6">
      <c r="A6" t="s">
        <v>4</v>
      </c>
      <c r="B6" s="38" t="s">
        <v>5</v>
      </c>
      <c r="C6" s="38" t="s">
        <v>6</v>
      </c>
      <c r="D6" s="38" t="s">
        <v>7</v>
      </c>
      <c r="E6" s="18" t="s">
        <v>8</v>
      </c>
      <c r="H6" s="38" t="s">
        <v>7</v>
      </c>
      <c r="I6" s="18" t="s">
        <v>8</v>
      </c>
      <c r="J6" s="24" t="s">
        <v>68</v>
      </c>
      <c r="K6" s="24" t="s">
        <v>280</v>
      </c>
      <c r="L6">
        <f>100%</f>
        <v>1</v>
      </c>
      <c r="M6">
        <f>-100%</f>
        <v>-1</v>
      </c>
    </row>
    <row r="7" spans="1:15" x14ac:dyDescent="0.6">
      <c r="B7" s="39" t="s">
        <v>9</v>
      </c>
      <c r="C7" s="39" t="s">
        <v>10</v>
      </c>
      <c r="D7" s="39" t="s">
        <v>10</v>
      </c>
      <c r="E7" s="39" t="s">
        <v>10</v>
      </c>
      <c r="G7" s="21" t="s">
        <v>61</v>
      </c>
      <c r="L7" s="43" t="s">
        <v>271</v>
      </c>
      <c r="M7" s="44"/>
    </row>
    <row r="8" spans="1:15" x14ac:dyDescent="0.6">
      <c r="A8" s="6" t="s">
        <v>11</v>
      </c>
      <c r="B8" s="19">
        <v>1000</v>
      </c>
      <c r="C8" s="7">
        <v>25.2</v>
      </c>
      <c r="D8" s="7">
        <v>5</v>
      </c>
      <c r="E8" s="7">
        <v>11.6</v>
      </c>
      <c r="G8" s="6" t="s">
        <v>11</v>
      </c>
      <c r="H8" s="37">
        <v>1000</v>
      </c>
      <c r="I8" s="37">
        <v>0</v>
      </c>
      <c r="J8">
        <f>SUM(H8:I8)</f>
        <v>1000</v>
      </c>
      <c r="L8" s="20">
        <f>D8*(1+$L$5)*0.55</f>
        <v>2.75</v>
      </c>
      <c r="M8" s="20">
        <f>E8*(1+$L$5)*0.55</f>
        <v>6.38</v>
      </c>
    </row>
    <row r="9" spans="1:15" x14ac:dyDescent="0.6">
      <c r="A9" s="6" t="s">
        <v>12</v>
      </c>
      <c r="B9" s="19">
        <v>1583</v>
      </c>
      <c r="C9" s="7">
        <v>24.5</v>
      </c>
      <c r="D9" s="7">
        <v>5</v>
      </c>
      <c r="E9" s="7">
        <v>13.7</v>
      </c>
      <c r="G9" s="6" t="s">
        <v>12</v>
      </c>
      <c r="H9" s="37">
        <v>1583</v>
      </c>
      <c r="I9" s="37">
        <v>0</v>
      </c>
      <c r="J9">
        <f t="shared" ref="J9:J15" si="0">SUM(H9:I9)</f>
        <v>1583</v>
      </c>
      <c r="L9" s="20">
        <f t="shared" ref="L9:L15" si="1">D9*(1+$L$5)*0.55</f>
        <v>2.75</v>
      </c>
      <c r="M9" s="20">
        <f t="shared" ref="M9:M15" si="2">E9*(1+$L$5)*0.55</f>
        <v>7.5350000000000001</v>
      </c>
    </row>
    <row r="10" spans="1:15" x14ac:dyDescent="0.6">
      <c r="A10" s="5" t="s">
        <v>13</v>
      </c>
      <c r="B10" s="19">
        <v>2140</v>
      </c>
      <c r="C10" s="7">
        <v>25.5</v>
      </c>
      <c r="D10" s="7">
        <v>19.600000000000001</v>
      </c>
      <c r="E10" s="7">
        <v>11.5</v>
      </c>
      <c r="G10" s="5" t="s">
        <v>13</v>
      </c>
      <c r="H10" s="37">
        <v>0</v>
      </c>
      <c r="I10" s="37">
        <v>2140</v>
      </c>
      <c r="J10">
        <f t="shared" si="0"/>
        <v>2140</v>
      </c>
      <c r="L10" s="20">
        <f t="shared" si="1"/>
        <v>10.780000000000001</v>
      </c>
      <c r="M10" s="20">
        <f t="shared" si="2"/>
        <v>6.3250000000000002</v>
      </c>
    </row>
    <row r="11" spans="1:15" x14ac:dyDescent="0.6">
      <c r="A11" s="5" t="s">
        <v>14</v>
      </c>
      <c r="B11" s="19">
        <v>1370</v>
      </c>
      <c r="C11" s="7">
        <v>23.3</v>
      </c>
      <c r="D11" s="7">
        <v>4</v>
      </c>
      <c r="E11" s="7">
        <v>10.6</v>
      </c>
      <c r="G11" s="5" t="s">
        <v>14</v>
      </c>
      <c r="H11" s="37">
        <v>530.18023681640625</v>
      </c>
      <c r="I11" s="37">
        <v>839.81976318359375</v>
      </c>
      <c r="J11">
        <f t="shared" si="0"/>
        <v>1370</v>
      </c>
      <c r="L11" s="20">
        <f t="shared" si="1"/>
        <v>2.2000000000000002</v>
      </c>
      <c r="M11" s="20">
        <f t="shared" si="2"/>
        <v>5.83</v>
      </c>
    </row>
    <row r="12" spans="1:15" x14ac:dyDescent="0.6">
      <c r="A12" s="5" t="s">
        <v>15</v>
      </c>
      <c r="B12" s="19">
        <v>2000</v>
      </c>
      <c r="C12" s="7">
        <v>24.2</v>
      </c>
      <c r="D12" s="7">
        <v>4.2</v>
      </c>
      <c r="E12" s="7">
        <v>12.1</v>
      </c>
      <c r="G12" s="5" t="s">
        <v>15</v>
      </c>
      <c r="H12" s="37">
        <v>2000</v>
      </c>
      <c r="I12" s="37">
        <v>0</v>
      </c>
      <c r="J12">
        <f t="shared" si="0"/>
        <v>2000</v>
      </c>
      <c r="L12" s="20">
        <f t="shared" si="1"/>
        <v>2.3100000000000005</v>
      </c>
      <c r="M12" s="20">
        <f t="shared" si="2"/>
        <v>6.6550000000000002</v>
      </c>
    </row>
    <row r="13" spans="1:15" x14ac:dyDescent="0.6">
      <c r="A13" s="5" t="s">
        <v>16</v>
      </c>
      <c r="B13" s="19">
        <v>1850</v>
      </c>
      <c r="C13" s="7">
        <v>23.3</v>
      </c>
      <c r="D13" s="7">
        <v>7.65</v>
      </c>
      <c r="E13" s="7">
        <v>11</v>
      </c>
      <c r="G13" s="5" t="s">
        <v>16</v>
      </c>
      <c r="H13" s="37">
        <v>0</v>
      </c>
      <c r="I13" s="37">
        <v>1850</v>
      </c>
      <c r="J13">
        <f t="shared" si="0"/>
        <v>1850</v>
      </c>
      <c r="L13" s="20">
        <f t="shared" si="1"/>
        <v>4.2075000000000005</v>
      </c>
      <c r="M13" s="20">
        <f t="shared" si="2"/>
        <v>6.0500000000000007</v>
      </c>
    </row>
    <row r="14" spans="1:15" x14ac:dyDescent="0.6">
      <c r="A14" s="5" t="s">
        <v>17</v>
      </c>
      <c r="B14" s="19">
        <v>1260</v>
      </c>
      <c r="C14" s="7">
        <v>23.3</v>
      </c>
      <c r="D14" s="7">
        <v>14.7</v>
      </c>
      <c r="E14" s="7">
        <v>4.8</v>
      </c>
      <c r="G14" s="5" t="s">
        <v>17</v>
      </c>
      <c r="H14" s="37">
        <v>0</v>
      </c>
      <c r="I14" s="37">
        <v>1260</v>
      </c>
      <c r="J14">
        <f t="shared" si="0"/>
        <v>1260</v>
      </c>
      <c r="L14" s="20">
        <f t="shared" si="1"/>
        <v>8.0850000000000009</v>
      </c>
      <c r="M14" s="20">
        <f t="shared" si="2"/>
        <v>2.64</v>
      </c>
    </row>
    <row r="15" spans="1:15" x14ac:dyDescent="0.6">
      <c r="A15" s="5" t="s">
        <v>18</v>
      </c>
      <c r="B15" s="19">
        <v>1700</v>
      </c>
      <c r="C15" s="7">
        <v>24.2</v>
      </c>
      <c r="D15" s="7">
        <v>16.3</v>
      </c>
      <c r="E15" s="7">
        <v>10.3</v>
      </c>
      <c r="G15" s="5" t="s">
        <v>18</v>
      </c>
      <c r="H15" s="37">
        <v>0</v>
      </c>
      <c r="I15" s="37">
        <v>1700</v>
      </c>
      <c r="J15">
        <f t="shared" si="0"/>
        <v>1700</v>
      </c>
      <c r="L15" s="20">
        <f t="shared" si="1"/>
        <v>8.9650000000000016</v>
      </c>
      <c r="M15" s="20">
        <f t="shared" si="2"/>
        <v>5.6650000000000009</v>
      </c>
    </row>
    <row r="16" spans="1:15" x14ac:dyDescent="0.6">
      <c r="H16" s="36">
        <f>SUM(H8:H15)</f>
        <v>5113.1802368164063</v>
      </c>
      <c r="I16" s="36">
        <f>SUM(I8:I15)</f>
        <v>7789.8197631835938</v>
      </c>
    </row>
    <row r="17" spans="1:13" x14ac:dyDescent="0.6">
      <c r="G17" s="21" t="s">
        <v>62</v>
      </c>
      <c r="H17" s="38" t="s">
        <v>7</v>
      </c>
      <c r="I17" s="18" t="s">
        <v>8</v>
      </c>
      <c r="L17" s="44" t="s">
        <v>270</v>
      </c>
      <c r="M17" s="44"/>
    </row>
    <row r="18" spans="1:13" x14ac:dyDescent="0.6">
      <c r="A18" s="1" t="s">
        <v>19</v>
      </c>
      <c r="G18" s="5" t="s">
        <v>39</v>
      </c>
      <c r="H18" s="37">
        <v>480</v>
      </c>
      <c r="I18" s="37">
        <v>0</v>
      </c>
      <c r="J18" s="36">
        <f t="shared" ref="J18:J26" si="3">SUM(H18:I18)</f>
        <v>480</v>
      </c>
      <c r="L18">
        <f>D46*(1+$L$5)*0.45</f>
        <v>11.700000000000001</v>
      </c>
      <c r="M18">
        <f>E46*(1+$L$5)*0.45</f>
        <v>13.545000000000002</v>
      </c>
    </row>
    <row r="19" spans="1:13" x14ac:dyDescent="0.6">
      <c r="B19" s="38" t="s">
        <v>7</v>
      </c>
      <c r="C19" s="18" t="s">
        <v>8</v>
      </c>
      <c r="G19" t="s">
        <v>40</v>
      </c>
      <c r="H19" s="37">
        <v>0</v>
      </c>
      <c r="I19" s="37">
        <v>850</v>
      </c>
      <c r="J19" s="36">
        <f t="shared" si="3"/>
        <v>850</v>
      </c>
      <c r="L19">
        <f t="shared" ref="L19:L26" si="4">D47*(1+$L$5)*0.45</f>
        <v>23.265000000000001</v>
      </c>
      <c r="M19">
        <f t="shared" ref="M19:M26" si="5">E47*(1+$L$5)*0.45</f>
        <v>14.265000000000001</v>
      </c>
    </row>
    <row r="20" spans="1:13" x14ac:dyDescent="0.6">
      <c r="A20" s="5" t="s">
        <v>20</v>
      </c>
      <c r="G20" t="s">
        <v>41</v>
      </c>
      <c r="H20" s="37">
        <v>133.09515380859375</v>
      </c>
      <c r="I20" s="37">
        <v>506.90484619140625</v>
      </c>
      <c r="J20" s="36">
        <f t="shared" si="3"/>
        <v>640</v>
      </c>
      <c r="L20">
        <f t="shared" si="4"/>
        <v>7.4700000000000006</v>
      </c>
      <c r="M20">
        <f t="shared" si="5"/>
        <v>3.2850000000000001</v>
      </c>
    </row>
    <row r="21" spans="1:13" x14ac:dyDescent="0.6">
      <c r="A21" t="s">
        <v>21</v>
      </c>
      <c r="B21" s="8">
        <v>2.7E-2</v>
      </c>
      <c r="C21" s="8">
        <v>2.7E-2</v>
      </c>
      <c r="G21" t="s">
        <v>42</v>
      </c>
      <c r="H21" s="37">
        <v>651.098876953125</v>
      </c>
      <c r="I21" s="37">
        <v>0</v>
      </c>
      <c r="J21" s="36">
        <f t="shared" si="3"/>
        <v>651.098876953125</v>
      </c>
      <c r="L21">
        <f t="shared" si="4"/>
        <v>7.29</v>
      </c>
      <c r="M21">
        <f t="shared" si="5"/>
        <v>9.6750000000000007</v>
      </c>
    </row>
    <row r="22" spans="1:13" x14ac:dyDescent="0.6">
      <c r="G22" t="s">
        <v>43</v>
      </c>
      <c r="H22" s="37">
        <v>0</v>
      </c>
      <c r="I22" s="37">
        <v>970</v>
      </c>
      <c r="J22" s="36">
        <f t="shared" si="3"/>
        <v>970</v>
      </c>
      <c r="L22">
        <f t="shared" si="4"/>
        <v>11.025</v>
      </c>
      <c r="M22">
        <f t="shared" si="5"/>
        <v>5.9399999999999995</v>
      </c>
    </row>
    <row r="23" spans="1:13" x14ac:dyDescent="0.6">
      <c r="A23" s="5" t="s">
        <v>22</v>
      </c>
      <c r="G23" s="5" t="s">
        <v>44</v>
      </c>
      <c r="H23" s="37">
        <v>107</v>
      </c>
      <c r="I23" s="37">
        <v>0</v>
      </c>
      <c r="J23" s="36">
        <f t="shared" si="3"/>
        <v>107</v>
      </c>
      <c r="L23">
        <f t="shared" si="4"/>
        <v>11.835000000000001</v>
      </c>
      <c r="M23">
        <f t="shared" si="5"/>
        <v>12.6</v>
      </c>
    </row>
    <row r="24" spans="1:13" x14ac:dyDescent="0.6">
      <c r="A24" t="s">
        <v>23</v>
      </c>
      <c r="B24" s="8">
        <v>0.35399999999999998</v>
      </c>
      <c r="C24" s="8">
        <v>0.307</v>
      </c>
      <c r="G24" t="s">
        <v>45</v>
      </c>
      <c r="H24" s="37">
        <v>80</v>
      </c>
      <c r="I24" s="37">
        <v>0</v>
      </c>
      <c r="J24" s="36">
        <f t="shared" si="3"/>
        <v>80</v>
      </c>
      <c r="L24">
        <f t="shared" si="4"/>
        <v>9.5850000000000009</v>
      </c>
      <c r="M24">
        <f t="shared" si="5"/>
        <v>20.790000000000003</v>
      </c>
    </row>
    <row r="25" spans="1:13" x14ac:dyDescent="0.6">
      <c r="A25" t="s">
        <v>24</v>
      </c>
      <c r="B25" s="8">
        <v>0.40200000000000002</v>
      </c>
      <c r="C25" s="8">
        <v>0.45600000000000002</v>
      </c>
      <c r="G25" t="s">
        <v>46</v>
      </c>
      <c r="H25" s="37">
        <v>310</v>
      </c>
      <c r="I25" s="37">
        <v>0</v>
      </c>
      <c r="J25" s="36">
        <f t="shared" si="3"/>
        <v>310</v>
      </c>
      <c r="L25">
        <f t="shared" si="4"/>
        <v>6.8850000000000007</v>
      </c>
      <c r="M25">
        <f t="shared" si="5"/>
        <v>12.78</v>
      </c>
    </row>
    <row r="26" spans="1:13" x14ac:dyDescent="0.6">
      <c r="A26" t="s">
        <v>69</v>
      </c>
      <c r="B26" s="8">
        <f>1-SUM(B24:B25)</f>
        <v>0.24399999999999999</v>
      </c>
      <c r="C26" s="8">
        <f>1-SUM(C24:C25)</f>
        <v>0.23699999999999999</v>
      </c>
      <c r="G26" t="s">
        <v>47</v>
      </c>
      <c r="H26" s="37">
        <v>0</v>
      </c>
      <c r="I26" s="37">
        <v>0</v>
      </c>
      <c r="J26" s="36">
        <f t="shared" si="3"/>
        <v>0</v>
      </c>
      <c r="L26">
        <f t="shared" si="4"/>
        <v>10.935</v>
      </c>
      <c r="M26">
        <f t="shared" si="5"/>
        <v>6.6150000000000002</v>
      </c>
    </row>
    <row r="27" spans="1:13" x14ac:dyDescent="0.6">
      <c r="G27" t="s">
        <v>68</v>
      </c>
      <c r="H27" s="35">
        <f>SUM(H18:H26)</f>
        <v>1761.1940307617188</v>
      </c>
      <c r="I27" s="35">
        <f>SUM(I18:I26)</f>
        <v>2326.9048461914063</v>
      </c>
    </row>
    <row r="28" spans="1:13" x14ac:dyDescent="0.6">
      <c r="A28" t="s">
        <v>25</v>
      </c>
      <c r="K28" s="1" t="s">
        <v>272</v>
      </c>
    </row>
    <row r="29" spans="1:13" x14ac:dyDescent="0.6">
      <c r="A29" s="16" t="s">
        <v>53</v>
      </c>
      <c r="B29" s="9">
        <v>31</v>
      </c>
      <c r="C29" s="9">
        <v>38</v>
      </c>
    </row>
    <row r="30" spans="1:13" x14ac:dyDescent="0.6">
      <c r="A30" s="5" t="s">
        <v>26</v>
      </c>
      <c r="B30" s="9">
        <v>10000</v>
      </c>
      <c r="C30" s="9">
        <v>14200</v>
      </c>
      <c r="G30" s="1" t="s">
        <v>70</v>
      </c>
      <c r="L30">
        <f>B63*(1+L5)*O5</f>
        <v>36</v>
      </c>
      <c r="M30" t="s">
        <v>281</v>
      </c>
    </row>
    <row r="31" spans="1:13" x14ac:dyDescent="0.6">
      <c r="H31" s="38" t="s">
        <v>7</v>
      </c>
      <c r="I31" s="18" t="s">
        <v>8</v>
      </c>
      <c r="J31" s="38" t="s">
        <v>268</v>
      </c>
      <c r="M31" s="63" t="s">
        <v>292</v>
      </c>
    </row>
    <row r="32" spans="1:13" x14ac:dyDescent="0.6">
      <c r="A32" s="5" t="s">
        <v>27</v>
      </c>
      <c r="G32" t="s">
        <v>63</v>
      </c>
      <c r="H32" s="35">
        <f>SUM($H$8:$H$15)*(1-$B$21)*$B$24</f>
        <v>1761.1940271295166</v>
      </c>
      <c r="I32" s="35">
        <f>SUM($I$8:$I$15)*(1-$C$21)*$C$24</f>
        <v>2326.9048512803342</v>
      </c>
      <c r="J32" s="36">
        <f>SUM(H32:I32)</f>
        <v>4088.0988784098508</v>
      </c>
      <c r="M32" t="s">
        <v>293</v>
      </c>
    </row>
    <row r="33" spans="1:10" x14ac:dyDescent="0.6">
      <c r="A33" s="5" t="s">
        <v>28</v>
      </c>
      <c r="B33" s="25">
        <v>8030</v>
      </c>
      <c r="C33" s="25">
        <v>8780</v>
      </c>
      <c r="G33" t="s">
        <v>24</v>
      </c>
      <c r="H33" s="36">
        <f>SUM($H$8:$H$15)*(1-$B$21)*$B$25</f>
        <v>1999.9999969097903</v>
      </c>
      <c r="I33" s="36">
        <f>SUM($I$8:$I$15)*(1-$C$21)*$C$25</f>
        <v>3456.2495510874023</v>
      </c>
      <c r="J33" s="36">
        <f t="shared" ref="J33" si="6">SUM(H33:I33)</f>
        <v>5456.2495479971931</v>
      </c>
    </row>
    <row r="34" spans="1:10" x14ac:dyDescent="0.6">
      <c r="A34" t="s">
        <v>29</v>
      </c>
      <c r="B34" s="25">
        <v>2000</v>
      </c>
      <c r="C34" s="25">
        <v>4000</v>
      </c>
      <c r="G34" t="s">
        <v>52</v>
      </c>
      <c r="H34" s="36">
        <f>SUM($H$8:$H$15)*(1-$B$21)*$B$26</f>
        <v>1213.9303463830568</v>
      </c>
      <c r="I34" s="36">
        <f>SUM($I$8:$I$15)*(1-$C$21)*$C$26</f>
        <v>1796.3402272098997</v>
      </c>
      <c r="J34" s="36">
        <f>SUM(H34:I34)</f>
        <v>3010.2705735929567</v>
      </c>
    </row>
    <row r="35" spans="1:10" x14ac:dyDescent="0.6">
      <c r="B35" s="20"/>
      <c r="C35" s="20"/>
      <c r="G35" t="s">
        <v>267</v>
      </c>
      <c r="H35" s="36">
        <f>SUM(H32:H34)</f>
        <v>4975.1243704223634</v>
      </c>
      <c r="I35" s="36">
        <f>SUM(I32:I34)</f>
        <v>7579.4946295776354</v>
      </c>
    </row>
    <row r="36" spans="1:10" x14ac:dyDescent="0.6">
      <c r="A36" t="s">
        <v>30</v>
      </c>
      <c r="B36" s="20"/>
      <c r="C36" s="20"/>
    </row>
    <row r="37" spans="1:10" x14ac:dyDescent="0.6">
      <c r="A37" t="s">
        <v>31</v>
      </c>
      <c r="B37" s="26">
        <v>0.5</v>
      </c>
      <c r="C37" s="26">
        <v>0.5</v>
      </c>
      <c r="G37" s="1"/>
      <c r="H37" s="38" t="s">
        <v>7</v>
      </c>
      <c r="I37" s="18" t="s">
        <v>8</v>
      </c>
    </row>
    <row r="38" spans="1:10" x14ac:dyDescent="0.6">
      <c r="A38" t="s">
        <v>32</v>
      </c>
      <c r="B38" s="26">
        <v>1</v>
      </c>
      <c r="C38" s="26">
        <v>1</v>
      </c>
      <c r="G38" s="38" t="s">
        <v>23</v>
      </c>
    </row>
    <row r="39" spans="1:10" x14ac:dyDescent="0.6">
      <c r="B39" s="10"/>
      <c r="C39" s="10"/>
      <c r="G39" t="s">
        <v>60</v>
      </c>
      <c r="H39" s="19">
        <f>$B$33*$B$37</f>
        <v>4015</v>
      </c>
      <c r="I39" s="19">
        <f>$C$33*$C$37</f>
        <v>4390</v>
      </c>
    </row>
    <row r="40" spans="1:10" x14ac:dyDescent="0.6">
      <c r="G40" s="6" t="s">
        <v>35</v>
      </c>
      <c r="H40" s="19">
        <f>$B$33*$B$38</f>
        <v>8030</v>
      </c>
      <c r="I40" s="19">
        <f>$C$33*$C$38</f>
        <v>8780</v>
      </c>
    </row>
    <row r="41" spans="1:10" x14ac:dyDescent="0.6">
      <c r="A41" s="1" t="s">
        <v>33</v>
      </c>
      <c r="G41" s="5"/>
    </row>
    <row r="42" spans="1:10" x14ac:dyDescent="0.6">
      <c r="G42" s="38" t="s">
        <v>24</v>
      </c>
    </row>
    <row r="43" spans="1:10" x14ac:dyDescent="0.6">
      <c r="B43" s="18" t="s">
        <v>34</v>
      </c>
      <c r="C43" s="18" t="s">
        <v>35</v>
      </c>
      <c r="D43" s="64" t="s">
        <v>36</v>
      </c>
      <c r="E43" s="64"/>
      <c r="G43" s="6" t="s">
        <v>60</v>
      </c>
      <c r="H43" s="19">
        <f>$B$34*$B$37</f>
        <v>1000</v>
      </c>
      <c r="I43" s="19">
        <f>$C$34*$C$37</f>
        <v>2000</v>
      </c>
    </row>
    <row r="44" spans="1:10" x14ac:dyDescent="0.6">
      <c r="A44" s="5" t="s">
        <v>37</v>
      </c>
      <c r="B44" s="38" t="s">
        <v>5</v>
      </c>
      <c r="C44" s="18" t="s">
        <v>38</v>
      </c>
      <c r="D44" s="38" t="s">
        <v>7</v>
      </c>
      <c r="E44" s="18" t="s">
        <v>8</v>
      </c>
      <c r="G44" s="6" t="s">
        <v>35</v>
      </c>
      <c r="H44" s="19">
        <f>$B$34*$B$38</f>
        <v>2000</v>
      </c>
      <c r="I44" s="19">
        <f>$C$34*$C$38</f>
        <v>4000</v>
      </c>
    </row>
    <row r="45" spans="1:10" x14ac:dyDescent="0.6">
      <c r="A45" s="11"/>
      <c r="B45" s="12" t="s">
        <v>9</v>
      </c>
      <c r="C45" s="12" t="s">
        <v>9</v>
      </c>
      <c r="D45" s="39" t="s">
        <v>10</v>
      </c>
      <c r="E45" s="39" t="s">
        <v>10</v>
      </c>
      <c r="G45" s="5"/>
    </row>
    <row r="46" spans="1:10" x14ac:dyDescent="0.6">
      <c r="A46" s="5" t="s">
        <v>39</v>
      </c>
      <c r="B46" s="19">
        <v>480</v>
      </c>
      <c r="C46" s="19">
        <v>900</v>
      </c>
      <c r="D46" s="7">
        <v>26</v>
      </c>
      <c r="E46" s="7">
        <v>30.1</v>
      </c>
    </row>
    <row r="47" spans="1:10" x14ac:dyDescent="0.6">
      <c r="A47" t="s">
        <v>40</v>
      </c>
      <c r="B47" s="19">
        <v>850</v>
      </c>
      <c r="C47" s="19">
        <v>1150</v>
      </c>
      <c r="D47" s="7">
        <v>51.7</v>
      </c>
      <c r="E47" s="7">
        <v>31.7</v>
      </c>
      <c r="G47" s="1" t="s">
        <v>55</v>
      </c>
      <c r="I47" s="38"/>
    </row>
    <row r="48" spans="1:10" x14ac:dyDescent="0.6">
      <c r="A48" t="s">
        <v>41</v>
      </c>
      <c r="B48" s="19">
        <v>640</v>
      </c>
      <c r="C48" s="19">
        <v>800</v>
      </c>
      <c r="D48" s="7">
        <v>16.600000000000001</v>
      </c>
      <c r="E48" s="7">
        <v>7.3</v>
      </c>
      <c r="G48" t="s">
        <v>56</v>
      </c>
      <c r="H48" s="22">
        <f>SUM($J$18:$J$26)*$L$30 + $J$34*$B$64 + $H$33*$B$61 + $I$33*$B$62</f>
        <v>1140865.7559552048</v>
      </c>
    </row>
    <row r="49" spans="1:8" x14ac:dyDescent="0.6">
      <c r="A49" t="s">
        <v>42</v>
      </c>
      <c r="B49" s="19">
        <v>575</v>
      </c>
      <c r="C49" s="19">
        <v>775</v>
      </c>
      <c r="D49" s="7">
        <v>16.2</v>
      </c>
      <c r="E49" s="7">
        <v>21.5</v>
      </c>
      <c r="G49" t="s">
        <v>67</v>
      </c>
      <c r="H49" s="22">
        <f>SUMPRODUCT($C$8:$C$15,$H$8:$H$15)+SUMPRODUCT($C$8:$C$15,$I$8:$I$15)</f>
        <v>312477.5</v>
      </c>
    </row>
    <row r="50" spans="1:8" x14ac:dyDescent="0.6">
      <c r="A50" t="s">
        <v>43</v>
      </c>
      <c r="B50" s="19">
        <v>970</v>
      </c>
      <c r="C50" s="19">
        <v>970</v>
      </c>
      <c r="D50" s="7">
        <v>24.5</v>
      </c>
      <c r="E50" s="7">
        <v>13.2</v>
      </c>
      <c r="G50" t="s">
        <v>64</v>
      </c>
      <c r="H50" s="22">
        <f>SUMPRODUCT($L$8:$M$15,$H$8:$I$15)+SUMPRODUCT($H$18:$I$26,$L$18:$M$26)</f>
        <v>90547.154772033697</v>
      </c>
    </row>
    <row r="51" spans="1:8" x14ac:dyDescent="0.6">
      <c r="A51" s="5" t="s">
        <v>44</v>
      </c>
      <c r="B51" s="19">
        <v>107</v>
      </c>
      <c r="C51" s="19">
        <v>200</v>
      </c>
      <c r="D51" s="7">
        <v>26.3</v>
      </c>
      <c r="E51" s="7">
        <v>28</v>
      </c>
      <c r="G51" t="s">
        <v>65</v>
      </c>
      <c r="H51" s="22">
        <f>SUM($H$8:$H$15)*(1-$B$21)*$B$29 + SUM($I$8:$I$15)*(1-$C$21)*$C$29 +SUM($B$30:$C$30)</f>
        <v>466449.65140704345</v>
      </c>
    </row>
    <row r="52" spans="1:8" x14ac:dyDescent="0.6">
      <c r="A52" t="s">
        <v>45</v>
      </c>
      <c r="B52" s="19">
        <v>80</v>
      </c>
      <c r="C52" s="19">
        <v>400</v>
      </c>
      <c r="D52" s="7">
        <v>21.3</v>
      </c>
      <c r="E52" s="7">
        <v>46.2</v>
      </c>
      <c r="G52" t="s">
        <v>66</v>
      </c>
      <c r="H52" s="22">
        <f>SUM($H$49:$H$51)</f>
        <v>869474.30617907713</v>
      </c>
    </row>
    <row r="53" spans="1:8" x14ac:dyDescent="0.6">
      <c r="A53" t="s">
        <v>46</v>
      </c>
      <c r="B53" s="19">
        <v>0</v>
      </c>
      <c r="C53" s="19">
        <v>310</v>
      </c>
      <c r="D53" s="7">
        <v>15.3</v>
      </c>
      <c r="E53" s="7">
        <v>28.4</v>
      </c>
      <c r="G53" t="s">
        <v>58</v>
      </c>
      <c r="H53" s="23">
        <f>$H$48-$H$52</f>
        <v>271391.4497761277</v>
      </c>
    </row>
    <row r="54" spans="1:8" x14ac:dyDescent="0.6">
      <c r="A54" t="s">
        <v>47</v>
      </c>
      <c r="B54" s="19">
        <v>0</v>
      </c>
      <c r="C54" s="19">
        <v>470</v>
      </c>
      <c r="D54" s="7">
        <v>24.3</v>
      </c>
      <c r="E54" s="7">
        <v>14.7</v>
      </c>
    </row>
    <row r="57" spans="1:8" x14ac:dyDescent="0.6">
      <c r="A57" s="1" t="s">
        <v>48</v>
      </c>
    </row>
    <row r="59" spans="1:8" x14ac:dyDescent="0.6">
      <c r="A59" t="s">
        <v>49</v>
      </c>
      <c r="B59" s="13" t="s">
        <v>6</v>
      </c>
    </row>
    <row r="60" spans="1:8" x14ac:dyDescent="0.6">
      <c r="B60" s="39" t="s">
        <v>10</v>
      </c>
    </row>
    <row r="61" spans="1:8" x14ac:dyDescent="0.6">
      <c r="A61" t="s">
        <v>50</v>
      </c>
      <c r="B61">
        <v>200</v>
      </c>
    </row>
    <row r="62" spans="1:8" x14ac:dyDescent="0.6">
      <c r="A62" s="5" t="s">
        <v>51</v>
      </c>
      <c r="B62">
        <v>150</v>
      </c>
    </row>
    <row r="63" spans="1:8" x14ac:dyDescent="0.6">
      <c r="A63" t="s">
        <v>23</v>
      </c>
      <c r="B63">
        <v>36</v>
      </c>
    </row>
    <row r="64" spans="1:8" x14ac:dyDescent="0.6">
      <c r="A64" t="s">
        <v>52</v>
      </c>
      <c r="B64">
        <v>25</v>
      </c>
    </row>
  </sheetData>
  <mergeCells count="2">
    <mergeCell ref="D5:E5"/>
    <mergeCell ref="D43:E43"/>
  </mergeCells>
  <printOptions headings="1"/>
  <pageMargins left="0.75" right="0.75" top="1" bottom="1" header="0.5" footer="0.5"/>
  <pageSetup orientation="portrait" horizont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59999389629810485"/>
  </sheetPr>
  <dimension ref="A1:L64"/>
  <sheetViews>
    <sheetView topLeftCell="A43" workbookViewId="0">
      <selection activeCell="H53" sqref="H53"/>
    </sheetView>
  </sheetViews>
  <sheetFormatPr defaultColWidth="8.86328125" defaultRowHeight="13" x14ac:dyDescent="0.6"/>
  <cols>
    <col min="1" max="1" width="30.7265625" customWidth="1"/>
    <col min="2" max="5" width="11.7265625" customWidth="1"/>
    <col min="7" max="7" width="21" bestFit="1" customWidth="1"/>
    <col min="8" max="8" width="16.7265625" bestFit="1" customWidth="1"/>
    <col min="9" max="9" width="19.7265625" customWidth="1"/>
    <col min="10" max="10" width="14" bestFit="1" customWidth="1"/>
    <col min="11" max="11" width="15.1328125" customWidth="1"/>
    <col min="12" max="12" width="21" bestFit="1" customWidth="1"/>
    <col min="13" max="13" width="11.86328125" bestFit="1" customWidth="1"/>
  </cols>
  <sheetData>
    <row r="1" spans="1:12" x14ac:dyDescent="0.6">
      <c r="A1" s="1" t="s">
        <v>0</v>
      </c>
      <c r="G1" s="1" t="s">
        <v>59</v>
      </c>
    </row>
    <row r="4" spans="1:12" x14ac:dyDescent="0.6">
      <c r="A4" s="1" t="s">
        <v>1</v>
      </c>
      <c r="G4" s="1" t="s">
        <v>54</v>
      </c>
      <c r="K4" s="1"/>
    </row>
    <row r="5" spans="1:12" x14ac:dyDescent="0.6">
      <c r="B5" s="2" t="s">
        <v>2</v>
      </c>
      <c r="C5" s="3"/>
      <c r="D5" s="64" t="s">
        <v>3</v>
      </c>
      <c r="E5" s="64"/>
    </row>
    <row r="6" spans="1:12" x14ac:dyDescent="0.6">
      <c r="A6" t="s">
        <v>4</v>
      </c>
      <c r="B6" s="3" t="s">
        <v>5</v>
      </c>
      <c r="C6" s="3" t="s">
        <v>6</v>
      </c>
      <c r="D6" s="3" t="s">
        <v>7</v>
      </c>
      <c r="E6" s="2" t="s">
        <v>8</v>
      </c>
      <c r="H6" s="17" t="s">
        <v>7</v>
      </c>
      <c r="I6" s="18" t="s">
        <v>8</v>
      </c>
      <c r="J6" s="24" t="s">
        <v>68</v>
      </c>
    </row>
    <row r="7" spans="1:12" x14ac:dyDescent="0.6">
      <c r="B7" s="4" t="s">
        <v>9</v>
      </c>
      <c r="C7" s="4" t="s">
        <v>10</v>
      </c>
      <c r="D7" s="4" t="s">
        <v>10</v>
      </c>
      <c r="E7" s="4" t="s">
        <v>10</v>
      </c>
      <c r="G7" s="21" t="s">
        <v>61</v>
      </c>
      <c r="L7" s="20"/>
    </row>
    <row r="8" spans="1:12" x14ac:dyDescent="0.6">
      <c r="A8" s="6" t="s">
        <v>11</v>
      </c>
      <c r="B8" s="19">
        <v>1000</v>
      </c>
      <c r="C8" s="7">
        <v>25.2</v>
      </c>
      <c r="D8" s="7">
        <v>5</v>
      </c>
      <c r="E8" s="7">
        <v>11.6</v>
      </c>
      <c r="G8" s="6" t="s">
        <v>11</v>
      </c>
      <c r="H8" s="37">
        <v>1000</v>
      </c>
      <c r="I8" s="37">
        <v>0</v>
      </c>
      <c r="J8">
        <f>SUM(H8:I8)</f>
        <v>1000</v>
      </c>
      <c r="L8" s="20"/>
    </row>
    <row r="9" spans="1:12" x14ac:dyDescent="0.6">
      <c r="A9" s="6" t="s">
        <v>12</v>
      </c>
      <c r="B9" s="19">
        <v>1583</v>
      </c>
      <c r="C9" s="7">
        <v>24.5</v>
      </c>
      <c r="D9" s="7">
        <v>5</v>
      </c>
      <c r="E9" s="7">
        <v>13.7</v>
      </c>
      <c r="G9" s="6" t="s">
        <v>12</v>
      </c>
      <c r="H9" s="37">
        <v>1583</v>
      </c>
      <c r="I9" s="37">
        <v>0</v>
      </c>
      <c r="J9">
        <f t="shared" ref="J9:J15" si="0">SUM(H9:I9)</f>
        <v>1583</v>
      </c>
      <c r="L9" s="20"/>
    </row>
    <row r="10" spans="1:12" x14ac:dyDescent="0.6">
      <c r="A10" s="5" t="s">
        <v>13</v>
      </c>
      <c r="B10" s="19">
        <v>2140</v>
      </c>
      <c r="C10" s="7">
        <v>25.5</v>
      </c>
      <c r="D10" s="7">
        <v>19.600000000000001</v>
      </c>
      <c r="E10" s="7">
        <v>11.5</v>
      </c>
      <c r="G10" s="5" t="s">
        <v>13</v>
      </c>
      <c r="H10" s="37">
        <v>0</v>
      </c>
      <c r="I10" s="37">
        <v>2140</v>
      </c>
      <c r="J10">
        <f t="shared" si="0"/>
        <v>2140</v>
      </c>
      <c r="L10" s="20"/>
    </row>
    <row r="11" spans="1:12" x14ac:dyDescent="0.6">
      <c r="A11" s="5" t="s">
        <v>14</v>
      </c>
      <c r="B11" s="19">
        <v>1370</v>
      </c>
      <c r="C11" s="7">
        <v>23.3</v>
      </c>
      <c r="D11" s="7">
        <v>4</v>
      </c>
      <c r="E11" s="7">
        <v>10.6</v>
      </c>
      <c r="G11" s="5" t="s">
        <v>14</v>
      </c>
      <c r="H11" s="37">
        <v>530.18024471680542</v>
      </c>
      <c r="I11" s="37">
        <v>839.81975528319458</v>
      </c>
      <c r="J11">
        <f t="shared" si="0"/>
        <v>1370</v>
      </c>
      <c r="L11" s="20"/>
    </row>
    <row r="12" spans="1:12" x14ac:dyDescent="0.6">
      <c r="A12" s="5" t="s">
        <v>15</v>
      </c>
      <c r="B12" s="19">
        <v>2000</v>
      </c>
      <c r="C12" s="7">
        <v>24.2</v>
      </c>
      <c r="D12" s="7">
        <v>4.2</v>
      </c>
      <c r="E12" s="7">
        <v>12.1</v>
      </c>
      <c r="G12" s="5" t="s">
        <v>15</v>
      </c>
      <c r="H12" s="37">
        <v>2000</v>
      </c>
      <c r="I12" s="37">
        <v>0</v>
      </c>
      <c r="J12">
        <f t="shared" si="0"/>
        <v>2000</v>
      </c>
      <c r="L12" s="20"/>
    </row>
    <row r="13" spans="1:12" x14ac:dyDescent="0.6">
      <c r="A13" s="5" t="s">
        <v>16</v>
      </c>
      <c r="B13" s="19">
        <v>1850</v>
      </c>
      <c r="C13" s="7">
        <v>23.3</v>
      </c>
      <c r="D13" s="7">
        <v>7.65</v>
      </c>
      <c r="E13" s="7">
        <v>11</v>
      </c>
      <c r="G13" s="5" t="s">
        <v>16</v>
      </c>
      <c r="H13" s="37">
        <v>0</v>
      </c>
      <c r="I13" s="37">
        <v>1850</v>
      </c>
      <c r="J13">
        <f t="shared" si="0"/>
        <v>1850</v>
      </c>
      <c r="L13" s="20"/>
    </row>
    <row r="14" spans="1:12" x14ac:dyDescent="0.6">
      <c r="A14" s="5" t="s">
        <v>17</v>
      </c>
      <c r="B14" s="19">
        <v>1260</v>
      </c>
      <c r="C14" s="7">
        <v>23.3</v>
      </c>
      <c r="D14" s="7">
        <v>14.7</v>
      </c>
      <c r="E14" s="7">
        <v>4.8</v>
      </c>
      <c r="G14" s="5" t="s">
        <v>17</v>
      </c>
      <c r="H14" s="37">
        <v>0</v>
      </c>
      <c r="I14" s="37">
        <v>1260</v>
      </c>
      <c r="J14">
        <f t="shared" si="0"/>
        <v>1260</v>
      </c>
      <c r="L14" s="20"/>
    </row>
    <row r="15" spans="1:12" x14ac:dyDescent="0.6">
      <c r="A15" s="5" t="s">
        <v>18</v>
      </c>
      <c r="B15" s="19">
        <v>1700</v>
      </c>
      <c r="C15" s="7">
        <v>24.2</v>
      </c>
      <c r="D15" s="7">
        <v>16.3</v>
      </c>
      <c r="E15" s="7">
        <v>10.3</v>
      </c>
      <c r="G15" s="5" t="s">
        <v>18</v>
      </c>
      <c r="H15" s="37">
        <v>0</v>
      </c>
      <c r="I15" s="37">
        <v>1700</v>
      </c>
      <c r="J15">
        <f t="shared" si="0"/>
        <v>1700</v>
      </c>
      <c r="L15" s="20"/>
    </row>
    <row r="16" spans="1:12" x14ac:dyDescent="0.6">
      <c r="H16" s="36">
        <f>SUM(H8:H15)</f>
        <v>5113.1802447168056</v>
      </c>
      <c r="I16" s="36">
        <f>SUM(I8:I15)</f>
        <v>7789.8197552831944</v>
      </c>
    </row>
    <row r="17" spans="1:10" x14ac:dyDescent="0.6">
      <c r="G17" s="21" t="s">
        <v>62</v>
      </c>
      <c r="H17" s="17" t="s">
        <v>7</v>
      </c>
      <c r="I17" s="18" t="s">
        <v>8</v>
      </c>
    </row>
    <row r="18" spans="1:10" x14ac:dyDescent="0.6">
      <c r="A18" s="1" t="s">
        <v>19</v>
      </c>
      <c r="G18" s="5" t="s">
        <v>39</v>
      </c>
      <c r="H18" s="37">
        <v>480</v>
      </c>
      <c r="I18" s="37">
        <v>0</v>
      </c>
      <c r="J18" s="36">
        <f t="shared" ref="J18:J26" si="1">SUM(H18:I18)</f>
        <v>480</v>
      </c>
    </row>
    <row r="19" spans="1:10" x14ac:dyDescent="0.6">
      <c r="B19" s="14" t="s">
        <v>7</v>
      </c>
      <c r="C19" s="15" t="s">
        <v>8</v>
      </c>
      <c r="G19" t="s">
        <v>40</v>
      </c>
      <c r="H19" s="37">
        <v>0</v>
      </c>
      <c r="I19" s="37">
        <v>850</v>
      </c>
      <c r="J19" s="36">
        <f t="shared" si="1"/>
        <v>850</v>
      </c>
    </row>
    <row r="20" spans="1:10" x14ac:dyDescent="0.6">
      <c r="A20" s="5" t="s">
        <v>20</v>
      </c>
      <c r="G20" t="s">
        <v>41</v>
      </c>
      <c r="H20" s="37">
        <v>133.09515107960195</v>
      </c>
      <c r="I20" s="37">
        <v>506.90484892039808</v>
      </c>
      <c r="J20" s="36">
        <f t="shared" si="1"/>
        <v>640</v>
      </c>
    </row>
    <row r="21" spans="1:10" x14ac:dyDescent="0.6">
      <c r="A21" t="s">
        <v>21</v>
      </c>
      <c r="B21" s="8">
        <v>2.7E-2</v>
      </c>
      <c r="C21" s="8">
        <v>2.7E-2</v>
      </c>
      <c r="G21" t="s">
        <v>42</v>
      </c>
      <c r="H21" s="37">
        <v>651.09887877114409</v>
      </c>
      <c r="I21" s="37">
        <v>0</v>
      </c>
      <c r="J21" s="36">
        <f t="shared" si="1"/>
        <v>651.09887877114409</v>
      </c>
    </row>
    <row r="22" spans="1:10" x14ac:dyDescent="0.6">
      <c r="G22" t="s">
        <v>43</v>
      </c>
      <c r="H22" s="37">
        <v>0</v>
      </c>
      <c r="I22" s="37">
        <v>970</v>
      </c>
      <c r="J22" s="36">
        <f t="shared" si="1"/>
        <v>970</v>
      </c>
    </row>
    <row r="23" spans="1:10" x14ac:dyDescent="0.6">
      <c r="A23" s="5" t="s">
        <v>22</v>
      </c>
      <c r="G23" s="5" t="s">
        <v>44</v>
      </c>
      <c r="H23" s="37">
        <v>107</v>
      </c>
      <c r="I23" s="37">
        <v>0</v>
      </c>
      <c r="J23" s="36">
        <f t="shared" si="1"/>
        <v>107</v>
      </c>
    </row>
    <row r="24" spans="1:10" x14ac:dyDescent="0.6">
      <c r="A24" t="s">
        <v>23</v>
      </c>
      <c r="B24" s="8">
        <v>0.35399999999999998</v>
      </c>
      <c r="C24" s="8">
        <v>0.307</v>
      </c>
      <c r="G24" t="s">
        <v>45</v>
      </c>
      <c r="H24" s="37">
        <v>80</v>
      </c>
      <c r="I24" s="37">
        <v>0</v>
      </c>
      <c r="J24" s="36">
        <f t="shared" si="1"/>
        <v>80</v>
      </c>
    </row>
    <row r="25" spans="1:10" x14ac:dyDescent="0.6">
      <c r="A25" t="s">
        <v>24</v>
      </c>
      <c r="B25" s="8">
        <v>0.40200000000000002</v>
      </c>
      <c r="C25" s="8">
        <v>0.45600000000000002</v>
      </c>
      <c r="G25" t="s">
        <v>46</v>
      </c>
      <c r="H25" s="37">
        <v>310</v>
      </c>
      <c r="I25" s="37">
        <v>0</v>
      </c>
      <c r="J25" s="36">
        <f t="shared" si="1"/>
        <v>310</v>
      </c>
    </row>
    <row r="26" spans="1:10" x14ac:dyDescent="0.6">
      <c r="A26" t="s">
        <v>69</v>
      </c>
      <c r="B26" s="8">
        <f>1-SUM(B24:B25)</f>
        <v>0.24399999999999999</v>
      </c>
      <c r="C26" s="8">
        <f>1-SUM(C24:C25)</f>
        <v>0.23699999999999999</v>
      </c>
      <c r="G26" t="s">
        <v>47</v>
      </c>
      <c r="H26" s="37">
        <v>0</v>
      </c>
      <c r="I26" s="37">
        <v>0</v>
      </c>
      <c r="J26" s="36">
        <f t="shared" si="1"/>
        <v>0</v>
      </c>
    </row>
    <row r="27" spans="1:10" x14ac:dyDescent="0.6">
      <c r="G27" t="s">
        <v>68</v>
      </c>
      <c r="H27" s="35">
        <f>SUM(H18:H26)</f>
        <v>1761.1940298507461</v>
      </c>
      <c r="I27" s="35">
        <f>SUM(I18:I26)</f>
        <v>2326.9048489203979</v>
      </c>
    </row>
    <row r="28" spans="1:10" x14ac:dyDescent="0.6">
      <c r="A28" t="s">
        <v>25</v>
      </c>
    </row>
    <row r="29" spans="1:10" x14ac:dyDescent="0.6">
      <c r="A29" s="16" t="s">
        <v>53</v>
      </c>
      <c r="B29" s="9">
        <v>31</v>
      </c>
      <c r="C29" s="9">
        <v>38</v>
      </c>
    </row>
    <row r="30" spans="1:10" x14ac:dyDescent="0.6">
      <c r="A30" s="5" t="s">
        <v>26</v>
      </c>
      <c r="B30" s="9">
        <v>10000</v>
      </c>
      <c r="C30" s="9">
        <v>14200</v>
      </c>
      <c r="G30" s="1" t="s">
        <v>70</v>
      </c>
    </row>
    <row r="31" spans="1:10" x14ac:dyDescent="0.6">
      <c r="H31" s="17" t="s">
        <v>7</v>
      </c>
      <c r="I31" s="18" t="s">
        <v>8</v>
      </c>
      <c r="J31" s="17" t="s">
        <v>268</v>
      </c>
    </row>
    <row r="32" spans="1:10" x14ac:dyDescent="0.6">
      <c r="A32" s="5" t="s">
        <v>27</v>
      </c>
      <c r="G32" t="s">
        <v>63</v>
      </c>
      <c r="H32" s="35">
        <f>SUM($H$8:$H$15)*(1-$B$21)*$B$24</f>
        <v>1761.1940298507459</v>
      </c>
      <c r="I32" s="35">
        <f>SUM($I$8:$I$15)*(1-$C$21)*$C$24</f>
        <v>2326.9048489203983</v>
      </c>
      <c r="J32" s="36">
        <f>SUM(H32:I32)</f>
        <v>4088.098878771144</v>
      </c>
    </row>
    <row r="33" spans="1:10" x14ac:dyDescent="0.6">
      <c r="A33" s="5" t="s">
        <v>28</v>
      </c>
      <c r="B33" s="25">
        <v>8030</v>
      </c>
      <c r="C33" s="25">
        <v>8780</v>
      </c>
      <c r="G33" t="s">
        <v>24</v>
      </c>
      <c r="H33" s="36">
        <f>SUM($H$8:$H$15)*(1-$B$21)*$B$25</f>
        <v>1999.9999999999998</v>
      </c>
      <c r="I33" s="36">
        <f>SUM($I$8:$I$15)*(1-$C$21)*$C$25</f>
        <v>3456.2495475820901</v>
      </c>
      <c r="J33" s="36">
        <f t="shared" ref="J33" si="2">SUM(H33:I33)</f>
        <v>5456.2495475820897</v>
      </c>
    </row>
    <row r="34" spans="1:10" x14ac:dyDescent="0.6">
      <c r="A34" t="s">
        <v>29</v>
      </c>
      <c r="B34" s="25">
        <v>2000</v>
      </c>
      <c r="C34" s="25">
        <v>4000</v>
      </c>
      <c r="G34" t="s">
        <v>52</v>
      </c>
      <c r="H34" s="36">
        <f>SUM($H$8:$H$15)*(1-$B$21)*$B$26</f>
        <v>1213.9303482587061</v>
      </c>
      <c r="I34" s="36">
        <f>SUM($I$8:$I$15)*(1-$C$21)*$C$26</f>
        <v>1796.3402253880597</v>
      </c>
      <c r="J34" s="36">
        <f>SUM(H34:I34)</f>
        <v>3010.270573646766</v>
      </c>
    </row>
    <row r="35" spans="1:10" x14ac:dyDescent="0.6">
      <c r="B35" s="20"/>
      <c r="C35" s="20"/>
      <c r="G35" t="s">
        <v>267</v>
      </c>
      <c r="H35" s="36">
        <f>SUM(H32:H34)</f>
        <v>4975.1243781094518</v>
      </c>
      <c r="I35" s="36">
        <f>SUM(I32:I34)</f>
        <v>7579.4946218905479</v>
      </c>
    </row>
    <row r="36" spans="1:10" x14ac:dyDescent="0.6">
      <c r="A36" t="s">
        <v>30</v>
      </c>
      <c r="B36" s="20"/>
      <c r="C36" s="20"/>
    </row>
    <row r="37" spans="1:10" x14ac:dyDescent="0.6">
      <c r="A37" t="s">
        <v>31</v>
      </c>
      <c r="B37" s="26">
        <v>0.5</v>
      </c>
      <c r="C37" s="26">
        <v>0.5</v>
      </c>
      <c r="G37" s="1"/>
      <c r="H37" s="17" t="s">
        <v>7</v>
      </c>
      <c r="I37" s="18" t="s">
        <v>8</v>
      </c>
    </row>
    <row r="38" spans="1:10" x14ac:dyDescent="0.6">
      <c r="A38" t="s">
        <v>32</v>
      </c>
      <c r="B38" s="26">
        <v>1</v>
      </c>
      <c r="C38" s="26">
        <v>1</v>
      </c>
      <c r="G38" s="17" t="s">
        <v>23</v>
      </c>
    </row>
    <row r="39" spans="1:10" x14ac:dyDescent="0.6">
      <c r="B39" s="10"/>
      <c r="C39" s="10"/>
      <c r="G39" t="s">
        <v>60</v>
      </c>
      <c r="H39" s="19">
        <f>$B$33*$B$37</f>
        <v>4015</v>
      </c>
      <c r="I39" s="19">
        <f>$C$33*$C$37</f>
        <v>4390</v>
      </c>
    </row>
    <row r="40" spans="1:10" x14ac:dyDescent="0.6">
      <c r="G40" s="6" t="s">
        <v>35</v>
      </c>
      <c r="H40" s="19">
        <f>$B$33*$B$38</f>
        <v>8030</v>
      </c>
      <c r="I40" s="19">
        <f>$C$33*$C$38</f>
        <v>8780</v>
      </c>
    </row>
    <row r="41" spans="1:10" x14ac:dyDescent="0.6">
      <c r="A41" s="1" t="s">
        <v>33</v>
      </c>
      <c r="G41" s="5"/>
    </row>
    <row r="42" spans="1:10" x14ac:dyDescent="0.6">
      <c r="G42" s="17" t="s">
        <v>24</v>
      </c>
    </row>
    <row r="43" spans="1:10" x14ac:dyDescent="0.6">
      <c r="B43" s="2" t="s">
        <v>34</v>
      </c>
      <c r="C43" s="2" t="s">
        <v>35</v>
      </c>
      <c r="D43" s="64" t="s">
        <v>36</v>
      </c>
      <c r="E43" s="64"/>
      <c r="G43" s="6" t="s">
        <v>60</v>
      </c>
      <c r="H43" s="19">
        <f>$B$34*$B$37</f>
        <v>1000</v>
      </c>
      <c r="I43" s="19">
        <f>$C$34*$C$37</f>
        <v>2000</v>
      </c>
    </row>
    <row r="44" spans="1:10" x14ac:dyDescent="0.6">
      <c r="A44" s="5" t="s">
        <v>37</v>
      </c>
      <c r="B44" s="3" t="s">
        <v>5</v>
      </c>
      <c r="C44" s="2" t="s">
        <v>38</v>
      </c>
      <c r="D44" s="3" t="s">
        <v>7</v>
      </c>
      <c r="E44" s="2" t="s">
        <v>8</v>
      </c>
      <c r="G44" s="6" t="s">
        <v>35</v>
      </c>
      <c r="H44" s="19">
        <f>$B$34*$B$38</f>
        <v>2000</v>
      </c>
      <c r="I44" s="19">
        <f>$C$34*$C$38</f>
        <v>4000</v>
      </c>
    </row>
    <row r="45" spans="1:10" x14ac:dyDescent="0.6">
      <c r="A45" s="11"/>
      <c r="B45" s="12" t="s">
        <v>9</v>
      </c>
      <c r="C45" s="12" t="s">
        <v>9</v>
      </c>
      <c r="D45" s="4" t="s">
        <v>10</v>
      </c>
      <c r="E45" s="4" t="s">
        <v>10</v>
      </c>
      <c r="G45" s="5"/>
    </row>
    <row r="46" spans="1:10" x14ac:dyDescent="0.6">
      <c r="A46" s="5" t="s">
        <v>39</v>
      </c>
      <c r="B46" s="19">
        <v>480</v>
      </c>
      <c r="C46" s="19">
        <v>900</v>
      </c>
      <c r="D46" s="7">
        <v>26</v>
      </c>
      <c r="E46" s="7">
        <v>30.1</v>
      </c>
    </row>
    <row r="47" spans="1:10" x14ac:dyDescent="0.6">
      <c r="A47" t="s">
        <v>40</v>
      </c>
      <c r="B47" s="19">
        <v>850</v>
      </c>
      <c r="C47" s="19">
        <v>1150</v>
      </c>
      <c r="D47" s="7">
        <v>51.7</v>
      </c>
      <c r="E47" s="7">
        <v>31.7</v>
      </c>
      <c r="G47" s="1" t="s">
        <v>55</v>
      </c>
      <c r="I47" s="17"/>
    </row>
    <row r="48" spans="1:10" x14ac:dyDescent="0.6">
      <c r="A48" t="s">
        <v>41</v>
      </c>
      <c r="B48" s="19">
        <v>640</v>
      </c>
      <c r="C48" s="19">
        <v>800</v>
      </c>
      <c r="D48" s="7">
        <v>16.600000000000001</v>
      </c>
      <c r="E48" s="7">
        <v>7.3</v>
      </c>
      <c r="G48" t="s">
        <v>56</v>
      </c>
      <c r="H48" s="22">
        <f>SUM($J$18:$J$26)*$B$63 + $J$34*$B$64 + $H$33*$B$61 + $I$33*$B$62</f>
        <v>1140865.7561142438</v>
      </c>
    </row>
    <row r="49" spans="1:8" x14ac:dyDescent="0.6">
      <c r="A49" t="s">
        <v>42</v>
      </c>
      <c r="B49" s="19">
        <v>575</v>
      </c>
      <c r="C49" s="19">
        <v>775</v>
      </c>
      <c r="D49" s="7">
        <v>16.2</v>
      </c>
      <c r="E49" s="7">
        <v>21.5</v>
      </c>
      <c r="G49" t="s">
        <v>67</v>
      </c>
      <c r="H49" s="22">
        <f>SUMPRODUCT($C$8:$C$15,$H$8:$H$15)+SUMPRODUCT($C$8:$C$15,$I$8:$I$15)</f>
        <v>312477.5</v>
      </c>
    </row>
    <row r="50" spans="1:8" x14ac:dyDescent="0.6">
      <c r="A50" t="s">
        <v>43</v>
      </c>
      <c r="B50" s="19">
        <v>970</v>
      </c>
      <c r="C50" s="19">
        <v>970</v>
      </c>
      <c r="D50" s="7">
        <v>24.5</v>
      </c>
      <c r="E50" s="7">
        <v>13.2</v>
      </c>
      <c r="G50" t="s">
        <v>64</v>
      </c>
      <c r="H50" s="22">
        <f>SUMPRODUCT($D$8:$E$15,$H$8:$I$15)+SUMPRODUCT($H$18:$I$26,$D$46:$E$54)</f>
        <v>178803.49712600192</v>
      </c>
    </row>
    <row r="51" spans="1:8" x14ac:dyDescent="0.6">
      <c r="A51" s="5" t="s">
        <v>44</v>
      </c>
      <c r="B51" s="19">
        <v>107</v>
      </c>
      <c r="C51" s="19">
        <v>200</v>
      </c>
      <c r="D51" s="7">
        <v>26.3</v>
      </c>
      <c r="E51" s="7">
        <v>28</v>
      </c>
      <c r="G51" t="s">
        <v>65</v>
      </c>
      <c r="H51" s="22">
        <f>SUM($H$8:$H$15)*(1-$B$21)*$B$29 + SUM($I$8:$I$15)*(1-$C$21)*$C$29 +SUM($B$30:$C$30)</f>
        <v>466449.65135323384</v>
      </c>
    </row>
    <row r="52" spans="1:8" x14ac:dyDescent="0.6">
      <c r="A52" t="s">
        <v>45</v>
      </c>
      <c r="B52" s="19">
        <v>80</v>
      </c>
      <c r="C52" s="19">
        <v>400</v>
      </c>
      <c r="D52" s="7">
        <v>21.3</v>
      </c>
      <c r="E52" s="7">
        <v>46.2</v>
      </c>
      <c r="G52" t="s">
        <v>66</v>
      </c>
      <c r="H52" s="22">
        <f>SUM($H$49:$H$51)</f>
        <v>957730.64847923582</v>
      </c>
    </row>
    <row r="53" spans="1:8" x14ac:dyDescent="0.6">
      <c r="A53" t="s">
        <v>46</v>
      </c>
      <c r="B53" s="19">
        <v>0</v>
      </c>
      <c r="C53" s="19">
        <v>310</v>
      </c>
      <c r="D53" s="7">
        <v>15.3</v>
      </c>
      <c r="E53" s="7">
        <v>28.4</v>
      </c>
      <c r="G53" t="s">
        <v>58</v>
      </c>
      <c r="H53" s="23">
        <f>$H$48-$H$52</f>
        <v>183135.10763500794</v>
      </c>
    </row>
    <row r="54" spans="1:8" x14ac:dyDescent="0.6">
      <c r="A54" t="s">
        <v>47</v>
      </c>
      <c r="B54" s="19">
        <v>0</v>
      </c>
      <c r="C54" s="19">
        <v>470</v>
      </c>
      <c r="D54" s="7">
        <v>24.3</v>
      </c>
      <c r="E54" s="7">
        <v>14.7</v>
      </c>
    </row>
    <row r="57" spans="1:8" x14ac:dyDescent="0.6">
      <c r="A57" s="1" t="s">
        <v>48</v>
      </c>
    </row>
    <row r="59" spans="1:8" x14ac:dyDescent="0.6">
      <c r="A59" t="s">
        <v>49</v>
      </c>
      <c r="B59" s="13" t="s">
        <v>6</v>
      </c>
    </row>
    <row r="60" spans="1:8" x14ac:dyDescent="0.6">
      <c r="B60" s="4" t="s">
        <v>10</v>
      </c>
    </row>
    <row r="61" spans="1:8" x14ac:dyDescent="0.6">
      <c r="A61" t="s">
        <v>50</v>
      </c>
      <c r="B61">
        <v>200</v>
      </c>
    </row>
    <row r="62" spans="1:8" x14ac:dyDescent="0.6">
      <c r="A62" s="5" t="s">
        <v>51</v>
      </c>
      <c r="B62">
        <v>150</v>
      </c>
    </row>
    <row r="63" spans="1:8" x14ac:dyDescent="0.6">
      <c r="A63" t="s">
        <v>23</v>
      </c>
      <c r="B63">
        <v>36</v>
      </c>
    </row>
    <row r="64" spans="1:8" x14ac:dyDescent="0.6">
      <c r="A64" t="s">
        <v>52</v>
      </c>
      <c r="B64">
        <v>25</v>
      </c>
    </row>
  </sheetData>
  <mergeCells count="2">
    <mergeCell ref="D5:E5"/>
    <mergeCell ref="D43:E43"/>
  </mergeCells>
  <printOptions headings="1"/>
  <pageMargins left="0.75" right="0.75" top="1" bottom="1" header="0.5" footer="0.5"/>
  <pageSetup orientation="portrait" horizontalDpi="4294967292"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641CE-ECE1-445C-92F1-DCD419AC17C1}">
  <sheetPr>
    <tabColor theme="9" tint="0.59999389629810485"/>
  </sheetPr>
  <dimension ref="A1:K25"/>
  <sheetViews>
    <sheetView topLeftCell="E23" workbookViewId="0">
      <selection activeCell="S40" sqref="S40"/>
    </sheetView>
  </sheetViews>
  <sheetFormatPr defaultRowHeight="13" x14ac:dyDescent="0.6"/>
  <cols>
    <col min="2" max="2" width="12.1328125" bestFit="1" customWidth="1"/>
  </cols>
  <sheetData>
    <row r="1" spans="1:11" x14ac:dyDescent="0.6">
      <c r="A1" s="1" t="s">
        <v>277</v>
      </c>
      <c r="K1" s="47" t="str">
        <f>CONCATENATE("Sensitivity of ",$K$4," to ","Change in Diesel Price")</f>
        <v>Sensitivity of Profit to Change in Diesel Price</v>
      </c>
    </row>
    <row r="3" spans="1:11" x14ac:dyDescent="0.6">
      <c r="A3" t="s">
        <v>297</v>
      </c>
      <c r="K3" t="s">
        <v>276</v>
      </c>
    </row>
    <row r="4" spans="1:11" ht="28" x14ac:dyDescent="0.6">
      <c r="B4" s="45" t="s">
        <v>58</v>
      </c>
      <c r="J4" s="47">
        <f>MATCH($K$4,OutputAddresses,0)</f>
        <v>1</v>
      </c>
      <c r="K4" s="46" t="s">
        <v>58</v>
      </c>
    </row>
    <row r="5" spans="1:11" x14ac:dyDescent="0.6">
      <c r="A5" s="42">
        <v>-1</v>
      </c>
      <c r="B5" s="48">
        <v>214767.05</v>
      </c>
      <c r="K5">
        <f>INDEX(OutputValues,1,$J$4)</f>
        <v>214767.05</v>
      </c>
    </row>
    <row r="6" spans="1:11" x14ac:dyDescent="0.6">
      <c r="A6" s="42">
        <v>-0.89999997615814209</v>
      </c>
      <c r="B6" s="49">
        <v>220429.49</v>
      </c>
      <c r="K6">
        <f>INDEX(OutputValues,2,$J$4)</f>
        <v>220429.49</v>
      </c>
    </row>
    <row r="7" spans="1:11" x14ac:dyDescent="0.6">
      <c r="A7" s="42">
        <v>-0.80000001192092896</v>
      </c>
      <c r="B7" s="49">
        <v>226091.93</v>
      </c>
      <c r="K7">
        <f>INDEX(OutputValues,3,$J$4)</f>
        <v>226091.93</v>
      </c>
    </row>
    <row r="8" spans="1:11" x14ac:dyDescent="0.6">
      <c r="A8" s="42">
        <v>-0.69999998807907104</v>
      </c>
      <c r="B8" s="49">
        <v>231754.37</v>
      </c>
      <c r="K8">
        <f>INDEX(OutputValues,4,$J$4)</f>
        <v>231754.37</v>
      </c>
    </row>
    <row r="9" spans="1:11" x14ac:dyDescent="0.6">
      <c r="A9" s="42">
        <v>-0.60000002384185791</v>
      </c>
      <c r="B9" s="49">
        <v>237416.81</v>
      </c>
      <c r="K9">
        <f>INDEX(OutputValues,5,$J$4)</f>
        <v>237416.81</v>
      </c>
    </row>
    <row r="10" spans="1:11" x14ac:dyDescent="0.6">
      <c r="A10" s="42">
        <v>-0.5</v>
      </c>
      <c r="B10" s="49">
        <v>243079.25</v>
      </c>
      <c r="K10">
        <f>INDEX(OutputValues,6,$J$4)</f>
        <v>243079.25</v>
      </c>
    </row>
    <row r="11" spans="1:11" x14ac:dyDescent="0.6">
      <c r="A11" s="42">
        <v>-0.39999997615814209</v>
      </c>
      <c r="B11" s="49">
        <v>248741.69</v>
      </c>
      <c r="K11">
        <f>INDEX(OutputValues,7,$J$4)</f>
        <v>248741.69</v>
      </c>
    </row>
    <row r="12" spans="1:11" x14ac:dyDescent="0.6">
      <c r="A12" s="42">
        <v>-0.29999998211860657</v>
      </c>
      <c r="B12" s="49">
        <v>254404.13</v>
      </c>
      <c r="K12">
        <f>INDEX(OutputValues,8,$J$4)</f>
        <v>254404.13</v>
      </c>
    </row>
    <row r="13" spans="1:11" x14ac:dyDescent="0.6">
      <c r="A13" s="42">
        <v>-0.19999998807907104</v>
      </c>
      <c r="B13" s="49">
        <v>260066.57</v>
      </c>
      <c r="K13">
        <f>INDEX(OutputValues,9,$J$4)</f>
        <v>260066.57</v>
      </c>
    </row>
    <row r="14" spans="1:11" x14ac:dyDescent="0.6">
      <c r="A14" s="42">
        <v>-9.9999986588954926E-2</v>
      </c>
      <c r="B14" s="49">
        <v>265729.01</v>
      </c>
      <c r="K14">
        <f>INDEX(OutputValues,10,$J$4)</f>
        <v>265729.01</v>
      </c>
    </row>
    <row r="15" spans="1:11" x14ac:dyDescent="0.6">
      <c r="A15" s="42">
        <v>1.4901161193847656E-8</v>
      </c>
      <c r="B15" s="49">
        <v>271391.45</v>
      </c>
      <c r="K15">
        <f>INDEX(OutputValues,11,$J$4)</f>
        <v>271391.45</v>
      </c>
    </row>
    <row r="16" spans="1:11" x14ac:dyDescent="0.6">
      <c r="A16" s="42">
        <v>0.10000001639127731</v>
      </c>
      <c r="B16" s="49">
        <v>277053.89</v>
      </c>
      <c r="K16">
        <f>INDEX(OutputValues,12,$J$4)</f>
        <v>277053.89</v>
      </c>
    </row>
    <row r="17" spans="1:11" x14ac:dyDescent="0.6">
      <c r="A17" s="42">
        <v>0.20000001788139343</v>
      </c>
      <c r="B17" s="49">
        <v>282716.33</v>
      </c>
      <c r="K17">
        <f>INDEX(OutputValues,13,$J$4)</f>
        <v>282716.33</v>
      </c>
    </row>
    <row r="18" spans="1:11" x14ac:dyDescent="0.6">
      <c r="A18" s="42">
        <v>0.30000001192092896</v>
      </c>
      <c r="B18" s="49">
        <v>288378.77</v>
      </c>
      <c r="K18">
        <f>INDEX(OutputValues,14,$J$4)</f>
        <v>288378.77</v>
      </c>
    </row>
    <row r="19" spans="1:11" x14ac:dyDescent="0.6">
      <c r="A19" s="42">
        <v>0.40000003576278687</v>
      </c>
      <c r="B19" s="49">
        <v>294041.21000000002</v>
      </c>
      <c r="K19">
        <f>INDEX(OutputValues,15,$J$4)</f>
        <v>294041.21000000002</v>
      </c>
    </row>
    <row r="20" spans="1:11" x14ac:dyDescent="0.6">
      <c r="A20" s="42">
        <v>0.5</v>
      </c>
      <c r="B20" s="49">
        <v>299703.65000000002</v>
      </c>
      <c r="K20">
        <f>INDEX(OutputValues,16,$J$4)</f>
        <v>299703.65000000002</v>
      </c>
    </row>
    <row r="21" spans="1:11" x14ac:dyDescent="0.6">
      <c r="A21" s="42">
        <v>0.60000002384185791</v>
      </c>
      <c r="B21" s="49">
        <v>305366.09000000003</v>
      </c>
      <c r="K21">
        <f>INDEX(OutputValues,17,$J$4)</f>
        <v>305366.09000000003</v>
      </c>
    </row>
    <row r="22" spans="1:11" x14ac:dyDescent="0.6">
      <c r="A22" s="42">
        <v>0.70000004768371582</v>
      </c>
      <c r="B22" s="49">
        <v>311028.53999999998</v>
      </c>
      <c r="K22">
        <f>INDEX(OutputValues,18,$J$4)</f>
        <v>311028.53999999998</v>
      </c>
    </row>
    <row r="23" spans="1:11" x14ac:dyDescent="0.6">
      <c r="A23" s="42">
        <v>0.80000001192092896</v>
      </c>
      <c r="B23" s="49">
        <v>316690.96999999997</v>
      </c>
      <c r="K23">
        <f>INDEX(OutputValues,19,$J$4)</f>
        <v>316690.96999999997</v>
      </c>
    </row>
    <row r="24" spans="1:11" x14ac:dyDescent="0.6">
      <c r="A24" s="42">
        <v>0.90000003576278687</v>
      </c>
      <c r="B24" s="49">
        <v>322353.42</v>
      </c>
      <c r="K24">
        <f>INDEX(OutputValues,20,$J$4)</f>
        <v>322353.42</v>
      </c>
    </row>
    <row r="25" spans="1:11" x14ac:dyDescent="0.6">
      <c r="A25" s="42">
        <v>1</v>
      </c>
      <c r="B25" s="50">
        <v>328015.84999999998</v>
      </c>
      <c r="K25">
        <f>INDEX(OutputValues,21,$J$4)</f>
        <v>328015.84999999998</v>
      </c>
    </row>
  </sheetData>
  <dataValidations count="1">
    <dataValidation type="list" allowBlank="1" showInputMessage="1" showErrorMessage="1" sqref="K4" xr:uid="{C91C15C2-7595-430F-B9EF-DF24E2D7340E}">
      <formula1>OutputAddresses</formula1>
    </dataValidation>
  </dataValidations>
  <pageMargins left="0.7" right="0.7" top="0.75" bottom="0.75" header="0.3" footer="0.3"/>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D7E35-63F8-4819-9952-F5F4C7363893}">
  <sheetPr>
    <tabColor theme="9" tint="0.59999389629810485"/>
  </sheetPr>
  <dimension ref="A1:P64"/>
  <sheetViews>
    <sheetView topLeftCell="D1" zoomScale="70" zoomScaleNormal="70" workbookViewId="0">
      <selection activeCell="O18" sqref="O18"/>
    </sheetView>
  </sheetViews>
  <sheetFormatPr defaultColWidth="8.86328125" defaultRowHeight="13" x14ac:dyDescent="0.6"/>
  <cols>
    <col min="1" max="1" width="30.7265625" customWidth="1"/>
    <col min="2" max="5" width="11.7265625" customWidth="1"/>
    <col min="7" max="7" width="21" bestFit="1" customWidth="1"/>
    <col min="8" max="8" width="16.7265625" bestFit="1" customWidth="1"/>
    <col min="9" max="9" width="19.7265625" customWidth="1"/>
    <col min="10" max="10" width="14" bestFit="1" customWidth="1"/>
    <col min="11" max="11" width="8" customWidth="1"/>
    <col min="12" max="12" width="12.26953125" customWidth="1"/>
    <col min="13" max="13" width="11.86328125" bestFit="1" customWidth="1"/>
  </cols>
  <sheetData>
    <row r="1" spans="1:16" x14ac:dyDescent="0.6">
      <c r="A1" s="1" t="s">
        <v>0</v>
      </c>
      <c r="G1" s="1" t="s">
        <v>59</v>
      </c>
    </row>
    <row r="4" spans="1:16" x14ac:dyDescent="0.6">
      <c r="A4" s="1" t="s">
        <v>1</v>
      </c>
      <c r="G4" s="1" t="s">
        <v>54</v>
      </c>
      <c r="K4" s="1" t="s">
        <v>269</v>
      </c>
    </row>
    <row r="5" spans="1:16" x14ac:dyDescent="0.6">
      <c r="B5" s="18" t="s">
        <v>2</v>
      </c>
      <c r="C5" s="38"/>
      <c r="D5" s="64" t="s">
        <v>3</v>
      </c>
      <c r="E5" s="64"/>
      <c r="K5" t="s">
        <v>279</v>
      </c>
      <c r="L5" s="42">
        <v>0</v>
      </c>
      <c r="N5" s="38" t="s">
        <v>278</v>
      </c>
      <c r="O5">
        <v>1</v>
      </c>
    </row>
    <row r="6" spans="1:16" x14ac:dyDescent="0.6">
      <c r="A6" t="s">
        <v>4</v>
      </c>
      <c r="B6" s="38" t="s">
        <v>5</v>
      </c>
      <c r="C6" s="38" t="s">
        <v>6</v>
      </c>
      <c r="D6" s="38" t="s">
        <v>7</v>
      </c>
      <c r="E6" s="18" t="s">
        <v>8</v>
      </c>
      <c r="H6" s="38" t="s">
        <v>7</v>
      </c>
      <c r="I6" s="18" t="s">
        <v>8</v>
      </c>
      <c r="J6" s="24" t="s">
        <v>68</v>
      </c>
      <c r="K6" s="24" t="s">
        <v>280</v>
      </c>
      <c r="L6">
        <f>100%</f>
        <v>1</v>
      </c>
      <c r="M6">
        <f>-100%</f>
        <v>-1</v>
      </c>
      <c r="N6" s="24" t="s">
        <v>280</v>
      </c>
      <c r="O6">
        <v>0</v>
      </c>
      <c r="P6">
        <v>1</v>
      </c>
    </row>
    <row r="7" spans="1:16" x14ac:dyDescent="0.6">
      <c r="B7" s="39" t="s">
        <v>9</v>
      </c>
      <c r="C7" s="39" t="s">
        <v>10</v>
      </c>
      <c r="D7" s="39" t="s">
        <v>10</v>
      </c>
      <c r="E7" s="39" t="s">
        <v>10</v>
      </c>
      <c r="G7" s="21" t="s">
        <v>61</v>
      </c>
      <c r="L7" s="43" t="s">
        <v>271</v>
      </c>
      <c r="M7" s="44"/>
    </row>
    <row r="8" spans="1:16" x14ac:dyDescent="0.6">
      <c r="A8" s="6" t="s">
        <v>11</v>
      </c>
      <c r="B8" s="19">
        <v>1000</v>
      </c>
      <c r="C8" s="7">
        <v>25.2</v>
      </c>
      <c r="D8" s="7">
        <v>5</v>
      </c>
      <c r="E8" s="7">
        <v>11.6</v>
      </c>
      <c r="G8" s="6" t="s">
        <v>11</v>
      </c>
      <c r="H8" s="37">
        <v>1000</v>
      </c>
      <c r="I8" s="37">
        <v>0</v>
      </c>
      <c r="J8">
        <f>SUM(H8:I8)</f>
        <v>1000</v>
      </c>
      <c r="L8" s="20">
        <f>D8*(1+$L$5)*0.55</f>
        <v>2.75</v>
      </c>
      <c r="M8" s="20">
        <f>E8*(1+$L$5)*0.55</f>
        <v>6.38</v>
      </c>
    </row>
    <row r="9" spans="1:16" x14ac:dyDescent="0.6">
      <c r="A9" s="6" t="s">
        <v>12</v>
      </c>
      <c r="B9" s="19">
        <v>1583</v>
      </c>
      <c r="C9" s="7">
        <v>24.5</v>
      </c>
      <c r="D9" s="7">
        <v>5</v>
      </c>
      <c r="E9" s="7">
        <v>13.7</v>
      </c>
      <c r="G9" s="6" t="s">
        <v>12</v>
      </c>
      <c r="H9" s="37">
        <v>1583</v>
      </c>
      <c r="I9" s="37">
        <v>0</v>
      </c>
      <c r="J9">
        <f t="shared" ref="J9:J15" si="0">SUM(H9:I9)</f>
        <v>1583</v>
      </c>
      <c r="L9" s="20">
        <f t="shared" ref="L9:L15" si="1">D9*(1+$L$5)*0.55</f>
        <v>2.75</v>
      </c>
      <c r="M9" s="20">
        <f t="shared" ref="M9:M15" si="2">E9*(1+$L$5)*0.55</f>
        <v>7.5350000000000001</v>
      </c>
    </row>
    <row r="10" spans="1:16" x14ac:dyDescent="0.6">
      <c r="A10" s="5" t="s">
        <v>13</v>
      </c>
      <c r="B10" s="19">
        <v>2140</v>
      </c>
      <c r="C10" s="7">
        <v>25.5</v>
      </c>
      <c r="D10" s="7">
        <v>19.600000000000001</v>
      </c>
      <c r="E10" s="7">
        <v>11.5</v>
      </c>
      <c r="G10" s="5" t="s">
        <v>13</v>
      </c>
      <c r="H10" s="37">
        <v>0</v>
      </c>
      <c r="I10" s="37">
        <v>2140</v>
      </c>
      <c r="J10">
        <f t="shared" si="0"/>
        <v>2140</v>
      </c>
      <c r="L10" s="20">
        <f t="shared" si="1"/>
        <v>10.780000000000001</v>
      </c>
      <c r="M10" s="20">
        <f t="shared" si="2"/>
        <v>6.3250000000000002</v>
      </c>
    </row>
    <row r="11" spans="1:16" x14ac:dyDescent="0.6">
      <c r="A11" s="5" t="s">
        <v>14</v>
      </c>
      <c r="B11" s="19">
        <v>1370</v>
      </c>
      <c r="C11" s="7">
        <v>23.3</v>
      </c>
      <c r="D11" s="7">
        <v>4</v>
      </c>
      <c r="E11" s="7">
        <v>10.6</v>
      </c>
      <c r="G11" s="5" t="s">
        <v>14</v>
      </c>
      <c r="H11" s="37">
        <v>530.18023681640625</v>
      </c>
      <c r="I11" s="37">
        <v>839.81976318359375</v>
      </c>
      <c r="J11">
        <f t="shared" si="0"/>
        <v>1370</v>
      </c>
      <c r="L11" s="20">
        <f t="shared" si="1"/>
        <v>2.2000000000000002</v>
      </c>
      <c r="M11" s="20">
        <f t="shared" si="2"/>
        <v>5.83</v>
      </c>
    </row>
    <row r="12" spans="1:16" x14ac:dyDescent="0.6">
      <c r="A12" s="5" t="s">
        <v>15</v>
      </c>
      <c r="B12" s="19">
        <v>2000</v>
      </c>
      <c r="C12" s="7">
        <v>24.2</v>
      </c>
      <c r="D12" s="7">
        <v>4.2</v>
      </c>
      <c r="E12" s="7">
        <v>12.1</v>
      </c>
      <c r="G12" s="5" t="s">
        <v>15</v>
      </c>
      <c r="H12" s="37">
        <v>2000</v>
      </c>
      <c r="I12" s="37">
        <v>0</v>
      </c>
      <c r="J12">
        <f t="shared" si="0"/>
        <v>2000</v>
      </c>
      <c r="L12" s="20">
        <f t="shared" si="1"/>
        <v>2.3100000000000005</v>
      </c>
      <c r="M12" s="20">
        <f t="shared" si="2"/>
        <v>6.6550000000000002</v>
      </c>
    </row>
    <row r="13" spans="1:16" x14ac:dyDescent="0.6">
      <c r="A13" s="5" t="s">
        <v>16</v>
      </c>
      <c r="B13" s="19">
        <v>1850</v>
      </c>
      <c r="C13" s="7">
        <v>23.3</v>
      </c>
      <c r="D13" s="7">
        <v>7.65</v>
      </c>
      <c r="E13" s="7">
        <v>11</v>
      </c>
      <c r="G13" s="5" t="s">
        <v>16</v>
      </c>
      <c r="H13" s="37">
        <v>0</v>
      </c>
      <c r="I13" s="37">
        <v>1850</v>
      </c>
      <c r="J13">
        <f t="shared" si="0"/>
        <v>1850</v>
      </c>
      <c r="L13" s="20">
        <f t="shared" si="1"/>
        <v>4.2075000000000005</v>
      </c>
      <c r="M13" s="20">
        <f t="shared" si="2"/>
        <v>6.0500000000000007</v>
      </c>
    </row>
    <row r="14" spans="1:16" x14ac:dyDescent="0.6">
      <c r="A14" s="5" t="s">
        <v>17</v>
      </c>
      <c r="B14" s="19">
        <v>1260</v>
      </c>
      <c r="C14" s="7">
        <v>23.3</v>
      </c>
      <c r="D14" s="7">
        <v>14.7</v>
      </c>
      <c r="E14" s="7">
        <v>4.8</v>
      </c>
      <c r="G14" s="5" t="s">
        <v>17</v>
      </c>
      <c r="H14" s="37">
        <v>0</v>
      </c>
      <c r="I14" s="37">
        <v>1260</v>
      </c>
      <c r="J14">
        <f t="shared" si="0"/>
        <v>1260</v>
      </c>
      <c r="L14" s="20">
        <f t="shared" si="1"/>
        <v>8.0850000000000009</v>
      </c>
      <c r="M14" s="20">
        <f t="shared" si="2"/>
        <v>2.64</v>
      </c>
    </row>
    <row r="15" spans="1:16" x14ac:dyDescent="0.6">
      <c r="A15" s="5" t="s">
        <v>18</v>
      </c>
      <c r="B15" s="19">
        <v>1700</v>
      </c>
      <c r="C15" s="7">
        <v>24.2</v>
      </c>
      <c r="D15" s="7">
        <v>16.3</v>
      </c>
      <c r="E15" s="7">
        <v>10.3</v>
      </c>
      <c r="G15" s="5" t="s">
        <v>18</v>
      </c>
      <c r="H15" s="37">
        <v>0</v>
      </c>
      <c r="I15" s="37">
        <v>1700</v>
      </c>
      <c r="J15">
        <f t="shared" si="0"/>
        <v>1700</v>
      </c>
      <c r="L15" s="20">
        <f t="shared" si="1"/>
        <v>8.9650000000000016</v>
      </c>
      <c r="M15" s="20">
        <f t="shared" si="2"/>
        <v>5.6650000000000009</v>
      </c>
    </row>
    <row r="16" spans="1:16" x14ac:dyDescent="0.6">
      <c r="H16" s="36">
        <f>SUM(H8:H15)</f>
        <v>5113.1802368164063</v>
      </c>
      <c r="I16" s="36">
        <f>SUM(I8:I15)</f>
        <v>7789.8197631835938</v>
      </c>
    </row>
    <row r="17" spans="1:13" x14ac:dyDescent="0.6">
      <c r="G17" s="21" t="s">
        <v>62</v>
      </c>
      <c r="H17" s="38" t="s">
        <v>7</v>
      </c>
      <c r="I17" s="18" t="s">
        <v>8</v>
      </c>
      <c r="L17" s="44" t="s">
        <v>270</v>
      </c>
      <c r="M17" s="44"/>
    </row>
    <row r="18" spans="1:13" x14ac:dyDescent="0.6">
      <c r="A18" s="1" t="s">
        <v>19</v>
      </c>
      <c r="G18" s="5" t="s">
        <v>39</v>
      </c>
      <c r="H18" s="37">
        <v>480</v>
      </c>
      <c r="I18" s="37">
        <v>0</v>
      </c>
      <c r="J18" s="36">
        <f t="shared" ref="J18:J26" si="3">SUM(H18:I18)</f>
        <v>480</v>
      </c>
      <c r="L18">
        <f>D46*(1+$L$5)*0.45</f>
        <v>11.700000000000001</v>
      </c>
      <c r="M18">
        <f>E46*(1+$L$5)*0.45</f>
        <v>13.545000000000002</v>
      </c>
    </row>
    <row r="19" spans="1:13" x14ac:dyDescent="0.6">
      <c r="B19" s="38" t="s">
        <v>7</v>
      </c>
      <c r="C19" s="18" t="s">
        <v>8</v>
      </c>
      <c r="G19" t="s">
        <v>40</v>
      </c>
      <c r="H19" s="37">
        <v>0</v>
      </c>
      <c r="I19" s="37">
        <v>850</v>
      </c>
      <c r="J19" s="36">
        <f t="shared" si="3"/>
        <v>850</v>
      </c>
      <c r="L19">
        <f t="shared" ref="L19:L26" si="4">D47*(1+$L$5)*0.45</f>
        <v>23.265000000000001</v>
      </c>
      <c r="M19">
        <f t="shared" ref="M19:M26" si="5">E47*(1+$L$5)*0.45</f>
        <v>14.265000000000001</v>
      </c>
    </row>
    <row r="20" spans="1:13" x14ac:dyDescent="0.6">
      <c r="A20" s="5" t="s">
        <v>20</v>
      </c>
      <c r="G20" t="s">
        <v>41</v>
      </c>
      <c r="H20" s="37">
        <v>133.09515380859375</v>
      </c>
      <c r="I20" s="37">
        <v>506.90484619140625</v>
      </c>
      <c r="J20" s="36">
        <f t="shared" si="3"/>
        <v>640</v>
      </c>
      <c r="L20">
        <f t="shared" si="4"/>
        <v>7.4700000000000006</v>
      </c>
      <c r="M20">
        <f t="shared" si="5"/>
        <v>3.2850000000000001</v>
      </c>
    </row>
    <row r="21" spans="1:13" x14ac:dyDescent="0.6">
      <c r="A21" t="s">
        <v>21</v>
      </c>
      <c r="B21" s="8">
        <v>2.7E-2</v>
      </c>
      <c r="C21" s="8">
        <v>2.7E-2</v>
      </c>
      <c r="G21" t="s">
        <v>42</v>
      </c>
      <c r="H21" s="37">
        <v>651.098876953125</v>
      </c>
      <c r="I21" s="37">
        <v>0</v>
      </c>
      <c r="J21" s="36">
        <f t="shared" si="3"/>
        <v>651.098876953125</v>
      </c>
      <c r="L21">
        <f t="shared" si="4"/>
        <v>7.29</v>
      </c>
      <c r="M21">
        <f t="shared" si="5"/>
        <v>9.6750000000000007</v>
      </c>
    </row>
    <row r="22" spans="1:13" x14ac:dyDescent="0.6">
      <c r="G22" t="s">
        <v>43</v>
      </c>
      <c r="H22" s="37">
        <v>0</v>
      </c>
      <c r="I22" s="37">
        <v>970</v>
      </c>
      <c r="J22" s="36">
        <f t="shared" si="3"/>
        <v>970</v>
      </c>
      <c r="L22">
        <f t="shared" si="4"/>
        <v>11.025</v>
      </c>
      <c r="M22">
        <f t="shared" si="5"/>
        <v>5.9399999999999995</v>
      </c>
    </row>
    <row r="23" spans="1:13" x14ac:dyDescent="0.6">
      <c r="A23" s="5" t="s">
        <v>22</v>
      </c>
      <c r="G23" s="5" t="s">
        <v>44</v>
      </c>
      <c r="H23" s="37">
        <v>107</v>
      </c>
      <c r="I23" s="37">
        <v>0</v>
      </c>
      <c r="J23" s="36">
        <f t="shared" si="3"/>
        <v>107</v>
      </c>
      <c r="L23">
        <f t="shared" si="4"/>
        <v>11.835000000000001</v>
      </c>
      <c r="M23">
        <f t="shared" si="5"/>
        <v>12.6</v>
      </c>
    </row>
    <row r="24" spans="1:13" x14ac:dyDescent="0.6">
      <c r="A24" t="s">
        <v>23</v>
      </c>
      <c r="B24" s="8">
        <v>0.35399999999999998</v>
      </c>
      <c r="C24" s="8">
        <v>0.307</v>
      </c>
      <c r="G24" t="s">
        <v>45</v>
      </c>
      <c r="H24" s="37">
        <v>80</v>
      </c>
      <c r="I24" s="37">
        <v>0</v>
      </c>
      <c r="J24" s="36">
        <f t="shared" si="3"/>
        <v>80</v>
      </c>
      <c r="L24">
        <f t="shared" si="4"/>
        <v>9.5850000000000009</v>
      </c>
      <c r="M24">
        <f t="shared" si="5"/>
        <v>20.790000000000003</v>
      </c>
    </row>
    <row r="25" spans="1:13" x14ac:dyDescent="0.6">
      <c r="A25" t="s">
        <v>24</v>
      </c>
      <c r="B25" s="8">
        <v>0.40200000000000002</v>
      </c>
      <c r="C25" s="8">
        <v>0.45600000000000002</v>
      </c>
      <c r="G25" t="s">
        <v>46</v>
      </c>
      <c r="H25" s="37">
        <v>310</v>
      </c>
      <c r="I25" s="37">
        <v>0</v>
      </c>
      <c r="J25" s="36">
        <f t="shared" si="3"/>
        <v>310</v>
      </c>
      <c r="L25">
        <f t="shared" si="4"/>
        <v>6.8850000000000007</v>
      </c>
      <c r="M25">
        <f t="shared" si="5"/>
        <v>12.78</v>
      </c>
    </row>
    <row r="26" spans="1:13" x14ac:dyDescent="0.6">
      <c r="A26" t="s">
        <v>69</v>
      </c>
      <c r="B26" s="8">
        <f>1-SUM(B24:B25)</f>
        <v>0.24399999999999999</v>
      </c>
      <c r="C26" s="8">
        <f>1-SUM(C24:C25)</f>
        <v>0.23699999999999999</v>
      </c>
      <c r="G26" t="s">
        <v>47</v>
      </c>
      <c r="H26" s="37">
        <v>0</v>
      </c>
      <c r="I26" s="37">
        <v>0</v>
      </c>
      <c r="J26" s="36">
        <f t="shared" si="3"/>
        <v>0</v>
      </c>
      <c r="L26">
        <f t="shared" si="4"/>
        <v>10.935</v>
      </c>
      <c r="M26">
        <f t="shared" si="5"/>
        <v>6.6150000000000002</v>
      </c>
    </row>
    <row r="27" spans="1:13" x14ac:dyDescent="0.6">
      <c r="G27" t="s">
        <v>68</v>
      </c>
      <c r="H27" s="35">
        <f>SUM(H18:H26)</f>
        <v>1761.1940307617188</v>
      </c>
      <c r="I27" s="35">
        <f>SUM(I18:I26)</f>
        <v>2326.9048461914063</v>
      </c>
    </row>
    <row r="28" spans="1:13" x14ac:dyDescent="0.6">
      <c r="A28" t="s">
        <v>25</v>
      </c>
      <c r="K28" s="1" t="s">
        <v>272</v>
      </c>
    </row>
    <row r="29" spans="1:13" x14ac:dyDescent="0.6">
      <c r="A29" s="16" t="s">
        <v>53</v>
      </c>
      <c r="B29" s="9">
        <v>31</v>
      </c>
      <c r="C29" s="9">
        <v>38</v>
      </c>
    </row>
    <row r="30" spans="1:13" x14ac:dyDescent="0.6">
      <c r="A30" s="5" t="s">
        <v>26</v>
      </c>
      <c r="B30" s="9">
        <v>10000</v>
      </c>
      <c r="C30" s="9">
        <v>14200</v>
      </c>
      <c r="G30" s="1" t="s">
        <v>70</v>
      </c>
      <c r="L30">
        <f>B63*(1+L5)*O5</f>
        <v>36</v>
      </c>
      <c r="M30" t="s">
        <v>281</v>
      </c>
    </row>
    <row r="31" spans="1:13" x14ac:dyDescent="0.6">
      <c r="H31" s="38" t="s">
        <v>7</v>
      </c>
      <c r="I31" s="18" t="s">
        <v>8</v>
      </c>
      <c r="J31" s="38" t="s">
        <v>268</v>
      </c>
      <c r="M31" s="63" t="s">
        <v>294</v>
      </c>
    </row>
    <row r="32" spans="1:13" x14ac:dyDescent="0.6">
      <c r="A32" s="5" t="s">
        <v>27</v>
      </c>
      <c r="G32" t="s">
        <v>63</v>
      </c>
      <c r="H32" s="35">
        <f>SUM($H$8:$H$15)*(1-$B$21)*$B$24</f>
        <v>1761.1940271295166</v>
      </c>
      <c r="I32" s="35">
        <f>SUM($I$8:$I$15)*(1-$C$21)*$C$24</f>
        <v>2326.9048512803342</v>
      </c>
      <c r="J32" s="36">
        <f>SUM(H32:I32)</f>
        <v>4088.0988784098508</v>
      </c>
      <c r="M32" t="s">
        <v>295</v>
      </c>
    </row>
    <row r="33" spans="1:10" x14ac:dyDescent="0.6">
      <c r="A33" s="5" t="s">
        <v>28</v>
      </c>
      <c r="B33" s="25">
        <v>8030</v>
      </c>
      <c r="C33" s="25">
        <v>8780</v>
      </c>
      <c r="G33" t="s">
        <v>24</v>
      </c>
      <c r="H33" s="36">
        <f>SUM($H$8:$H$15)*(1-$B$21)*$B$25</f>
        <v>1999.9999969097903</v>
      </c>
      <c r="I33" s="36">
        <f>SUM($I$8:$I$15)*(1-$C$21)*$C$25</f>
        <v>3456.2495510874023</v>
      </c>
      <c r="J33" s="36">
        <f t="shared" ref="J33" si="6">SUM(H33:I33)</f>
        <v>5456.2495479971931</v>
      </c>
    </row>
    <row r="34" spans="1:10" x14ac:dyDescent="0.6">
      <c r="A34" t="s">
        <v>29</v>
      </c>
      <c r="B34" s="25">
        <v>2000</v>
      </c>
      <c r="C34" s="25">
        <v>4000</v>
      </c>
      <c r="G34" t="s">
        <v>52</v>
      </c>
      <c r="H34" s="36">
        <f>SUM($H$8:$H$15)*(1-$B$21)*$B$26</f>
        <v>1213.9303463830568</v>
      </c>
      <c r="I34" s="36">
        <f>SUM($I$8:$I$15)*(1-$C$21)*$C$26</f>
        <v>1796.3402272098997</v>
      </c>
      <c r="J34" s="36">
        <f>SUM(H34:I34)</f>
        <v>3010.2705735929567</v>
      </c>
    </row>
    <row r="35" spans="1:10" x14ac:dyDescent="0.6">
      <c r="B35" s="20"/>
      <c r="C35" s="20"/>
      <c r="G35" t="s">
        <v>267</v>
      </c>
      <c r="H35" s="36">
        <f>SUM(H32:H34)</f>
        <v>4975.1243704223634</v>
      </c>
      <c r="I35" s="36">
        <f>SUM(I32:I34)</f>
        <v>7579.4946295776354</v>
      </c>
    </row>
    <row r="36" spans="1:10" x14ac:dyDescent="0.6">
      <c r="A36" t="s">
        <v>30</v>
      </c>
      <c r="B36" s="20"/>
      <c r="C36" s="20"/>
    </row>
    <row r="37" spans="1:10" x14ac:dyDescent="0.6">
      <c r="A37" t="s">
        <v>31</v>
      </c>
      <c r="B37" s="26">
        <v>0.5</v>
      </c>
      <c r="C37" s="26">
        <v>0.5</v>
      </c>
      <c r="G37" s="1"/>
      <c r="H37" s="38" t="s">
        <v>7</v>
      </c>
      <c r="I37" s="18" t="s">
        <v>8</v>
      </c>
    </row>
    <row r="38" spans="1:10" x14ac:dyDescent="0.6">
      <c r="A38" t="s">
        <v>32</v>
      </c>
      <c r="B38" s="26">
        <v>1</v>
      </c>
      <c r="C38" s="26">
        <v>1</v>
      </c>
      <c r="G38" s="38" t="s">
        <v>23</v>
      </c>
    </row>
    <row r="39" spans="1:10" x14ac:dyDescent="0.6">
      <c r="B39" s="10"/>
      <c r="C39" s="10"/>
      <c r="G39" t="s">
        <v>60</v>
      </c>
      <c r="H39" s="19">
        <f>$B$33*$B$37</f>
        <v>4015</v>
      </c>
      <c r="I39" s="19">
        <f>$C$33*$C$37</f>
        <v>4390</v>
      </c>
    </row>
    <row r="40" spans="1:10" x14ac:dyDescent="0.6">
      <c r="G40" s="6" t="s">
        <v>35</v>
      </c>
      <c r="H40" s="19">
        <f>$B$33*$B$38</f>
        <v>8030</v>
      </c>
      <c r="I40" s="19">
        <f>$C$33*$C$38</f>
        <v>8780</v>
      </c>
    </row>
    <row r="41" spans="1:10" x14ac:dyDescent="0.6">
      <c r="A41" s="1" t="s">
        <v>33</v>
      </c>
      <c r="G41" s="5"/>
    </row>
    <row r="42" spans="1:10" x14ac:dyDescent="0.6">
      <c r="G42" s="38" t="s">
        <v>24</v>
      </c>
    </row>
    <row r="43" spans="1:10" x14ac:dyDescent="0.6">
      <c r="B43" s="18" t="s">
        <v>34</v>
      </c>
      <c r="C43" s="18" t="s">
        <v>35</v>
      </c>
      <c r="D43" s="64" t="s">
        <v>36</v>
      </c>
      <c r="E43" s="64"/>
      <c r="G43" s="6" t="s">
        <v>60</v>
      </c>
      <c r="H43" s="19">
        <f>$B$34*$B$37</f>
        <v>1000</v>
      </c>
      <c r="I43" s="19">
        <f>$C$34*$C$37</f>
        <v>2000</v>
      </c>
    </row>
    <row r="44" spans="1:10" x14ac:dyDescent="0.6">
      <c r="A44" s="5" t="s">
        <v>37</v>
      </c>
      <c r="B44" s="38" t="s">
        <v>5</v>
      </c>
      <c r="C44" s="18" t="s">
        <v>38</v>
      </c>
      <c r="D44" s="38" t="s">
        <v>7</v>
      </c>
      <c r="E44" s="18" t="s">
        <v>8</v>
      </c>
      <c r="G44" s="6" t="s">
        <v>35</v>
      </c>
      <c r="H44" s="19">
        <f>$B$34*$B$38</f>
        <v>2000</v>
      </c>
      <c r="I44" s="19">
        <f>$C$34*$C$38</f>
        <v>4000</v>
      </c>
    </row>
    <row r="45" spans="1:10" x14ac:dyDescent="0.6">
      <c r="A45" s="11"/>
      <c r="B45" s="12" t="s">
        <v>9</v>
      </c>
      <c r="C45" s="12" t="s">
        <v>9</v>
      </c>
      <c r="D45" s="39" t="s">
        <v>10</v>
      </c>
      <c r="E45" s="39" t="s">
        <v>10</v>
      </c>
      <c r="G45" s="5"/>
    </row>
    <row r="46" spans="1:10" x14ac:dyDescent="0.6">
      <c r="A46" s="5" t="s">
        <v>39</v>
      </c>
      <c r="B46" s="19">
        <v>480</v>
      </c>
      <c r="C46" s="19">
        <v>900</v>
      </c>
      <c r="D46" s="7">
        <v>26</v>
      </c>
      <c r="E46" s="7">
        <v>30.1</v>
      </c>
    </row>
    <row r="47" spans="1:10" x14ac:dyDescent="0.6">
      <c r="A47" t="s">
        <v>40</v>
      </c>
      <c r="B47" s="19">
        <v>850</v>
      </c>
      <c r="C47" s="19">
        <v>1150</v>
      </c>
      <c r="D47" s="7">
        <v>51.7</v>
      </c>
      <c r="E47" s="7">
        <v>31.7</v>
      </c>
      <c r="G47" s="1" t="s">
        <v>55</v>
      </c>
      <c r="I47" s="38"/>
    </row>
    <row r="48" spans="1:10" x14ac:dyDescent="0.6">
      <c r="A48" t="s">
        <v>41</v>
      </c>
      <c r="B48" s="19">
        <v>640</v>
      </c>
      <c r="C48" s="19">
        <v>800</v>
      </c>
      <c r="D48" s="7">
        <v>16.600000000000001</v>
      </c>
      <c r="E48" s="7">
        <v>7.3</v>
      </c>
      <c r="G48" t="s">
        <v>56</v>
      </c>
      <c r="H48" s="22">
        <f>SUM($J$18:$J$26)*$L$30 + $J$34*$B$64 + $H$33*$B$61 + $I$33*$B$62</f>
        <v>1140865.7559552048</v>
      </c>
    </row>
    <row r="49" spans="1:8" x14ac:dyDescent="0.6">
      <c r="A49" t="s">
        <v>42</v>
      </c>
      <c r="B49" s="19">
        <v>575</v>
      </c>
      <c r="C49" s="19">
        <v>775</v>
      </c>
      <c r="D49" s="7">
        <v>16.2</v>
      </c>
      <c r="E49" s="7">
        <v>21.5</v>
      </c>
      <c r="G49" t="s">
        <v>67</v>
      </c>
      <c r="H49" s="22">
        <f>SUMPRODUCT($C$8:$C$15,$H$8:$H$15)+SUMPRODUCT($C$8:$C$15,$I$8:$I$15)</f>
        <v>312477.5</v>
      </c>
    </row>
    <row r="50" spans="1:8" x14ac:dyDescent="0.6">
      <c r="A50" t="s">
        <v>43</v>
      </c>
      <c r="B50" s="19">
        <v>970</v>
      </c>
      <c r="C50" s="19">
        <v>970</v>
      </c>
      <c r="D50" s="7">
        <v>24.5</v>
      </c>
      <c r="E50" s="7">
        <v>13.2</v>
      </c>
      <c r="G50" t="s">
        <v>64</v>
      </c>
      <c r="H50" s="22">
        <f>SUMPRODUCT($L$8:$M$15,$H$8:$I$15)+SUMPRODUCT($H$18:$I$26,$L$18:$M$26)</f>
        <v>90547.154772033697</v>
      </c>
    </row>
    <row r="51" spans="1:8" x14ac:dyDescent="0.6">
      <c r="A51" s="5" t="s">
        <v>44</v>
      </c>
      <c r="B51" s="19">
        <v>107</v>
      </c>
      <c r="C51" s="19">
        <v>200</v>
      </c>
      <c r="D51" s="7">
        <v>26.3</v>
      </c>
      <c r="E51" s="7">
        <v>28</v>
      </c>
      <c r="G51" t="s">
        <v>65</v>
      </c>
      <c r="H51" s="22">
        <f>SUM($H$8:$H$15)*(1-$B$21)*$B$29 + SUM($I$8:$I$15)*(1-$C$21)*$C$29 +SUM($B$30:$C$30)</f>
        <v>466449.65140704345</v>
      </c>
    </row>
    <row r="52" spans="1:8" x14ac:dyDescent="0.6">
      <c r="A52" t="s">
        <v>45</v>
      </c>
      <c r="B52" s="19">
        <v>80</v>
      </c>
      <c r="C52" s="19">
        <v>400</v>
      </c>
      <c r="D52" s="7">
        <v>21.3</v>
      </c>
      <c r="E52" s="7">
        <v>46.2</v>
      </c>
      <c r="G52" t="s">
        <v>66</v>
      </c>
      <c r="H52" s="22">
        <f>SUM($H$49:$H$51)</f>
        <v>869474.30617907713</v>
      </c>
    </row>
    <row r="53" spans="1:8" x14ac:dyDescent="0.6">
      <c r="A53" t="s">
        <v>46</v>
      </c>
      <c r="B53" s="19">
        <v>0</v>
      </c>
      <c r="C53" s="19">
        <v>310</v>
      </c>
      <c r="D53" s="7">
        <v>15.3</v>
      </c>
      <c r="E53" s="7">
        <v>28.4</v>
      </c>
      <c r="G53" t="s">
        <v>58</v>
      </c>
      <c r="H53" s="23">
        <f>$H$48-$H$52</f>
        <v>271391.4497761277</v>
      </c>
    </row>
    <row r="54" spans="1:8" x14ac:dyDescent="0.6">
      <c r="A54" t="s">
        <v>47</v>
      </c>
      <c r="B54" s="19">
        <v>0</v>
      </c>
      <c r="C54" s="19">
        <v>470</v>
      </c>
      <c r="D54" s="7">
        <v>24.3</v>
      </c>
      <c r="E54" s="7">
        <v>14.7</v>
      </c>
    </row>
    <row r="57" spans="1:8" x14ac:dyDescent="0.6">
      <c r="A57" s="1" t="s">
        <v>48</v>
      </c>
    </row>
    <row r="59" spans="1:8" x14ac:dyDescent="0.6">
      <c r="A59" t="s">
        <v>49</v>
      </c>
      <c r="B59" s="13" t="s">
        <v>6</v>
      </c>
    </row>
    <row r="60" spans="1:8" x14ac:dyDescent="0.6">
      <c r="B60" s="39" t="s">
        <v>10</v>
      </c>
    </row>
    <row r="61" spans="1:8" x14ac:dyDescent="0.6">
      <c r="A61" t="s">
        <v>50</v>
      </c>
      <c r="B61">
        <v>200</v>
      </c>
    </row>
    <row r="62" spans="1:8" x14ac:dyDescent="0.6">
      <c r="A62" s="5" t="s">
        <v>51</v>
      </c>
      <c r="B62">
        <v>150</v>
      </c>
    </row>
    <row r="63" spans="1:8" x14ac:dyDescent="0.6">
      <c r="A63" t="s">
        <v>23</v>
      </c>
      <c r="B63">
        <v>36</v>
      </c>
    </row>
    <row r="64" spans="1:8" x14ac:dyDescent="0.6">
      <c r="A64" t="s">
        <v>52</v>
      </c>
      <c r="B64">
        <v>25</v>
      </c>
    </row>
  </sheetData>
  <mergeCells count="2">
    <mergeCell ref="D5:E5"/>
    <mergeCell ref="D43:E43"/>
  </mergeCells>
  <printOptions headings="1"/>
  <pageMargins left="0.75" right="0.75" top="1" bottom="1" header="0.5" footer="0.5"/>
  <pageSetup orientation="portrait" horizontalDpi="4294967292"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38FB-A7D2-463A-BBCC-C299DAB7872B}">
  <dimension ref="A1:B18"/>
  <sheetViews>
    <sheetView workbookViewId="0"/>
  </sheetViews>
  <sheetFormatPr defaultRowHeight="13" x14ac:dyDescent="0.6"/>
  <sheetData>
    <row r="1" spans="1:2" x14ac:dyDescent="0.6">
      <c r="B1">
        <v>1</v>
      </c>
    </row>
    <row r="2" spans="1:2" x14ac:dyDescent="0.6">
      <c r="B2" t="s">
        <v>273</v>
      </c>
    </row>
    <row r="3" spans="1:2" x14ac:dyDescent="0.6">
      <c r="B3">
        <v>1</v>
      </c>
    </row>
    <row r="4" spans="1:2" x14ac:dyDescent="0.6">
      <c r="B4">
        <v>-1</v>
      </c>
    </row>
    <row r="5" spans="1:2" x14ac:dyDescent="0.6">
      <c r="B5">
        <v>1</v>
      </c>
    </row>
    <row r="6" spans="1:2" x14ac:dyDescent="0.6">
      <c r="B6">
        <v>0.1</v>
      </c>
    </row>
    <row r="8" spans="1:2" x14ac:dyDescent="0.6">
      <c r="A8" s="41"/>
      <c r="B8" s="41" t="s">
        <v>282</v>
      </c>
    </row>
    <row r="9" spans="1:2" x14ac:dyDescent="0.6">
      <c r="B9" t="s">
        <v>283</v>
      </c>
    </row>
    <row r="10" spans="1:2" x14ac:dyDescent="0.6">
      <c r="B10">
        <v>1</v>
      </c>
    </row>
    <row r="11" spans="1:2" x14ac:dyDescent="0.6">
      <c r="B11">
        <v>0</v>
      </c>
    </row>
    <row r="12" spans="1:2" x14ac:dyDescent="0.6">
      <c r="B12">
        <v>1</v>
      </c>
    </row>
    <row r="13" spans="1:2" x14ac:dyDescent="0.6">
      <c r="B13">
        <v>0.1</v>
      </c>
    </row>
    <row r="15" spans="1:2" x14ac:dyDescent="0.6">
      <c r="B15" s="41" t="s">
        <v>282</v>
      </c>
    </row>
    <row r="16" spans="1:2" x14ac:dyDescent="0.6">
      <c r="B16" t="s">
        <v>274</v>
      </c>
    </row>
    <row r="17" spans="2:2" x14ac:dyDescent="0.6">
      <c r="B17" t="s">
        <v>284</v>
      </c>
    </row>
    <row r="18" spans="2:2" x14ac:dyDescent="0.6">
      <c r="B18" t="s">
        <v>278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E9E5E-1FAD-4E7A-A68C-50AD1F2B0743}">
  <sheetPr>
    <tabColor theme="9" tint="0.59999389629810485"/>
  </sheetPr>
  <dimension ref="A1:AZ25"/>
  <sheetViews>
    <sheetView topLeftCell="M23" zoomScale="72" zoomScaleNormal="55" workbookViewId="0">
      <selection activeCell="S4" sqref="S4"/>
    </sheetView>
  </sheetViews>
  <sheetFormatPr defaultRowHeight="13" x14ac:dyDescent="0.6"/>
  <cols>
    <col min="1" max="1" width="6.04296875" bestFit="1" customWidth="1"/>
    <col min="2" max="12" width="12.1328125" bestFit="1" customWidth="1"/>
  </cols>
  <sheetData>
    <row r="1" spans="1:52" x14ac:dyDescent="0.6">
      <c r="A1" s="1" t="s">
        <v>285</v>
      </c>
      <c r="N1" s="47" t="str">
        <f>CONCATENATE("Sensitivity of ",$N$4," to ","Ratio")</f>
        <v>Sensitivity of Profit to Ratio</v>
      </c>
      <c r="R1" s="47" t="str">
        <f>CONCATENATE("Sensitivity of ",$R$4," to ","Diesel Price Change")</f>
        <v>Sensitivity of Profit to Diesel Price Change</v>
      </c>
    </row>
    <row r="2" spans="1:52" x14ac:dyDescent="0.6">
      <c r="N2" t="s">
        <v>287</v>
      </c>
      <c r="R2" t="s">
        <v>290</v>
      </c>
      <c r="AZ2" t="s">
        <v>58</v>
      </c>
    </row>
    <row r="3" spans="1:52" x14ac:dyDescent="0.6">
      <c r="A3" t="s">
        <v>286</v>
      </c>
      <c r="N3" t="s">
        <v>288</v>
      </c>
      <c r="O3" t="s">
        <v>289</v>
      </c>
      <c r="R3" t="s">
        <v>288</v>
      </c>
      <c r="S3" t="s">
        <v>291</v>
      </c>
    </row>
    <row r="4" spans="1:52" ht="28" x14ac:dyDescent="0.6">
      <c r="A4" s="52" t="s">
        <v>58</v>
      </c>
      <c r="B4" s="51">
        <v>0</v>
      </c>
      <c r="C4" s="51">
        <v>0.10000000149011612</v>
      </c>
      <c r="D4" s="51">
        <v>0.20000000298023224</v>
      </c>
      <c r="E4" s="51">
        <v>0.30000001192092896</v>
      </c>
      <c r="F4" s="51">
        <v>0.40000000596046448</v>
      </c>
      <c r="G4" s="51">
        <v>0.5</v>
      </c>
      <c r="H4" s="51">
        <v>0.60000002384185791</v>
      </c>
      <c r="I4" s="51">
        <v>0.69999998807907104</v>
      </c>
      <c r="J4" s="51">
        <v>0.80000001192092896</v>
      </c>
      <c r="K4" s="51">
        <v>0.90000003576278687</v>
      </c>
      <c r="L4" s="51">
        <v>1</v>
      </c>
      <c r="M4" s="47">
        <f>MATCH($N$4,OutputAddresses,0)</f>
        <v>1</v>
      </c>
      <c r="N4" s="46" t="s">
        <v>58</v>
      </c>
      <c r="O4" s="53">
        <v>0.5</v>
      </c>
      <c r="P4" s="47">
        <f>MATCH($O$4,InputValues1,0)</f>
        <v>16</v>
      </c>
      <c r="Q4" s="47">
        <f>MATCH($R$4,OutputAddresses,0)</f>
        <v>1</v>
      </c>
      <c r="R4" s="46" t="s">
        <v>58</v>
      </c>
      <c r="S4" s="53">
        <v>0.10000000149011612</v>
      </c>
      <c r="T4" s="47">
        <f>MATCH($S$4,InputValues2,0)</f>
        <v>2</v>
      </c>
    </row>
    <row r="5" spans="1:52" x14ac:dyDescent="0.6">
      <c r="A5" s="42">
        <v>-1</v>
      </c>
      <c r="B5" s="54">
        <v>214767.05</v>
      </c>
      <c r="C5" s="57">
        <v>214767.05</v>
      </c>
      <c r="D5" s="57">
        <v>214767.05</v>
      </c>
      <c r="E5" s="57">
        <v>214767.05</v>
      </c>
      <c r="F5" s="57">
        <v>214767.05</v>
      </c>
      <c r="G5" s="57">
        <v>214767.05</v>
      </c>
      <c r="H5" s="57">
        <v>214767.05</v>
      </c>
      <c r="I5" s="57">
        <v>214767.05</v>
      </c>
      <c r="J5" s="57">
        <v>214767.05</v>
      </c>
      <c r="K5" s="57">
        <v>214767.05</v>
      </c>
      <c r="L5" s="60">
        <v>214767.05</v>
      </c>
      <c r="M5" s="47" t="str">
        <f>"OutputValues_"&amp;$M$4</f>
        <v>OutputValues_1</v>
      </c>
      <c r="N5">
        <f ca="1">INDEX(INDIRECT($M$5),$P$4,1)</f>
        <v>82979.98</v>
      </c>
      <c r="Q5" s="47" t="str">
        <f>"OutputValues_"&amp;$Q$4</f>
        <v>OutputValues_1</v>
      </c>
      <c r="R5">
        <f ca="1">INDEX(INDIRECT($Q$5),1,$T$4)</f>
        <v>214767.05</v>
      </c>
    </row>
    <row r="6" spans="1:52" x14ac:dyDescent="0.6">
      <c r="A6" s="42">
        <v>-0.89999997615814209</v>
      </c>
      <c r="B6" s="55">
        <v>205981.24</v>
      </c>
      <c r="C6" s="58">
        <v>207313.96</v>
      </c>
      <c r="D6" s="58">
        <v>208656.44</v>
      </c>
      <c r="E6" s="58">
        <v>210127.48</v>
      </c>
      <c r="F6" s="58">
        <v>211599.19</v>
      </c>
      <c r="G6" s="58">
        <v>213070.91</v>
      </c>
      <c r="H6" s="58">
        <v>214542.62</v>
      </c>
      <c r="I6" s="58">
        <v>216014.34</v>
      </c>
      <c r="J6" s="58">
        <v>217486.06</v>
      </c>
      <c r="K6" s="58">
        <v>218957.77</v>
      </c>
      <c r="L6" s="61">
        <v>220429.49</v>
      </c>
      <c r="N6">
        <f ca="1">INDEX(INDIRECT($M$5),$P$4,2)</f>
        <v>102970.78</v>
      </c>
      <c r="R6">
        <f ca="1">INDEX(INDIRECT($Q$5),2,$T$4)</f>
        <v>207313.96</v>
      </c>
    </row>
    <row r="7" spans="1:52" x14ac:dyDescent="0.6">
      <c r="A7" s="42">
        <v>-0.80000001192092896</v>
      </c>
      <c r="B7" s="55">
        <v>197195.44</v>
      </c>
      <c r="C7" s="58">
        <v>199860.88</v>
      </c>
      <c r="D7" s="58">
        <v>202545.85</v>
      </c>
      <c r="E7" s="58">
        <v>205487.91</v>
      </c>
      <c r="F7" s="58">
        <v>208431.34</v>
      </c>
      <c r="G7" s="58">
        <v>211374.77</v>
      </c>
      <c r="H7" s="58">
        <v>214318.2</v>
      </c>
      <c r="I7" s="58">
        <v>217261.63</v>
      </c>
      <c r="J7" s="58">
        <v>220205.06</v>
      </c>
      <c r="K7" s="58">
        <v>223148.5</v>
      </c>
      <c r="L7" s="61">
        <v>226091.93</v>
      </c>
      <c r="N7">
        <f ca="1">INDEX(INDIRECT($M$5),$P$4,3)</f>
        <v>123108.05</v>
      </c>
      <c r="R7">
        <f ca="1">INDEX(INDIRECT($Q$5),3,$T$4)</f>
        <v>199860.88</v>
      </c>
    </row>
    <row r="8" spans="1:52" x14ac:dyDescent="0.6">
      <c r="A8" s="42">
        <v>-0.69999998807907104</v>
      </c>
      <c r="B8" s="55">
        <v>188409.63</v>
      </c>
      <c r="C8" s="58">
        <v>192407.79</v>
      </c>
      <c r="D8" s="58">
        <v>196435.25</v>
      </c>
      <c r="E8" s="58">
        <v>200848.34</v>
      </c>
      <c r="F8" s="58">
        <v>205263.49</v>
      </c>
      <c r="G8" s="58">
        <v>209678.63</v>
      </c>
      <c r="H8" s="58">
        <v>214093.78</v>
      </c>
      <c r="I8" s="58">
        <v>218508.93</v>
      </c>
      <c r="J8" s="58">
        <v>222924.07</v>
      </c>
      <c r="K8" s="58">
        <v>227339.22</v>
      </c>
      <c r="L8" s="61">
        <v>231754.37</v>
      </c>
      <c r="N8">
        <f ca="1">INDEX(INDIRECT($M$5),$P$4,4)</f>
        <v>145173.51999999999</v>
      </c>
      <c r="R8">
        <f ca="1">INDEX(INDIRECT($Q$5),4,$T$4)</f>
        <v>192407.79</v>
      </c>
    </row>
    <row r="9" spans="1:52" x14ac:dyDescent="0.6">
      <c r="A9" s="42">
        <v>-0.60000002384185791</v>
      </c>
      <c r="B9" s="55">
        <v>179623.83</v>
      </c>
      <c r="C9" s="58">
        <v>184954.71</v>
      </c>
      <c r="D9" s="58">
        <v>190324.65</v>
      </c>
      <c r="E9" s="58">
        <v>196208.77</v>
      </c>
      <c r="F9" s="58">
        <v>202095.63</v>
      </c>
      <c r="G9" s="58">
        <v>207982.5</v>
      </c>
      <c r="H9" s="58">
        <v>213869.36</v>
      </c>
      <c r="I9" s="58">
        <v>219756.22</v>
      </c>
      <c r="J9" s="58">
        <v>225643.08</v>
      </c>
      <c r="K9" s="58">
        <v>231529.95</v>
      </c>
      <c r="L9" s="61">
        <v>237416.81</v>
      </c>
      <c r="N9">
        <f ca="1">INDEX(INDIRECT($M$5),$P$4,5)</f>
        <v>167249.25</v>
      </c>
      <c r="R9">
        <f ca="1">INDEX(INDIRECT($Q$5),5,$T$4)</f>
        <v>184954.71</v>
      </c>
    </row>
    <row r="10" spans="1:52" x14ac:dyDescent="0.6">
      <c r="A10" s="42">
        <v>-0.5</v>
      </c>
      <c r="B10" s="55">
        <v>170838.02</v>
      </c>
      <c r="C10" s="58">
        <v>177501.62</v>
      </c>
      <c r="D10" s="58">
        <v>184214.05</v>
      </c>
      <c r="E10" s="58">
        <v>191569.2</v>
      </c>
      <c r="F10" s="58">
        <v>198927.78</v>
      </c>
      <c r="G10" s="58">
        <v>206286.36</v>
      </c>
      <c r="H10" s="58">
        <v>213644.94</v>
      </c>
      <c r="I10" s="58">
        <v>221003.51</v>
      </c>
      <c r="J10" s="58">
        <v>228362.09</v>
      </c>
      <c r="K10" s="58">
        <v>235720.67</v>
      </c>
      <c r="L10" s="61">
        <v>243079.25</v>
      </c>
      <c r="N10">
        <f ca="1">INDEX(INDIRECT($M$5),$P$4,6)</f>
        <v>189324.98</v>
      </c>
      <c r="R10">
        <f ca="1">INDEX(INDIRECT($Q$5),6,$T$4)</f>
        <v>177501.62</v>
      </c>
    </row>
    <row r="11" spans="1:52" x14ac:dyDescent="0.6">
      <c r="A11" s="42">
        <v>-0.39999997615814209</v>
      </c>
      <c r="B11" s="55">
        <v>162052.22</v>
      </c>
      <c r="C11" s="58">
        <v>170048.54</v>
      </c>
      <c r="D11" s="58">
        <v>178103.45</v>
      </c>
      <c r="E11" s="58">
        <v>186929.63</v>
      </c>
      <c r="F11" s="58">
        <v>195759.93</v>
      </c>
      <c r="G11" s="58">
        <v>204590.22</v>
      </c>
      <c r="H11" s="58">
        <v>213420.52</v>
      </c>
      <c r="I11" s="58">
        <v>222250.81</v>
      </c>
      <c r="J11" s="58">
        <v>231081.1</v>
      </c>
      <c r="K11" s="58">
        <v>239911.4</v>
      </c>
      <c r="L11" s="61">
        <v>248741.69</v>
      </c>
      <c r="N11">
        <f ca="1">INDEX(INDIRECT($M$5),$P$4,7)</f>
        <v>211400.72</v>
      </c>
      <c r="R11">
        <f ca="1">INDEX(INDIRECT($Q$5),7,$T$4)</f>
        <v>170048.54</v>
      </c>
    </row>
    <row r="12" spans="1:52" x14ac:dyDescent="0.6">
      <c r="A12" s="42">
        <v>-0.29999998211860657</v>
      </c>
      <c r="B12" s="55">
        <v>153266.41</v>
      </c>
      <c r="C12" s="58">
        <v>162595.45000000001</v>
      </c>
      <c r="D12" s="58">
        <v>171992.85</v>
      </c>
      <c r="E12" s="58">
        <v>182290.06</v>
      </c>
      <c r="F12" s="58">
        <v>192592.07</v>
      </c>
      <c r="G12" s="58">
        <v>202894.07999999999</v>
      </c>
      <c r="H12" s="58">
        <v>213196.09</v>
      </c>
      <c r="I12" s="58">
        <v>223498.1</v>
      </c>
      <c r="J12" s="58">
        <v>233800.11</v>
      </c>
      <c r="K12" s="58">
        <v>244102.12</v>
      </c>
      <c r="L12" s="61">
        <v>254404.13</v>
      </c>
      <c r="N12">
        <f ca="1">INDEX(INDIRECT($M$5),$P$4,8)</f>
        <v>233476.45</v>
      </c>
      <c r="R12">
        <f ca="1">INDEX(INDIRECT($Q$5),8,$T$4)</f>
        <v>162595.45000000001</v>
      </c>
    </row>
    <row r="13" spans="1:52" x14ac:dyDescent="0.6">
      <c r="A13" s="42">
        <v>-0.19999998807907104</v>
      </c>
      <c r="B13" s="55">
        <v>144480.60999999999</v>
      </c>
      <c r="C13" s="58">
        <v>155142.37</v>
      </c>
      <c r="D13" s="58">
        <v>165882.25</v>
      </c>
      <c r="E13" s="58">
        <v>177650.5</v>
      </c>
      <c r="F13" s="58">
        <v>189424.22</v>
      </c>
      <c r="G13" s="58">
        <v>201197.95</v>
      </c>
      <c r="H13" s="58">
        <v>212971.67</v>
      </c>
      <c r="I13" s="58">
        <v>224745.39</v>
      </c>
      <c r="J13" s="58">
        <v>236519.12</v>
      </c>
      <c r="K13" s="58">
        <v>248292.85</v>
      </c>
      <c r="L13" s="61">
        <v>260066.57</v>
      </c>
      <c r="N13">
        <f ca="1">INDEX(INDIRECT($M$5),$P$4,9)</f>
        <v>255552.19</v>
      </c>
      <c r="R13">
        <f ca="1">INDEX(INDIRECT($Q$5),9,$T$4)</f>
        <v>155142.37</v>
      </c>
    </row>
    <row r="14" spans="1:52" x14ac:dyDescent="0.6">
      <c r="A14" s="42">
        <v>-9.9999986588954926E-2</v>
      </c>
      <c r="B14" s="55">
        <v>135694.79999999999</v>
      </c>
      <c r="C14" s="58">
        <v>147689.28</v>
      </c>
      <c r="D14" s="58">
        <v>159771.65</v>
      </c>
      <c r="E14" s="58">
        <v>173010.93</v>
      </c>
      <c r="F14" s="58">
        <v>186256.37</v>
      </c>
      <c r="G14" s="58">
        <v>199501.81</v>
      </c>
      <c r="H14" s="58">
        <v>212747.25</v>
      </c>
      <c r="I14" s="58">
        <v>225992.69</v>
      </c>
      <c r="J14" s="58">
        <v>239238.13</v>
      </c>
      <c r="K14" s="58">
        <v>252483.57</v>
      </c>
      <c r="L14" s="61">
        <v>265729.01</v>
      </c>
      <c r="N14">
        <f ca="1">INDEX(INDIRECT($M$5),$P$4,10)</f>
        <v>277627.93</v>
      </c>
      <c r="R14">
        <f ca="1">INDEX(INDIRECT($Q$5),10,$T$4)</f>
        <v>147689.28</v>
      </c>
    </row>
    <row r="15" spans="1:52" x14ac:dyDescent="0.6">
      <c r="A15" s="42">
        <v>1.4901161193847656E-8</v>
      </c>
      <c r="B15" s="55">
        <v>126909</v>
      </c>
      <c r="C15" s="58">
        <v>140236.20000000001</v>
      </c>
      <c r="D15" s="58">
        <v>153661.04999999999</v>
      </c>
      <c r="E15" s="58">
        <v>168371.36</v>
      </c>
      <c r="F15" s="58">
        <v>183088.51</v>
      </c>
      <c r="G15" s="58">
        <v>197805.67</v>
      </c>
      <c r="H15" s="58">
        <v>212522.83</v>
      </c>
      <c r="I15" s="58">
        <v>227239.98</v>
      </c>
      <c r="J15" s="58">
        <v>241957.14</v>
      </c>
      <c r="K15" s="58">
        <v>256674.3</v>
      </c>
      <c r="L15" s="61">
        <v>271391.45</v>
      </c>
      <c r="N15">
        <f ca="1">INDEX(INDIRECT($M$5),$P$4,11)</f>
        <v>299703.65000000002</v>
      </c>
      <c r="R15">
        <f ca="1">INDEX(INDIRECT($Q$5),11,$T$4)</f>
        <v>140236.20000000001</v>
      </c>
    </row>
    <row r="16" spans="1:52" x14ac:dyDescent="0.6">
      <c r="A16" s="42">
        <v>0.10000001639127731</v>
      </c>
      <c r="B16" s="55">
        <v>118123.2</v>
      </c>
      <c r="C16" s="58">
        <v>132783.12</v>
      </c>
      <c r="D16" s="58">
        <v>147550.45000000001</v>
      </c>
      <c r="E16" s="58">
        <v>163731.79</v>
      </c>
      <c r="F16" s="58">
        <v>179920.66</v>
      </c>
      <c r="G16" s="58">
        <v>196109.53</v>
      </c>
      <c r="H16" s="58">
        <v>212298.41</v>
      </c>
      <c r="I16" s="58">
        <v>228487.27</v>
      </c>
      <c r="J16" s="58">
        <v>244676.15</v>
      </c>
      <c r="K16" s="58">
        <v>260865.03</v>
      </c>
      <c r="L16" s="61">
        <v>277053.89</v>
      </c>
      <c r="R16">
        <f ca="1">INDEX(INDIRECT($Q$5),12,$T$4)</f>
        <v>132783.12</v>
      </c>
    </row>
    <row r="17" spans="1:18" x14ac:dyDescent="0.6">
      <c r="A17" s="42">
        <v>0.20000001788139343</v>
      </c>
      <c r="B17" s="55">
        <v>109337.39</v>
      </c>
      <c r="C17" s="58">
        <v>125330.03</v>
      </c>
      <c r="D17" s="58">
        <v>141439.85</v>
      </c>
      <c r="E17" s="58">
        <v>159092.22</v>
      </c>
      <c r="F17" s="58">
        <v>176752.81</v>
      </c>
      <c r="G17" s="58">
        <v>194413.39</v>
      </c>
      <c r="H17" s="58">
        <v>212073.99</v>
      </c>
      <c r="I17" s="58">
        <v>229734.57</v>
      </c>
      <c r="J17" s="58">
        <v>247395.16</v>
      </c>
      <c r="K17" s="58">
        <v>265055.75</v>
      </c>
      <c r="L17" s="61">
        <v>282716.33</v>
      </c>
      <c r="R17">
        <f ca="1">INDEX(INDIRECT($Q$5),13,$T$4)</f>
        <v>125330.03</v>
      </c>
    </row>
    <row r="18" spans="1:18" x14ac:dyDescent="0.6">
      <c r="A18" s="42">
        <v>0.30000001192092896</v>
      </c>
      <c r="B18" s="55">
        <v>100551.59</v>
      </c>
      <c r="C18" s="58">
        <v>117876.95</v>
      </c>
      <c r="D18" s="58">
        <v>135329.25</v>
      </c>
      <c r="E18" s="58">
        <v>154452.65</v>
      </c>
      <c r="F18" s="58">
        <v>173584.96</v>
      </c>
      <c r="G18" s="58">
        <v>192717.26</v>
      </c>
      <c r="H18" s="58">
        <v>211849.57</v>
      </c>
      <c r="I18" s="58">
        <v>230981.86</v>
      </c>
      <c r="J18" s="58">
        <v>250114.17</v>
      </c>
      <c r="K18" s="58">
        <v>269246.48</v>
      </c>
      <c r="L18" s="61">
        <v>288378.77</v>
      </c>
      <c r="R18">
        <f ca="1">INDEX(INDIRECT($Q$5),14,$T$4)</f>
        <v>117876.95</v>
      </c>
    </row>
    <row r="19" spans="1:18" x14ac:dyDescent="0.6">
      <c r="A19" s="42">
        <v>0.40000003576278687</v>
      </c>
      <c r="B19" s="55">
        <v>91765.78</v>
      </c>
      <c r="C19" s="58">
        <v>110423.86</v>
      </c>
      <c r="D19" s="58">
        <v>129218.65</v>
      </c>
      <c r="E19" s="58">
        <v>149813.07999999999</v>
      </c>
      <c r="F19" s="58">
        <v>170417.1</v>
      </c>
      <c r="G19" s="58">
        <v>191021.12</v>
      </c>
      <c r="H19" s="58">
        <v>211625.14</v>
      </c>
      <c r="I19" s="58">
        <v>232229.15</v>
      </c>
      <c r="J19" s="58">
        <v>252833.18</v>
      </c>
      <c r="K19" s="58">
        <v>273437.2</v>
      </c>
      <c r="L19" s="61">
        <v>294041.21000000002</v>
      </c>
      <c r="R19">
        <f ca="1">INDEX(INDIRECT($Q$5),15,$T$4)</f>
        <v>110423.86</v>
      </c>
    </row>
    <row r="20" spans="1:18" x14ac:dyDescent="0.6">
      <c r="A20" s="42">
        <v>0.5</v>
      </c>
      <c r="B20" s="55">
        <v>82979.98</v>
      </c>
      <c r="C20" s="58">
        <v>102970.78</v>
      </c>
      <c r="D20" s="58">
        <v>123108.05</v>
      </c>
      <c r="E20" s="58">
        <v>145173.51999999999</v>
      </c>
      <c r="F20" s="58">
        <v>167249.25</v>
      </c>
      <c r="G20" s="58">
        <v>189324.98</v>
      </c>
      <c r="H20" s="58">
        <v>211400.72</v>
      </c>
      <c r="I20" s="58">
        <v>233476.45</v>
      </c>
      <c r="J20" s="58">
        <v>255552.19</v>
      </c>
      <c r="K20" s="58">
        <v>277627.93</v>
      </c>
      <c r="L20" s="61">
        <v>299703.65000000002</v>
      </c>
      <c r="R20">
        <f ca="1">INDEX(INDIRECT($Q$5),16,$T$4)</f>
        <v>102970.78</v>
      </c>
    </row>
    <row r="21" spans="1:18" x14ac:dyDescent="0.6">
      <c r="A21" s="42">
        <v>0.60000002384185791</v>
      </c>
      <c r="B21" s="55">
        <v>74194.17</v>
      </c>
      <c r="C21" s="58">
        <v>95517.69</v>
      </c>
      <c r="D21" s="58">
        <v>116997.45</v>
      </c>
      <c r="E21" s="58">
        <v>140533.95000000001</v>
      </c>
      <c r="F21" s="58">
        <v>164081.4</v>
      </c>
      <c r="G21" s="58">
        <v>187628.84</v>
      </c>
      <c r="H21" s="58">
        <v>211176.3</v>
      </c>
      <c r="I21" s="58">
        <v>234723.74</v>
      </c>
      <c r="J21" s="58">
        <v>258271.2</v>
      </c>
      <c r="K21" s="58">
        <v>281818.65000000002</v>
      </c>
      <c r="L21" s="61">
        <v>305366.09000000003</v>
      </c>
      <c r="R21">
        <f ca="1">INDEX(INDIRECT($Q$5),17,$T$4)</f>
        <v>95517.69</v>
      </c>
    </row>
    <row r="22" spans="1:18" x14ac:dyDescent="0.6">
      <c r="A22" s="42">
        <v>0.70000004768371582</v>
      </c>
      <c r="B22" s="55">
        <v>65408.37</v>
      </c>
      <c r="C22" s="58">
        <v>88064.61</v>
      </c>
      <c r="D22" s="58">
        <v>110886.85</v>
      </c>
      <c r="E22" s="58">
        <v>135894.38</v>
      </c>
      <c r="F22" s="58">
        <v>160913.54</v>
      </c>
      <c r="G22" s="58">
        <v>185932.71</v>
      </c>
      <c r="H22" s="58">
        <v>210951.88</v>
      </c>
      <c r="I22" s="58">
        <v>235971.04</v>
      </c>
      <c r="J22" s="58">
        <v>260990.21</v>
      </c>
      <c r="K22" s="58">
        <v>286009.38</v>
      </c>
      <c r="L22" s="61">
        <v>311028.53999999998</v>
      </c>
      <c r="R22">
        <f ca="1">INDEX(INDIRECT($Q$5),18,$T$4)</f>
        <v>88064.61</v>
      </c>
    </row>
    <row r="23" spans="1:18" x14ac:dyDescent="0.6">
      <c r="A23" s="42">
        <v>0.80000001192092896</v>
      </c>
      <c r="B23" s="55">
        <v>56622.57</v>
      </c>
      <c r="C23" s="58">
        <v>80611.53</v>
      </c>
      <c r="D23" s="58">
        <v>104776.26</v>
      </c>
      <c r="E23" s="58">
        <v>131254.81</v>
      </c>
      <c r="F23" s="58">
        <v>157745.69</v>
      </c>
      <c r="G23" s="58">
        <v>184236.57</v>
      </c>
      <c r="H23" s="58">
        <v>210727.46</v>
      </c>
      <c r="I23" s="58">
        <v>237218.33</v>
      </c>
      <c r="J23" s="58">
        <v>263709.21999999997</v>
      </c>
      <c r="K23" s="58">
        <v>290200.09999999998</v>
      </c>
      <c r="L23" s="61">
        <v>316690.96999999997</v>
      </c>
      <c r="R23">
        <f ca="1">INDEX(INDIRECT($Q$5),19,$T$4)</f>
        <v>80611.53</v>
      </c>
    </row>
    <row r="24" spans="1:18" x14ac:dyDescent="0.6">
      <c r="A24" s="42">
        <v>0.90000003576278687</v>
      </c>
      <c r="B24" s="55">
        <v>47836.76</v>
      </c>
      <c r="C24" s="58">
        <v>73158.44</v>
      </c>
      <c r="D24" s="58">
        <v>98665.66</v>
      </c>
      <c r="E24" s="58">
        <v>126615.24</v>
      </c>
      <c r="F24" s="58">
        <v>154577.84</v>
      </c>
      <c r="G24" s="58">
        <v>182540.43</v>
      </c>
      <c r="H24" s="58">
        <v>210503.04000000001</v>
      </c>
      <c r="I24" s="58">
        <v>238465.62</v>
      </c>
      <c r="J24" s="58">
        <v>266428.23</v>
      </c>
      <c r="K24" s="58">
        <v>294390.83</v>
      </c>
      <c r="L24" s="61">
        <v>322353.42</v>
      </c>
      <c r="R24">
        <f ca="1">INDEX(INDIRECT($Q$5),20,$T$4)</f>
        <v>73158.44</v>
      </c>
    </row>
    <row r="25" spans="1:18" x14ac:dyDescent="0.6">
      <c r="A25" s="42">
        <v>1</v>
      </c>
      <c r="B25" s="56">
        <v>39050.959999999999</v>
      </c>
      <c r="C25" s="59">
        <v>65705.36</v>
      </c>
      <c r="D25" s="59">
        <v>92555.06</v>
      </c>
      <c r="E25" s="59">
        <v>121975.67</v>
      </c>
      <c r="F25" s="59">
        <v>151409.99</v>
      </c>
      <c r="G25" s="59">
        <v>180844.3</v>
      </c>
      <c r="H25" s="59">
        <v>210278.61</v>
      </c>
      <c r="I25" s="59">
        <v>239712.92</v>
      </c>
      <c r="J25" s="59">
        <v>269147.23</v>
      </c>
      <c r="K25" s="59">
        <v>298581.55</v>
      </c>
      <c r="L25" s="62">
        <v>328015.84999999998</v>
      </c>
      <c r="R25">
        <f ca="1">INDEX(INDIRECT($Q$5),21,$T$4)</f>
        <v>65705.36</v>
      </c>
    </row>
  </sheetData>
  <dataValidations count="3">
    <dataValidation type="list" allowBlank="1" showInputMessage="1" showErrorMessage="1" sqref="N4 R4" xr:uid="{3BD82FC7-B560-4AF6-ADEC-ACD28EA9BAE5}">
      <formula1>OutputAddresses</formula1>
    </dataValidation>
    <dataValidation type="list" allowBlank="1" showInputMessage="1" showErrorMessage="1" sqref="O4" xr:uid="{B009EE8C-58C2-400A-A4C4-5E79CB90E7C7}">
      <formula1>InputValues1</formula1>
    </dataValidation>
    <dataValidation type="list" allowBlank="1" showInputMessage="1" showErrorMessage="1" sqref="S4" xr:uid="{B85D6348-BB32-47C5-9DD2-B6627C761E50}">
      <formula1>InputValues2</formula1>
    </dataValidation>
  </dataValidations>
  <pageMargins left="0.7" right="0.7" top="0.75" bottom="0.75" header="0.3" footer="0.3"/>
  <pageSetup orientation="portrait" r:id="rId1"/>
  <drawing r:id="rId2"/>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6AEA2-CC1D-4A8F-8D1B-8C8A288A5827}">
  <dimension ref="A1:B15"/>
  <sheetViews>
    <sheetView workbookViewId="0"/>
  </sheetViews>
  <sheetFormatPr defaultRowHeight="13" x14ac:dyDescent="0.6"/>
  <sheetData>
    <row r="1" spans="1:2" x14ac:dyDescent="0.6">
      <c r="A1">
        <v>1</v>
      </c>
    </row>
    <row r="2" spans="1:2" x14ac:dyDescent="0.6">
      <c r="A2" t="s">
        <v>273</v>
      </c>
    </row>
    <row r="3" spans="1:2" x14ac:dyDescent="0.6">
      <c r="A3">
        <v>1</v>
      </c>
    </row>
    <row r="4" spans="1:2" x14ac:dyDescent="0.6">
      <c r="A4">
        <v>-1</v>
      </c>
    </row>
    <row r="5" spans="1:2" x14ac:dyDescent="0.6">
      <c r="A5">
        <v>1</v>
      </c>
    </row>
    <row r="6" spans="1:2" x14ac:dyDescent="0.6">
      <c r="A6">
        <v>0.1</v>
      </c>
    </row>
    <row r="8" spans="1:2" x14ac:dyDescent="0.6">
      <c r="A8" s="41"/>
      <c r="B8" s="41"/>
    </row>
    <row r="9" spans="1:2" x14ac:dyDescent="0.6">
      <c r="A9" t="s">
        <v>274</v>
      </c>
    </row>
    <row r="10" spans="1:2" x14ac:dyDescent="0.6">
      <c r="A10" t="s">
        <v>296</v>
      </c>
    </row>
    <row r="15" spans="1:2" x14ac:dyDescent="0.6">
      <c r="B15"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2B076-40F1-483D-AE4C-9306FC584C48}">
  <sheetPr>
    <tabColor theme="6" tint="0.59999389629810485"/>
  </sheetPr>
  <dimension ref="A1:G94"/>
  <sheetViews>
    <sheetView showGridLines="0" workbookViewId="0"/>
  </sheetViews>
  <sheetFormatPr defaultColWidth="8.86328125" defaultRowHeight="13" x14ac:dyDescent="0.6"/>
  <cols>
    <col min="1" max="1" width="2.1328125" customWidth="1"/>
    <col min="2" max="2" width="6" bestFit="1" customWidth="1"/>
    <col min="3" max="3" width="14.26953125" bestFit="1" customWidth="1"/>
    <col min="4" max="4" width="12.86328125" bestFit="1" customWidth="1"/>
    <col min="5" max="5" width="13.40625" bestFit="1" customWidth="1"/>
    <col min="6" max="6" width="9.86328125" bestFit="1" customWidth="1"/>
    <col min="7" max="7" width="11.86328125" bestFit="1" customWidth="1"/>
  </cols>
  <sheetData>
    <row r="1" spans="1:5" x14ac:dyDescent="0.6">
      <c r="A1" s="1" t="s">
        <v>84</v>
      </c>
    </row>
    <row r="2" spans="1:5" x14ac:dyDescent="0.6">
      <c r="A2" s="1" t="s">
        <v>71</v>
      </c>
    </row>
    <row r="3" spans="1:5" x14ac:dyDescent="0.6">
      <c r="A3" s="1" t="s">
        <v>85</v>
      </c>
    </row>
    <row r="4" spans="1:5" x14ac:dyDescent="0.6">
      <c r="A4" s="1" t="s">
        <v>86</v>
      </c>
    </row>
    <row r="5" spans="1:5" x14ac:dyDescent="0.6">
      <c r="A5" s="1" t="s">
        <v>87</v>
      </c>
    </row>
    <row r="6" spans="1:5" x14ac:dyDescent="0.6">
      <c r="A6" s="1"/>
      <c r="B6" t="s">
        <v>88</v>
      </c>
    </row>
    <row r="7" spans="1:5" x14ac:dyDescent="0.6">
      <c r="A7" s="1"/>
      <c r="B7" t="s">
        <v>89</v>
      </c>
    </row>
    <row r="8" spans="1:5" x14ac:dyDescent="0.6">
      <c r="A8" s="1"/>
      <c r="B8" t="s">
        <v>90</v>
      </c>
    </row>
    <row r="9" spans="1:5" x14ac:dyDescent="0.6">
      <c r="A9" s="1" t="s">
        <v>91</v>
      </c>
    </row>
    <row r="10" spans="1:5" x14ac:dyDescent="0.6">
      <c r="B10" t="s">
        <v>92</v>
      </c>
    </row>
    <row r="11" spans="1:5" x14ac:dyDescent="0.6">
      <c r="B11" t="s">
        <v>93</v>
      </c>
    </row>
    <row r="14" spans="1:5" ht="13.75" thickBot="1" x14ac:dyDescent="0.75">
      <c r="A14" t="s">
        <v>94</v>
      </c>
    </row>
    <row r="15" spans="1:5" ht="13.75" thickBot="1" x14ac:dyDescent="0.75">
      <c r="B15" s="27" t="s">
        <v>72</v>
      </c>
      <c r="C15" s="27" t="s">
        <v>73</v>
      </c>
      <c r="D15" s="27" t="s">
        <v>95</v>
      </c>
      <c r="E15" s="27" t="s">
        <v>96</v>
      </c>
    </row>
    <row r="16" spans="1:5" ht="13.75" thickBot="1" x14ac:dyDescent="0.75">
      <c r="B16" s="28" t="s">
        <v>100</v>
      </c>
      <c r="C16" s="28" t="s">
        <v>58</v>
      </c>
      <c r="D16" s="30">
        <v>125303.4945</v>
      </c>
      <c r="E16" s="30">
        <v>183135.10759999999</v>
      </c>
    </row>
    <row r="19" spans="1:6" ht="13.75" thickBot="1" x14ac:dyDescent="0.75">
      <c r="A19" t="s">
        <v>97</v>
      </c>
    </row>
    <row r="20" spans="1:6" ht="13.75" thickBot="1" x14ac:dyDescent="0.75">
      <c r="B20" s="27" t="s">
        <v>72</v>
      </c>
      <c r="C20" s="27" t="s">
        <v>73</v>
      </c>
      <c r="D20" s="27" t="s">
        <v>95</v>
      </c>
      <c r="E20" s="27" t="s">
        <v>96</v>
      </c>
      <c r="F20" s="27" t="s">
        <v>98</v>
      </c>
    </row>
    <row r="21" spans="1:6" x14ac:dyDescent="0.6">
      <c r="B21" s="29" t="s">
        <v>101</v>
      </c>
      <c r="C21" s="29" t="s">
        <v>102</v>
      </c>
      <c r="D21" s="31">
        <v>0</v>
      </c>
      <c r="E21" s="31">
        <v>1000</v>
      </c>
      <c r="F21" s="29" t="s">
        <v>103</v>
      </c>
    </row>
    <row r="22" spans="1:6" x14ac:dyDescent="0.6">
      <c r="B22" s="29" t="s">
        <v>104</v>
      </c>
      <c r="C22" s="29" t="s">
        <v>105</v>
      </c>
      <c r="D22" s="31">
        <v>1000</v>
      </c>
      <c r="E22" s="31">
        <v>0</v>
      </c>
      <c r="F22" s="29" t="s">
        <v>103</v>
      </c>
    </row>
    <row r="23" spans="1:6" x14ac:dyDescent="0.6">
      <c r="B23" s="29" t="s">
        <v>106</v>
      </c>
      <c r="C23" s="29" t="s">
        <v>107</v>
      </c>
      <c r="D23" s="31">
        <v>0</v>
      </c>
      <c r="E23" s="31">
        <v>1583.0000000000002</v>
      </c>
      <c r="F23" s="29" t="s">
        <v>103</v>
      </c>
    </row>
    <row r="24" spans="1:6" x14ac:dyDescent="0.6">
      <c r="B24" s="29" t="s">
        <v>108</v>
      </c>
      <c r="C24" s="29" t="s">
        <v>109</v>
      </c>
      <c r="D24" s="31">
        <v>1583</v>
      </c>
      <c r="E24" s="31">
        <v>0</v>
      </c>
      <c r="F24" s="29" t="s">
        <v>103</v>
      </c>
    </row>
    <row r="25" spans="1:6" x14ac:dyDescent="0.6">
      <c r="B25" s="29" t="s">
        <v>110</v>
      </c>
      <c r="C25" s="29" t="s">
        <v>111</v>
      </c>
      <c r="D25" s="31">
        <v>2140</v>
      </c>
      <c r="E25" s="31">
        <v>0</v>
      </c>
      <c r="F25" s="29" t="s">
        <v>103</v>
      </c>
    </row>
    <row r="26" spans="1:6" x14ac:dyDescent="0.6">
      <c r="B26" s="29" t="s">
        <v>112</v>
      </c>
      <c r="C26" s="29" t="s">
        <v>113</v>
      </c>
      <c r="D26" s="31">
        <v>0</v>
      </c>
      <c r="E26" s="31">
        <v>2140.0000000000005</v>
      </c>
      <c r="F26" s="29" t="s">
        <v>103</v>
      </c>
    </row>
    <row r="27" spans="1:6" x14ac:dyDescent="0.6">
      <c r="B27" s="29" t="s">
        <v>114</v>
      </c>
      <c r="C27" s="29" t="s">
        <v>115</v>
      </c>
      <c r="D27" s="31">
        <v>0</v>
      </c>
      <c r="E27" s="31">
        <v>530.18024471680462</v>
      </c>
      <c r="F27" s="29" t="s">
        <v>103</v>
      </c>
    </row>
    <row r="28" spans="1:6" x14ac:dyDescent="0.6">
      <c r="B28" s="29" t="s">
        <v>116</v>
      </c>
      <c r="C28" s="29" t="s">
        <v>117</v>
      </c>
      <c r="D28" s="31">
        <v>1370</v>
      </c>
      <c r="E28" s="31">
        <v>839.81975528319538</v>
      </c>
      <c r="F28" s="29" t="s">
        <v>103</v>
      </c>
    </row>
    <row r="29" spans="1:6" x14ac:dyDescent="0.6">
      <c r="B29" s="29" t="s">
        <v>118</v>
      </c>
      <c r="C29" s="29" t="s">
        <v>119</v>
      </c>
      <c r="D29" s="31">
        <v>2000</v>
      </c>
      <c r="E29" s="31">
        <v>2000</v>
      </c>
      <c r="F29" s="29" t="s">
        <v>103</v>
      </c>
    </row>
    <row r="30" spans="1:6" x14ac:dyDescent="0.6">
      <c r="B30" s="29" t="s">
        <v>120</v>
      </c>
      <c r="C30" s="29" t="s">
        <v>121</v>
      </c>
      <c r="D30" s="31">
        <v>0</v>
      </c>
      <c r="E30" s="31">
        <v>0</v>
      </c>
      <c r="F30" s="29" t="s">
        <v>103</v>
      </c>
    </row>
    <row r="31" spans="1:6" x14ac:dyDescent="0.6">
      <c r="B31" s="29" t="s">
        <v>122</v>
      </c>
      <c r="C31" s="29" t="s">
        <v>123</v>
      </c>
      <c r="D31" s="31">
        <v>973.18024471680599</v>
      </c>
      <c r="E31" s="31">
        <v>0</v>
      </c>
      <c r="F31" s="29" t="s">
        <v>103</v>
      </c>
    </row>
    <row r="32" spans="1:6" x14ac:dyDescent="0.6">
      <c r="B32" s="29" t="s">
        <v>124</v>
      </c>
      <c r="C32" s="29" t="s">
        <v>125</v>
      </c>
      <c r="D32" s="31">
        <v>876.81975528319401</v>
      </c>
      <c r="E32" s="31">
        <v>1849.9999999999991</v>
      </c>
      <c r="F32" s="29" t="s">
        <v>103</v>
      </c>
    </row>
    <row r="33" spans="2:6" x14ac:dyDescent="0.6">
      <c r="B33" s="29" t="s">
        <v>126</v>
      </c>
      <c r="C33" s="29" t="s">
        <v>127</v>
      </c>
      <c r="D33" s="31">
        <v>0</v>
      </c>
      <c r="E33" s="31">
        <v>0</v>
      </c>
      <c r="F33" s="29" t="s">
        <v>103</v>
      </c>
    </row>
    <row r="34" spans="2:6" x14ac:dyDescent="0.6">
      <c r="B34" s="29" t="s">
        <v>128</v>
      </c>
      <c r="C34" s="29" t="s">
        <v>129</v>
      </c>
      <c r="D34" s="31">
        <v>1260</v>
      </c>
      <c r="E34" s="31">
        <v>1260.0000000000005</v>
      </c>
      <c r="F34" s="29" t="s">
        <v>103</v>
      </c>
    </row>
    <row r="35" spans="2:6" x14ac:dyDescent="0.6">
      <c r="B35" s="29" t="s">
        <v>130</v>
      </c>
      <c r="C35" s="29" t="s">
        <v>131</v>
      </c>
      <c r="D35" s="31">
        <v>0</v>
      </c>
      <c r="E35" s="31">
        <v>0</v>
      </c>
      <c r="F35" s="29" t="s">
        <v>103</v>
      </c>
    </row>
    <row r="36" spans="2:6" x14ac:dyDescent="0.6">
      <c r="B36" s="29" t="s">
        <v>132</v>
      </c>
      <c r="C36" s="29" t="s">
        <v>133</v>
      </c>
      <c r="D36" s="31">
        <v>1700</v>
      </c>
      <c r="E36" s="31">
        <v>1700</v>
      </c>
      <c r="F36" s="29" t="s">
        <v>103</v>
      </c>
    </row>
    <row r="37" spans="2:6" x14ac:dyDescent="0.6">
      <c r="B37" s="29" t="s">
        <v>134</v>
      </c>
      <c r="C37" s="29" t="s">
        <v>135</v>
      </c>
      <c r="D37" s="31">
        <v>0</v>
      </c>
      <c r="E37" s="31">
        <v>480</v>
      </c>
      <c r="F37" s="29" t="s">
        <v>103</v>
      </c>
    </row>
    <row r="38" spans="2:6" x14ac:dyDescent="0.6">
      <c r="B38" s="29" t="s">
        <v>136</v>
      </c>
      <c r="C38" s="29" t="s">
        <v>137</v>
      </c>
      <c r="D38" s="31">
        <v>480</v>
      </c>
      <c r="E38" s="31">
        <v>0</v>
      </c>
      <c r="F38" s="29" t="s">
        <v>103</v>
      </c>
    </row>
    <row r="39" spans="2:6" x14ac:dyDescent="0.6">
      <c r="B39" s="29" t="s">
        <v>138</v>
      </c>
      <c r="C39" s="29" t="s">
        <v>139</v>
      </c>
      <c r="D39" s="31">
        <v>0</v>
      </c>
      <c r="E39" s="31">
        <v>0</v>
      </c>
      <c r="F39" s="29" t="s">
        <v>103</v>
      </c>
    </row>
    <row r="40" spans="2:6" x14ac:dyDescent="0.6">
      <c r="B40" s="29" t="s">
        <v>140</v>
      </c>
      <c r="C40" s="29" t="s">
        <v>141</v>
      </c>
      <c r="D40" s="31">
        <v>850</v>
      </c>
      <c r="E40" s="31">
        <v>850</v>
      </c>
      <c r="F40" s="29" t="s">
        <v>103</v>
      </c>
    </row>
    <row r="41" spans="2:6" x14ac:dyDescent="0.6">
      <c r="B41" s="29" t="s">
        <v>142</v>
      </c>
      <c r="C41" s="29" t="s">
        <v>143</v>
      </c>
      <c r="D41" s="31">
        <v>29.194029850746318</v>
      </c>
      <c r="E41" s="31">
        <v>133.09515107960249</v>
      </c>
      <c r="F41" s="29" t="s">
        <v>103</v>
      </c>
    </row>
    <row r="42" spans="2:6" x14ac:dyDescent="0.6">
      <c r="B42" s="29" t="s">
        <v>144</v>
      </c>
      <c r="C42" s="29" t="s">
        <v>145</v>
      </c>
      <c r="D42" s="31">
        <v>610.80597014925365</v>
      </c>
      <c r="E42" s="31">
        <v>506.90484892039785</v>
      </c>
      <c r="F42" s="29" t="s">
        <v>103</v>
      </c>
    </row>
    <row r="43" spans="2:6" x14ac:dyDescent="0.6">
      <c r="B43" s="29" t="s">
        <v>146</v>
      </c>
      <c r="C43" s="29" t="s">
        <v>147</v>
      </c>
      <c r="D43" s="31">
        <v>575</v>
      </c>
      <c r="E43" s="31">
        <v>651.09887877114329</v>
      </c>
      <c r="F43" s="29" t="s">
        <v>103</v>
      </c>
    </row>
    <row r="44" spans="2:6" x14ac:dyDescent="0.6">
      <c r="B44" s="29" t="s">
        <v>148</v>
      </c>
      <c r="C44" s="29" t="s">
        <v>149</v>
      </c>
      <c r="D44" s="31">
        <v>0</v>
      </c>
      <c r="E44" s="31">
        <v>0</v>
      </c>
      <c r="F44" s="29" t="s">
        <v>103</v>
      </c>
    </row>
    <row r="45" spans="2:6" x14ac:dyDescent="0.6">
      <c r="B45" s="29" t="s">
        <v>150</v>
      </c>
      <c r="C45" s="29" t="s">
        <v>151</v>
      </c>
      <c r="D45" s="31">
        <v>970</v>
      </c>
      <c r="E45" s="31">
        <v>0</v>
      </c>
      <c r="F45" s="29" t="s">
        <v>103</v>
      </c>
    </row>
    <row r="46" spans="2:6" x14ac:dyDescent="0.6">
      <c r="B46" s="29" t="s">
        <v>152</v>
      </c>
      <c r="C46" s="29" t="s">
        <v>153</v>
      </c>
      <c r="D46" s="31">
        <v>0</v>
      </c>
      <c r="E46" s="31">
        <v>970</v>
      </c>
      <c r="F46" s="29" t="s">
        <v>103</v>
      </c>
    </row>
    <row r="47" spans="2:6" x14ac:dyDescent="0.6">
      <c r="B47" s="29" t="s">
        <v>154</v>
      </c>
      <c r="C47" s="29" t="s">
        <v>155</v>
      </c>
      <c r="D47" s="31">
        <v>107</v>
      </c>
      <c r="E47" s="31">
        <v>107</v>
      </c>
      <c r="F47" s="29" t="s">
        <v>103</v>
      </c>
    </row>
    <row r="48" spans="2:6" x14ac:dyDescent="0.6">
      <c r="B48" s="29" t="s">
        <v>156</v>
      </c>
      <c r="C48" s="29" t="s">
        <v>157</v>
      </c>
      <c r="D48" s="31">
        <v>0</v>
      </c>
      <c r="E48" s="31">
        <v>0</v>
      </c>
      <c r="F48" s="29" t="s">
        <v>103</v>
      </c>
    </row>
    <row r="49" spans="1:7" x14ac:dyDescent="0.6">
      <c r="B49" s="29" t="s">
        <v>158</v>
      </c>
      <c r="C49" s="29" t="s">
        <v>159</v>
      </c>
      <c r="D49" s="31">
        <v>80</v>
      </c>
      <c r="E49" s="31">
        <v>80</v>
      </c>
      <c r="F49" s="29" t="s">
        <v>103</v>
      </c>
    </row>
    <row r="50" spans="1:7" x14ac:dyDescent="0.6">
      <c r="B50" s="29" t="s">
        <v>160</v>
      </c>
      <c r="C50" s="29" t="s">
        <v>161</v>
      </c>
      <c r="D50" s="31">
        <v>0</v>
      </c>
      <c r="E50" s="31">
        <v>0</v>
      </c>
      <c r="F50" s="29" t="s">
        <v>103</v>
      </c>
    </row>
    <row r="51" spans="1:7" x14ac:dyDescent="0.6">
      <c r="B51" s="29" t="s">
        <v>162</v>
      </c>
      <c r="C51" s="29" t="s">
        <v>163</v>
      </c>
      <c r="D51" s="31">
        <v>0</v>
      </c>
      <c r="E51" s="31">
        <v>310</v>
      </c>
      <c r="F51" s="29" t="s">
        <v>103</v>
      </c>
    </row>
    <row r="52" spans="1:7" x14ac:dyDescent="0.6">
      <c r="B52" s="29" t="s">
        <v>164</v>
      </c>
      <c r="C52" s="29" t="s">
        <v>165</v>
      </c>
      <c r="D52" s="31">
        <v>0</v>
      </c>
      <c r="E52" s="31">
        <v>0</v>
      </c>
      <c r="F52" s="29" t="s">
        <v>103</v>
      </c>
    </row>
    <row r="53" spans="1:7" x14ac:dyDescent="0.6">
      <c r="B53" s="29" t="s">
        <v>166</v>
      </c>
      <c r="C53" s="29" t="s">
        <v>167</v>
      </c>
      <c r="D53" s="31">
        <v>0</v>
      </c>
      <c r="E53" s="31">
        <v>0</v>
      </c>
      <c r="F53" s="29" t="s">
        <v>103</v>
      </c>
    </row>
    <row r="54" spans="1:7" ht="13.75" thickBot="1" x14ac:dyDescent="0.75">
      <c r="B54" s="28" t="s">
        <v>168</v>
      </c>
      <c r="C54" s="28" t="s">
        <v>169</v>
      </c>
      <c r="D54" s="32">
        <v>0</v>
      </c>
      <c r="E54" s="32">
        <v>0</v>
      </c>
      <c r="F54" s="28" t="s">
        <v>103</v>
      </c>
    </row>
    <row r="57" spans="1:7" ht="13.75" thickBot="1" x14ac:dyDescent="0.75">
      <c r="A57" t="s">
        <v>99</v>
      </c>
    </row>
    <row r="58" spans="1:7" ht="13.75" thickBot="1" x14ac:dyDescent="0.75">
      <c r="B58" s="27" t="s">
        <v>72</v>
      </c>
      <c r="C58" s="27" t="s">
        <v>73</v>
      </c>
      <c r="D58" s="27" t="s">
        <v>74</v>
      </c>
      <c r="E58" s="27" t="s">
        <v>75</v>
      </c>
      <c r="F58" s="27" t="s">
        <v>76</v>
      </c>
      <c r="G58" s="27" t="s">
        <v>77</v>
      </c>
    </row>
    <row r="59" spans="1:7" x14ac:dyDescent="0.6">
      <c r="B59" s="29" t="s">
        <v>170</v>
      </c>
      <c r="C59" s="29" t="s">
        <v>171</v>
      </c>
      <c r="D59" s="31">
        <v>7579.4946218905479</v>
      </c>
      <c r="E59" s="29" t="s">
        <v>172</v>
      </c>
      <c r="F59" s="29" t="s">
        <v>83</v>
      </c>
      <c r="G59" s="29">
        <v>1200.5053781094521</v>
      </c>
    </row>
    <row r="60" spans="1:7" x14ac:dyDescent="0.6">
      <c r="B60" s="29" t="s">
        <v>170</v>
      </c>
      <c r="C60" s="29" t="s">
        <v>171</v>
      </c>
      <c r="D60" s="31">
        <v>7579.4946218905479</v>
      </c>
      <c r="E60" s="29" t="s">
        <v>173</v>
      </c>
      <c r="F60" s="29" t="s">
        <v>83</v>
      </c>
      <c r="G60" s="31">
        <v>3189.4946218905479</v>
      </c>
    </row>
    <row r="61" spans="1:7" x14ac:dyDescent="0.6">
      <c r="B61" s="29" t="s">
        <v>174</v>
      </c>
      <c r="C61" s="29" t="s">
        <v>175</v>
      </c>
      <c r="D61" s="31">
        <v>4975.1243781094518</v>
      </c>
      <c r="E61" s="29" t="s">
        <v>176</v>
      </c>
      <c r="F61" s="29" t="s">
        <v>83</v>
      </c>
      <c r="G61" s="29">
        <v>3054.8756218905482</v>
      </c>
    </row>
    <row r="62" spans="1:7" x14ac:dyDescent="0.6">
      <c r="B62" s="29" t="s">
        <v>174</v>
      </c>
      <c r="C62" s="29" t="s">
        <v>175</v>
      </c>
      <c r="D62" s="31">
        <v>4975.1243781094518</v>
      </c>
      <c r="E62" s="29" t="s">
        <v>177</v>
      </c>
      <c r="F62" s="29" t="s">
        <v>83</v>
      </c>
      <c r="G62" s="31">
        <v>960.12437810945175</v>
      </c>
    </row>
    <row r="63" spans="1:7" x14ac:dyDescent="0.6">
      <c r="B63" s="29" t="s">
        <v>178</v>
      </c>
      <c r="C63" s="29" t="s">
        <v>179</v>
      </c>
      <c r="D63" s="31">
        <v>1761.1940298507457</v>
      </c>
      <c r="E63" s="29" t="s">
        <v>180</v>
      </c>
      <c r="F63" s="29" t="s">
        <v>80</v>
      </c>
      <c r="G63" s="29">
        <v>0</v>
      </c>
    </row>
    <row r="64" spans="1:7" x14ac:dyDescent="0.6">
      <c r="B64" s="29" t="s">
        <v>181</v>
      </c>
      <c r="C64" s="29" t="s">
        <v>182</v>
      </c>
      <c r="D64" s="31">
        <v>480</v>
      </c>
      <c r="E64" s="29" t="s">
        <v>183</v>
      </c>
      <c r="F64" s="29" t="s">
        <v>80</v>
      </c>
      <c r="G64" s="31">
        <v>0</v>
      </c>
    </row>
    <row r="65" spans="2:7" x14ac:dyDescent="0.6">
      <c r="B65" s="29" t="s">
        <v>184</v>
      </c>
      <c r="C65" s="29" t="s">
        <v>185</v>
      </c>
      <c r="D65" s="31">
        <v>850</v>
      </c>
      <c r="E65" s="29" t="s">
        <v>186</v>
      </c>
      <c r="F65" s="29" t="s">
        <v>80</v>
      </c>
      <c r="G65" s="31">
        <v>0</v>
      </c>
    </row>
    <row r="66" spans="2:7" x14ac:dyDescent="0.6">
      <c r="B66" s="29" t="s">
        <v>187</v>
      </c>
      <c r="C66" s="29" t="s">
        <v>188</v>
      </c>
      <c r="D66" s="31">
        <v>640.00000000000034</v>
      </c>
      <c r="E66" s="29" t="s">
        <v>189</v>
      </c>
      <c r="F66" s="29" t="s">
        <v>80</v>
      </c>
      <c r="G66" s="31">
        <v>0</v>
      </c>
    </row>
    <row r="67" spans="2:7" x14ac:dyDescent="0.6">
      <c r="B67" s="29" t="s">
        <v>190</v>
      </c>
      <c r="C67" s="29" t="s">
        <v>191</v>
      </c>
      <c r="D67" s="31">
        <v>651.09887877114329</v>
      </c>
      <c r="E67" s="29" t="s">
        <v>192</v>
      </c>
      <c r="F67" s="29" t="s">
        <v>83</v>
      </c>
      <c r="G67" s="31">
        <v>76.098878771143291</v>
      </c>
    </row>
    <row r="68" spans="2:7" x14ac:dyDescent="0.6">
      <c r="B68" s="29" t="s">
        <v>193</v>
      </c>
      <c r="C68" s="29" t="s">
        <v>194</v>
      </c>
      <c r="D68" s="31">
        <v>970</v>
      </c>
      <c r="E68" s="29" t="s">
        <v>195</v>
      </c>
      <c r="F68" s="29" t="s">
        <v>80</v>
      </c>
      <c r="G68" s="31">
        <v>0</v>
      </c>
    </row>
    <row r="69" spans="2:7" x14ac:dyDescent="0.6">
      <c r="B69" s="29" t="s">
        <v>196</v>
      </c>
      <c r="C69" s="29" t="s">
        <v>197</v>
      </c>
      <c r="D69" s="31">
        <v>107</v>
      </c>
      <c r="E69" s="29" t="s">
        <v>198</v>
      </c>
      <c r="F69" s="29" t="s">
        <v>80</v>
      </c>
      <c r="G69" s="31">
        <v>0</v>
      </c>
    </row>
    <row r="70" spans="2:7" x14ac:dyDescent="0.6">
      <c r="B70" s="29" t="s">
        <v>199</v>
      </c>
      <c r="C70" s="29" t="s">
        <v>200</v>
      </c>
      <c r="D70" s="31">
        <v>80</v>
      </c>
      <c r="E70" s="29" t="s">
        <v>201</v>
      </c>
      <c r="F70" s="29" t="s">
        <v>80</v>
      </c>
      <c r="G70" s="31">
        <v>0</v>
      </c>
    </row>
    <row r="71" spans="2:7" x14ac:dyDescent="0.6">
      <c r="B71" s="29" t="s">
        <v>202</v>
      </c>
      <c r="C71" s="29" t="s">
        <v>203</v>
      </c>
      <c r="D71" s="31">
        <v>310</v>
      </c>
      <c r="E71" s="29" t="s">
        <v>204</v>
      </c>
      <c r="F71" s="29" t="s">
        <v>83</v>
      </c>
      <c r="G71" s="31">
        <v>310</v>
      </c>
    </row>
    <row r="72" spans="2:7" x14ac:dyDescent="0.6">
      <c r="B72" s="29" t="s">
        <v>205</v>
      </c>
      <c r="C72" s="29" t="s">
        <v>206</v>
      </c>
      <c r="D72" s="31">
        <v>0</v>
      </c>
      <c r="E72" s="29" t="s">
        <v>207</v>
      </c>
      <c r="F72" s="29" t="s">
        <v>80</v>
      </c>
      <c r="G72" s="31">
        <v>0</v>
      </c>
    </row>
    <row r="73" spans="2:7" x14ac:dyDescent="0.6">
      <c r="B73" s="29" t="s">
        <v>78</v>
      </c>
      <c r="C73" s="29" t="s">
        <v>79</v>
      </c>
      <c r="D73" s="31">
        <v>1999.9999999999993</v>
      </c>
      <c r="E73" s="29" t="s">
        <v>208</v>
      </c>
      <c r="F73" s="29" t="s">
        <v>83</v>
      </c>
      <c r="G73" s="31">
        <v>999.99999999999932</v>
      </c>
    </row>
    <row r="74" spans="2:7" x14ac:dyDescent="0.6">
      <c r="B74" s="29" t="s">
        <v>78</v>
      </c>
      <c r="C74" s="29" t="s">
        <v>79</v>
      </c>
      <c r="D74" s="31">
        <v>1999.9999999999993</v>
      </c>
      <c r="E74" s="29" t="s">
        <v>209</v>
      </c>
      <c r="F74" s="29" t="s">
        <v>80</v>
      </c>
      <c r="G74" s="29">
        <v>0</v>
      </c>
    </row>
    <row r="75" spans="2:7" x14ac:dyDescent="0.6">
      <c r="B75" s="29" t="s">
        <v>210</v>
      </c>
      <c r="C75" s="29" t="s">
        <v>211</v>
      </c>
      <c r="D75" s="31">
        <v>2326.9048489203979</v>
      </c>
      <c r="E75" s="29" t="s">
        <v>212</v>
      </c>
      <c r="F75" s="29" t="s">
        <v>80</v>
      </c>
      <c r="G75" s="29">
        <v>0</v>
      </c>
    </row>
    <row r="76" spans="2:7" x14ac:dyDescent="0.6">
      <c r="B76" s="29" t="s">
        <v>81</v>
      </c>
      <c r="C76" s="29" t="s">
        <v>82</v>
      </c>
      <c r="D76" s="31">
        <v>3456.2495475820906</v>
      </c>
      <c r="E76" s="29" t="s">
        <v>213</v>
      </c>
      <c r="F76" s="29" t="s">
        <v>83</v>
      </c>
      <c r="G76" s="31">
        <v>1456.2495475820906</v>
      </c>
    </row>
    <row r="77" spans="2:7" x14ac:dyDescent="0.6">
      <c r="B77" s="29" t="s">
        <v>81</v>
      </c>
      <c r="C77" s="29" t="s">
        <v>82</v>
      </c>
      <c r="D77" s="31">
        <v>3456.2495475820906</v>
      </c>
      <c r="E77" s="29" t="s">
        <v>214</v>
      </c>
      <c r="F77" s="29" t="s">
        <v>83</v>
      </c>
      <c r="G77" s="29">
        <v>543.7504524179094</v>
      </c>
    </row>
    <row r="78" spans="2:7" x14ac:dyDescent="0.6">
      <c r="B78" s="29" t="s">
        <v>215</v>
      </c>
      <c r="C78" s="29" t="s">
        <v>216</v>
      </c>
      <c r="D78" s="31">
        <v>1000</v>
      </c>
      <c r="E78" s="29" t="s">
        <v>217</v>
      </c>
      <c r="F78" s="29" t="s">
        <v>80</v>
      </c>
      <c r="G78" s="29">
        <v>0</v>
      </c>
    </row>
    <row r="79" spans="2:7" x14ac:dyDescent="0.6">
      <c r="B79" s="29" t="s">
        <v>218</v>
      </c>
      <c r="C79" s="29" t="s">
        <v>219</v>
      </c>
      <c r="D79" s="31">
        <v>1583.0000000000002</v>
      </c>
      <c r="E79" s="29" t="s">
        <v>220</v>
      </c>
      <c r="F79" s="29" t="s">
        <v>80</v>
      </c>
      <c r="G79" s="29">
        <v>0</v>
      </c>
    </row>
    <row r="80" spans="2:7" x14ac:dyDescent="0.6">
      <c r="B80" s="29" t="s">
        <v>221</v>
      </c>
      <c r="C80" s="29" t="s">
        <v>222</v>
      </c>
      <c r="D80" s="31">
        <v>2140.0000000000005</v>
      </c>
      <c r="E80" s="29" t="s">
        <v>223</v>
      </c>
      <c r="F80" s="29" t="s">
        <v>80</v>
      </c>
      <c r="G80" s="29">
        <v>0</v>
      </c>
    </row>
    <row r="81" spans="2:7" x14ac:dyDescent="0.6">
      <c r="B81" s="29" t="s">
        <v>224</v>
      </c>
      <c r="C81" s="29" t="s">
        <v>225</v>
      </c>
      <c r="D81" s="31">
        <v>1370</v>
      </c>
      <c r="E81" s="29" t="s">
        <v>226</v>
      </c>
      <c r="F81" s="29" t="s">
        <v>80</v>
      </c>
      <c r="G81" s="29">
        <v>0</v>
      </c>
    </row>
    <row r="82" spans="2:7" x14ac:dyDescent="0.6">
      <c r="B82" s="29" t="s">
        <v>227</v>
      </c>
      <c r="C82" s="29" t="s">
        <v>228</v>
      </c>
      <c r="D82" s="31">
        <v>2000</v>
      </c>
      <c r="E82" s="29" t="s">
        <v>229</v>
      </c>
      <c r="F82" s="29" t="s">
        <v>80</v>
      </c>
      <c r="G82" s="29">
        <v>0</v>
      </c>
    </row>
    <row r="83" spans="2:7" x14ac:dyDescent="0.6">
      <c r="B83" s="29" t="s">
        <v>230</v>
      </c>
      <c r="C83" s="29" t="s">
        <v>231</v>
      </c>
      <c r="D83" s="31">
        <v>1849.9999999999991</v>
      </c>
      <c r="E83" s="29" t="s">
        <v>232</v>
      </c>
      <c r="F83" s="29" t="s">
        <v>80</v>
      </c>
      <c r="G83" s="29">
        <v>0</v>
      </c>
    </row>
    <row r="84" spans="2:7" x14ac:dyDescent="0.6">
      <c r="B84" s="29" t="s">
        <v>233</v>
      </c>
      <c r="C84" s="29" t="s">
        <v>234</v>
      </c>
      <c r="D84" s="31">
        <v>1260.0000000000005</v>
      </c>
      <c r="E84" s="29" t="s">
        <v>235</v>
      </c>
      <c r="F84" s="29" t="s">
        <v>80</v>
      </c>
      <c r="G84" s="29">
        <v>0</v>
      </c>
    </row>
    <row r="85" spans="2:7" x14ac:dyDescent="0.6">
      <c r="B85" s="29" t="s">
        <v>236</v>
      </c>
      <c r="C85" s="29" t="s">
        <v>237</v>
      </c>
      <c r="D85" s="31">
        <v>1700</v>
      </c>
      <c r="E85" s="29" t="s">
        <v>238</v>
      </c>
      <c r="F85" s="29" t="s">
        <v>80</v>
      </c>
      <c r="G85" s="29">
        <v>0</v>
      </c>
    </row>
    <row r="86" spans="2:7" x14ac:dyDescent="0.6">
      <c r="B86" s="29" t="s">
        <v>181</v>
      </c>
      <c r="C86" s="29" t="s">
        <v>182</v>
      </c>
      <c r="D86" s="31">
        <v>480</v>
      </c>
      <c r="E86" s="29" t="s">
        <v>239</v>
      </c>
      <c r="F86" s="29" t="s">
        <v>83</v>
      </c>
      <c r="G86" s="29">
        <v>420</v>
      </c>
    </row>
    <row r="87" spans="2:7" x14ac:dyDescent="0.6">
      <c r="B87" s="29" t="s">
        <v>184</v>
      </c>
      <c r="C87" s="29" t="s">
        <v>185</v>
      </c>
      <c r="D87" s="31">
        <v>850</v>
      </c>
      <c r="E87" s="29" t="s">
        <v>240</v>
      </c>
      <c r="F87" s="29" t="s">
        <v>83</v>
      </c>
      <c r="G87" s="29">
        <v>300</v>
      </c>
    </row>
    <row r="88" spans="2:7" x14ac:dyDescent="0.6">
      <c r="B88" s="29" t="s">
        <v>187</v>
      </c>
      <c r="C88" s="29" t="s">
        <v>188</v>
      </c>
      <c r="D88" s="31">
        <v>640.00000000000034</v>
      </c>
      <c r="E88" s="29" t="s">
        <v>241</v>
      </c>
      <c r="F88" s="29" t="s">
        <v>83</v>
      </c>
      <c r="G88" s="29">
        <v>159.99999999999966</v>
      </c>
    </row>
    <row r="89" spans="2:7" x14ac:dyDescent="0.6">
      <c r="B89" s="29" t="s">
        <v>190</v>
      </c>
      <c r="C89" s="29" t="s">
        <v>191</v>
      </c>
      <c r="D89" s="31">
        <v>651.09887877114329</v>
      </c>
      <c r="E89" s="29" t="s">
        <v>242</v>
      </c>
      <c r="F89" s="29" t="s">
        <v>83</v>
      </c>
      <c r="G89" s="29">
        <v>123.90112122885671</v>
      </c>
    </row>
    <row r="90" spans="2:7" x14ac:dyDescent="0.6">
      <c r="B90" s="29" t="s">
        <v>193</v>
      </c>
      <c r="C90" s="29" t="s">
        <v>194</v>
      </c>
      <c r="D90" s="31">
        <v>970</v>
      </c>
      <c r="E90" s="29" t="s">
        <v>243</v>
      </c>
      <c r="F90" s="29" t="s">
        <v>80</v>
      </c>
      <c r="G90" s="29">
        <v>0</v>
      </c>
    </row>
    <row r="91" spans="2:7" x14ac:dyDescent="0.6">
      <c r="B91" s="29" t="s">
        <v>196</v>
      </c>
      <c r="C91" s="29" t="s">
        <v>197</v>
      </c>
      <c r="D91" s="31">
        <v>107</v>
      </c>
      <c r="E91" s="29" t="s">
        <v>244</v>
      </c>
      <c r="F91" s="29" t="s">
        <v>83</v>
      </c>
      <c r="G91" s="29">
        <v>93</v>
      </c>
    </row>
    <row r="92" spans="2:7" x14ac:dyDescent="0.6">
      <c r="B92" s="29" t="s">
        <v>199</v>
      </c>
      <c r="C92" s="29" t="s">
        <v>200</v>
      </c>
      <c r="D92" s="31">
        <v>80</v>
      </c>
      <c r="E92" s="29" t="s">
        <v>245</v>
      </c>
      <c r="F92" s="29" t="s">
        <v>83</v>
      </c>
      <c r="G92" s="29">
        <v>320</v>
      </c>
    </row>
    <row r="93" spans="2:7" x14ac:dyDescent="0.6">
      <c r="B93" s="29" t="s">
        <v>202</v>
      </c>
      <c r="C93" s="29" t="s">
        <v>203</v>
      </c>
      <c r="D93" s="31">
        <v>310</v>
      </c>
      <c r="E93" s="29" t="s">
        <v>246</v>
      </c>
      <c r="F93" s="29" t="s">
        <v>80</v>
      </c>
      <c r="G93" s="29">
        <v>0</v>
      </c>
    </row>
    <row r="94" spans="2:7" ht="13.75" thickBot="1" x14ac:dyDescent="0.75">
      <c r="B94" s="28" t="s">
        <v>205</v>
      </c>
      <c r="C94" s="28" t="s">
        <v>206</v>
      </c>
      <c r="D94" s="32">
        <v>0</v>
      </c>
      <c r="E94" s="28" t="s">
        <v>247</v>
      </c>
      <c r="F94" s="28" t="s">
        <v>83</v>
      </c>
      <c r="G94" s="28">
        <v>470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CBADF-EDEC-4691-B835-ADA4A46B1B55}">
  <sheetPr>
    <tabColor theme="6" tint="0.59999389629810485"/>
  </sheetPr>
  <dimension ref="A1:H82"/>
  <sheetViews>
    <sheetView showGridLines="0" workbookViewId="0"/>
  </sheetViews>
  <sheetFormatPr defaultColWidth="8.86328125" defaultRowHeight="13" x14ac:dyDescent="0.6"/>
  <cols>
    <col min="1" max="1" width="2.1328125" customWidth="1"/>
    <col min="2" max="2" width="6" bestFit="1" customWidth="1"/>
    <col min="3" max="3" width="14.26953125" bestFit="1" customWidth="1"/>
    <col min="4" max="5" width="11.86328125" bestFit="1" customWidth="1"/>
    <col min="6" max="6" width="10" bestFit="1" customWidth="1"/>
    <col min="7" max="7" width="11.86328125" bestFit="1" customWidth="1"/>
    <col min="8" max="8" width="12.7265625" bestFit="1" customWidth="1"/>
  </cols>
  <sheetData>
    <row r="1" spans="1:8" x14ac:dyDescent="0.6">
      <c r="A1" s="1" t="s">
        <v>248</v>
      </c>
    </row>
    <row r="2" spans="1:8" x14ac:dyDescent="0.6">
      <c r="A2" s="1" t="s">
        <v>71</v>
      </c>
    </row>
    <row r="3" spans="1:8" x14ac:dyDescent="0.6">
      <c r="A3" s="1" t="s">
        <v>249</v>
      </c>
    </row>
    <row r="6" spans="1:8" ht="13.75" thickBot="1" x14ac:dyDescent="0.75">
      <c r="A6" t="s">
        <v>97</v>
      </c>
    </row>
    <row r="7" spans="1:8" x14ac:dyDescent="0.6">
      <c r="B7" s="33"/>
      <c r="C7" s="33"/>
      <c r="D7" s="33" t="s">
        <v>250</v>
      </c>
      <c r="E7" s="33" t="s">
        <v>252</v>
      </c>
      <c r="F7" s="33" t="s">
        <v>253</v>
      </c>
      <c r="G7" s="33" t="s">
        <v>255</v>
      </c>
      <c r="H7" s="33" t="s">
        <v>255</v>
      </c>
    </row>
    <row r="8" spans="1:8" ht="13.75" thickBot="1" x14ac:dyDescent="0.75">
      <c r="B8" s="34" t="s">
        <v>72</v>
      </c>
      <c r="C8" s="34" t="s">
        <v>73</v>
      </c>
      <c r="D8" s="34" t="s">
        <v>251</v>
      </c>
      <c r="E8" s="34" t="s">
        <v>57</v>
      </c>
      <c r="F8" s="34" t="s">
        <v>254</v>
      </c>
      <c r="G8" s="34" t="s">
        <v>256</v>
      </c>
      <c r="H8" s="34" t="s">
        <v>257</v>
      </c>
    </row>
    <row r="9" spans="1:8" x14ac:dyDescent="0.6">
      <c r="B9" s="29" t="s">
        <v>101</v>
      </c>
      <c r="C9" s="29" t="s">
        <v>102</v>
      </c>
      <c r="D9" s="29">
        <v>1000</v>
      </c>
      <c r="E9" s="29">
        <v>0</v>
      </c>
      <c r="F9" s="29">
        <v>23.801499999997759</v>
      </c>
      <c r="G9" s="29">
        <v>1E+30</v>
      </c>
      <c r="H9" s="29">
        <v>0</v>
      </c>
    </row>
    <row r="10" spans="1:8" x14ac:dyDescent="0.6">
      <c r="B10" s="29" t="s">
        <v>104</v>
      </c>
      <c r="C10" s="29" t="s">
        <v>105</v>
      </c>
      <c r="D10" s="29">
        <v>0</v>
      </c>
      <c r="E10" s="29">
        <v>0</v>
      </c>
      <c r="F10" s="29">
        <v>-1.455774999994901</v>
      </c>
      <c r="G10" s="29">
        <v>0</v>
      </c>
      <c r="H10" s="29">
        <v>1E+30</v>
      </c>
    </row>
    <row r="11" spans="1:8" x14ac:dyDescent="0.6">
      <c r="B11" s="29" t="s">
        <v>106</v>
      </c>
      <c r="C11" s="29" t="s">
        <v>107</v>
      </c>
      <c r="D11" s="29">
        <v>1583.0000000000002</v>
      </c>
      <c r="E11" s="29">
        <v>0</v>
      </c>
      <c r="F11" s="29">
        <v>24.501499999998487</v>
      </c>
      <c r="G11" s="29">
        <v>1E+30</v>
      </c>
      <c r="H11" s="29">
        <v>2.1000000000021868</v>
      </c>
    </row>
    <row r="12" spans="1:8" x14ac:dyDescent="0.6">
      <c r="B12" s="29" t="s">
        <v>108</v>
      </c>
      <c r="C12" s="29" t="s">
        <v>109</v>
      </c>
      <c r="D12" s="29">
        <v>0</v>
      </c>
      <c r="E12" s="29">
        <v>-2.1000000000021872</v>
      </c>
      <c r="F12" s="29">
        <v>-2.8557750000036322</v>
      </c>
      <c r="G12" s="29">
        <v>2.1000000000021872</v>
      </c>
      <c r="H12" s="29">
        <v>1E+30</v>
      </c>
    </row>
    <row r="13" spans="1:8" x14ac:dyDescent="0.6">
      <c r="B13" s="29" t="s">
        <v>110</v>
      </c>
      <c r="C13" s="29" t="s">
        <v>111</v>
      </c>
      <c r="D13" s="29">
        <v>0</v>
      </c>
      <c r="E13" s="29">
        <v>-14.700000000004366</v>
      </c>
      <c r="F13" s="29">
        <v>8.9014999999999418</v>
      </c>
      <c r="G13" s="29">
        <v>14.700000000004366</v>
      </c>
      <c r="H13" s="29">
        <v>1E+30</v>
      </c>
    </row>
    <row r="14" spans="1:8" x14ac:dyDescent="0.6">
      <c r="B14" s="29" t="s">
        <v>112</v>
      </c>
      <c r="C14" s="29" t="s">
        <v>113</v>
      </c>
      <c r="D14" s="29">
        <v>2140.0000000000005</v>
      </c>
      <c r="E14" s="29">
        <v>0</v>
      </c>
      <c r="F14" s="29">
        <v>-1.6557749999956286</v>
      </c>
      <c r="G14" s="29">
        <v>1E+30</v>
      </c>
      <c r="H14" s="29">
        <v>7.0367151000050203</v>
      </c>
    </row>
    <row r="15" spans="1:8" x14ac:dyDescent="0.6">
      <c r="B15" s="29" t="s">
        <v>114</v>
      </c>
      <c r="C15" s="29" t="s">
        <v>115</v>
      </c>
      <c r="D15" s="29">
        <v>530.18024471680462</v>
      </c>
      <c r="E15" s="29">
        <v>0</v>
      </c>
      <c r="F15" s="29">
        <v>26.701499999999214</v>
      </c>
      <c r="G15" s="29">
        <v>0</v>
      </c>
      <c r="H15" s="29">
        <v>3.2500000000036122</v>
      </c>
    </row>
    <row r="16" spans="1:8" x14ac:dyDescent="0.6">
      <c r="B16" s="29" t="s">
        <v>116</v>
      </c>
      <c r="C16" s="29" t="s">
        <v>117</v>
      </c>
      <c r="D16" s="29">
        <v>839.81975528319538</v>
      </c>
      <c r="E16" s="29">
        <v>0</v>
      </c>
      <c r="F16" s="29">
        <v>1.4442249999992782</v>
      </c>
      <c r="G16" s="29">
        <v>3.2500000000036122</v>
      </c>
      <c r="H16" s="29">
        <v>0</v>
      </c>
    </row>
    <row r="17" spans="2:8" x14ac:dyDescent="0.6">
      <c r="B17" s="29" t="s">
        <v>118</v>
      </c>
      <c r="C17" s="29" t="s">
        <v>119</v>
      </c>
      <c r="D17" s="29">
        <v>2000</v>
      </c>
      <c r="E17" s="29">
        <v>0</v>
      </c>
      <c r="F17" s="29">
        <v>25.601499999997031</v>
      </c>
      <c r="G17" s="29">
        <v>1E+30</v>
      </c>
      <c r="H17" s="29">
        <v>1.2999999999956331</v>
      </c>
    </row>
    <row r="18" spans="2:8" x14ac:dyDescent="0.6">
      <c r="B18" s="29" t="s">
        <v>120</v>
      </c>
      <c r="C18" s="29" t="s">
        <v>121</v>
      </c>
      <c r="D18" s="29">
        <v>0</v>
      </c>
      <c r="E18" s="29">
        <v>-1.2999999999956331</v>
      </c>
      <c r="F18" s="29">
        <v>-0.95577499999853899</v>
      </c>
      <c r="G18" s="29">
        <v>1.2999999999956331</v>
      </c>
      <c r="H18" s="29">
        <v>1E+30</v>
      </c>
    </row>
    <row r="19" spans="2:8" x14ac:dyDescent="0.6">
      <c r="B19" s="29" t="s">
        <v>122</v>
      </c>
      <c r="C19" s="29" t="s">
        <v>123</v>
      </c>
      <c r="D19" s="29">
        <v>0</v>
      </c>
      <c r="E19" s="29">
        <v>-3.25000000000361</v>
      </c>
      <c r="F19" s="29">
        <v>23.051499999997759</v>
      </c>
      <c r="G19" s="29">
        <v>3.25000000000361</v>
      </c>
      <c r="H19" s="29">
        <v>1E+30</v>
      </c>
    </row>
    <row r="20" spans="2:8" x14ac:dyDescent="0.6">
      <c r="B20" s="29" t="s">
        <v>124</v>
      </c>
      <c r="C20" s="29" t="s">
        <v>125</v>
      </c>
      <c r="D20" s="29">
        <v>1849.9999999999991</v>
      </c>
      <c r="E20" s="29">
        <v>0</v>
      </c>
      <c r="F20" s="29">
        <v>1.044225000001461</v>
      </c>
      <c r="G20" s="29">
        <v>1E+30</v>
      </c>
      <c r="H20" s="29">
        <v>3.2500000000036113</v>
      </c>
    </row>
    <row r="21" spans="2:8" x14ac:dyDescent="0.6">
      <c r="B21" s="29" t="s">
        <v>126</v>
      </c>
      <c r="C21" s="29" t="s">
        <v>127</v>
      </c>
      <c r="D21" s="29">
        <v>0</v>
      </c>
      <c r="E21" s="29">
        <v>-16.499999999999993</v>
      </c>
      <c r="F21" s="29">
        <v>16.001500000002125</v>
      </c>
      <c r="G21" s="29">
        <v>16.499999999999993</v>
      </c>
      <c r="H21" s="29">
        <v>1E+30</v>
      </c>
    </row>
    <row r="22" spans="2:8" x14ac:dyDescent="0.6">
      <c r="B22" s="29" t="s">
        <v>128</v>
      </c>
      <c r="C22" s="29" t="s">
        <v>129</v>
      </c>
      <c r="D22" s="29">
        <v>1260.0000000000005</v>
      </c>
      <c r="E22" s="29">
        <v>0</v>
      </c>
      <c r="F22" s="29">
        <v>7.2442250000021886</v>
      </c>
      <c r="G22" s="29">
        <v>1E+30</v>
      </c>
      <c r="H22" s="29">
        <v>15.936715100002825</v>
      </c>
    </row>
    <row r="23" spans="2:8" x14ac:dyDescent="0.6">
      <c r="B23" s="29" t="s">
        <v>130</v>
      </c>
      <c r="C23" s="29" t="s">
        <v>131</v>
      </c>
      <c r="D23" s="29">
        <v>0</v>
      </c>
      <c r="E23" s="29">
        <v>-12.599999999998559</v>
      </c>
      <c r="F23" s="29">
        <v>13.501499999998487</v>
      </c>
      <c r="G23" s="29">
        <v>12.599999999998559</v>
      </c>
      <c r="H23" s="29">
        <v>1E+30</v>
      </c>
    </row>
    <row r="24" spans="2:8" x14ac:dyDescent="0.6">
      <c r="B24" s="29" t="s">
        <v>132</v>
      </c>
      <c r="C24" s="29" t="s">
        <v>133</v>
      </c>
      <c r="D24" s="29">
        <v>1700</v>
      </c>
      <c r="E24" s="29">
        <v>0</v>
      </c>
      <c r="F24" s="29">
        <v>0.84422499999709544</v>
      </c>
      <c r="G24" s="29">
        <v>1E+30</v>
      </c>
      <c r="H24" s="29">
        <v>9.5367150999977461</v>
      </c>
    </row>
    <row r="25" spans="2:8" x14ac:dyDescent="0.6">
      <c r="B25" s="29" t="s">
        <v>134</v>
      </c>
      <c r="C25" s="29" t="s">
        <v>135</v>
      </c>
      <c r="D25" s="29">
        <v>480</v>
      </c>
      <c r="E25" s="29">
        <v>0</v>
      </c>
      <c r="F25" s="29">
        <v>10</v>
      </c>
      <c r="G25" s="29">
        <v>9.7999999999992724</v>
      </c>
      <c r="H25" s="29">
        <v>13.400000000005093</v>
      </c>
    </row>
    <row r="26" spans="2:8" x14ac:dyDescent="0.6">
      <c r="B26" s="29" t="s">
        <v>136</v>
      </c>
      <c r="C26" s="29" t="s">
        <v>137</v>
      </c>
      <c r="D26" s="29">
        <v>0</v>
      </c>
      <c r="E26" s="29">
        <v>-13.400000000005093</v>
      </c>
      <c r="F26" s="29">
        <v>5.8999999999978172</v>
      </c>
      <c r="G26" s="29">
        <v>13.400000000005093</v>
      </c>
      <c r="H26" s="29">
        <v>1E+30</v>
      </c>
    </row>
    <row r="27" spans="2:8" x14ac:dyDescent="0.6">
      <c r="B27" s="29" t="s">
        <v>138</v>
      </c>
      <c r="C27" s="29" t="s">
        <v>139</v>
      </c>
      <c r="D27" s="29">
        <v>0</v>
      </c>
      <c r="E27" s="29">
        <v>-10.699999999993452</v>
      </c>
      <c r="F27" s="29">
        <v>-15.69999999999709</v>
      </c>
      <c r="G27" s="29">
        <v>10.699999999993452</v>
      </c>
      <c r="H27" s="29">
        <v>1E+30</v>
      </c>
    </row>
    <row r="28" spans="2:8" x14ac:dyDescent="0.6">
      <c r="B28" s="29" t="s">
        <v>140</v>
      </c>
      <c r="C28" s="29" t="s">
        <v>141</v>
      </c>
      <c r="D28" s="29">
        <v>850</v>
      </c>
      <c r="E28" s="29">
        <v>0</v>
      </c>
      <c r="F28" s="29">
        <v>4.2999999999992724</v>
      </c>
      <c r="G28" s="29">
        <v>24.80000000000291</v>
      </c>
      <c r="H28" s="29">
        <v>10.699999999993452</v>
      </c>
    </row>
    <row r="29" spans="2:8" x14ac:dyDescent="0.6">
      <c r="B29" s="29" t="s">
        <v>142</v>
      </c>
      <c r="C29" s="29" t="s">
        <v>143</v>
      </c>
      <c r="D29" s="29">
        <v>133.09515107960249</v>
      </c>
      <c r="E29" s="29">
        <v>0</v>
      </c>
      <c r="F29" s="29">
        <v>19.399999999997817</v>
      </c>
      <c r="G29" s="29">
        <v>0.40000000000145519</v>
      </c>
      <c r="H29" s="29">
        <v>0.30000000000291038</v>
      </c>
    </row>
    <row r="30" spans="2:8" x14ac:dyDescent="0.6">
      <c r="B30" s="29" t="s">
        <v>144</v>
      </c>
      <c r="C30" s="29" t="s">
        <v>145</v>
      </c>
      <c r="D30" s="29">
        <v>506.90484892039785</v>
      </c>
      <c r="E30" s="29">
        <v>0</v>
      </c>
      <c r="F30" s="29">
        <v>28.700000000000728</v>
      </c>
      <c r="G30" s="29">
        <v>0.30000000000291038</v>
      </c>
      <c r="H30" s="29">
        <v>6.2999999999992724</v>
      </c>
    </row>
    <row r="31" spans="2:8" x14ac:dyDescent="0.6">
      <c r="B31" s="29" t="s">
        <v>146</v>
      </c>
      <c r="C31" s="29" t="s">
        <v>147</v>
      </c>
      <c r="D31" s="29">
        <v>651.09887877114329</v>
      </c>
      <c r="E31" s="29">
        <v>0</v>
      </c>
      <c r="F31" s="29">
        <v>19.799999999999272</v>
      </c>
      <c r="G31" s="29">
        <v>0.9000000000014553</v>
      </c>
      <c r="H31" s="29">
        <v>0.40000000000145525</v>
      </c>
    </row>
    <row r="32" spans="2:8" x14ac:dyDescent="0.6">
      <c r="B32" s="29" t="s">
        <v>148</v>
      </c>
      <c r="C32" s="29" t="s">
        <v>149</v>
      </c>
      <c r="D32" s="29">
        <v>0</v>
      </c>
      <c r="E32" s="29">
        <v>-14.600000000002183</v>
      </c>
      <c r="F32" s="29">
        <v>14.5</v>
      </c>
      <c r="G32" s="29">
        <v>14.600000000002183</v>
      </c>
      <c r="H32" s="29">
        <v>1E+30</v>
      </c>
    </row>
    <row r="33" spans="1:8" x14ac:dyDescent="0.6">
      <c r="B33" s="29" t="s">
        <v>150</v>
      </c>
      <c r="C33" s="29" t="s">
        <v>151</v>
      </c>
      <c r="D33" s="29">
        <v>0</v>
      </c>
      <c r="E33" s="29">
        <v>-2</v>
      </c>
      <c r="F33" s="29">
        <v>11.5</v>
      </c>
      <c r="G33" s="29">
        <v>2</v>
      </c>
      <c r="H33" s="29">
        <v>1E+30</v>
      </c>
    </row>
    <row r="34" spans="1:8" x14ac:dyDescent="0.6">
      <c r="B34" s="29" t="s">
        <v>152</v>
      </c>
      <c r="C34" s="29" t="s">
        <v>153</v>
      </c>
      <c r="D34" s="29">
        <v>970</v>
      </c>
      <c r="E34" s="29">
        <v>0</v>
      </c>
      <c r="F34" s="29">
        <v>22.80000000000291</v>
      </c>
      <c r="G34" s="29">
        <v>6.2999999999992724</v>
      </c>
      <c r="H34" s="29">
        <v>2</v>
      </c>
    </row>
    <row r="35" spans="1:8" x14ac:dyDescent="0.6">
      <c r="B35" s="29" t="s">
        <v>154</v>
      </c>
      <c r="C35" s="29" t="s">
        <v>155</v>
      </c>
      <c r="D35" s="29">
        <v>107</v>
      </c>
      <c r="E35" s="29">
        <v>0</v>
      </c>
      <c r="F35" s="29">
        <v>9.6999999999970896</v>
      </c>
      <c r="G35" s="29">
        <v>10.100000000002183</v>
      </c>
      <c r="H35" s="29">
        <v>11</v>
      </c>
    </row>
    <row r="36" spans="1:8" x14ac:dyDescent="0.6">
      <c r="B36" s="29" t="s">
        <v>156</v>
      </c>
      <c r="C36" s="29" t="s">
        <v>157</v>
      </c>
      <c r="D36" s="29">
        <v>0</v>
      </c>
      <c r="E36" s="29">
        <v>-11</v>
      </c>
      <c r="F36" s="29">
        <v>8</v>
      </c>
      <c r="G36" s="29">
        <v>11</v>
      </c>
      <c r="H36" s="29">
        <v>1E+30</v>
      </c>
    </row>
    <row r="37" spans="1:8" x14ac:dyDescent="0.6">
      <c r="B37" s="29" t="s">
        <v>158</v>
      </c>
      <c r="C37" s="29" t="s">
        <v>159</v>
      </c>
      <c r="D37" s="29">
        <v>80</v>
      </c>
      <c r="E37" s="29">
        <v>0</v>
      </c>
      <c r="F37" s="29">
        <v>14.700000000000728</v>
      </c>
      <c r="G37" s="29">
        <v>5.0999999999985484</v>
      </c>
      <c r="H37" s="29">
        <v>34.20000000000438</v>
      </c>
    </row>
    <row r="38" spans="1:8" x14ac:dyDescent="0.6">
      <c r="B38" s="29" t="s">
        <v>160</v>
      </c>
      <c r="C38" s="29" t="s">
        <v>161</v>
      </c>
      <c r="D38" s="29">
        <v>0</v>
      </c>
      <c r="E38" s="29">
        <v>-34.20000000000438</v>
      </c>
      <c r="F38" s="29">
        <v>-10.200000000000728</v>
      </c>
      <c r="G38" s="29">
        <v>34.20000000000438</v>
      </c>
      <c r="H38" s="29">
        <v>1E+30</v>
      </c>
    </row>
    <row r="39" spans="1:8" x14ac:dyDescent="0.6">
      <c r="B39" s="29" t="s">
        <v>162</v>
      </c>
      <c r="C39" s="29" t="s">
        <v>163</v>
      </c>
      <c r="D39" s="29">
        <v>310</v>
      </c>
      <c r="E39" s="29">
        <v>0</v>
      </c>
      <c r="F39" s="29">
        <v>20.700000000000728</v>
      </c>
      <c r="G39" s="29">
        <v>1E+30</v>
      </c>
      <c r="H39" s="29">
        <v>0.90000000000145519</v>
      </c>
    </row>
    <row r="40" spans="1:8" x14ac:dyDescent="0.6">
      <c r="B40" s="29" t="s">
        <v>164</v>
      </c>
      <c r="C40" s="29" t="s">
        <v>165</v>
      </c>
      <c r="D40" s="29">
        <v>0</v>
      </c>
      <c r="E40" s="29">
        <v>-22.400000000001455</v>
      </c>
      <c r="F40" s="29">
        <v>7.6000000000021828</v>
      </c>
      <c r="G40" s="29">
        <v>22.400000000001455</v>
      </c>
      <c r="H40" s="29">
        <v>1E+30</v>
      </c>
    </row>
    <row r="41" spans="1:8" x14ac:dyDescent="0.6">
      <c r="B41" s="29" t="s">
        <v>166</v>
      </c>
      <c r="C41" s="29" t="s">
        <v>167</v>
      </c>
      <c r="D41" s="29">
        <v>0</v>
      </c>
      <c r="E41" s="29">
        <v>-0.30000000000291038</v>
      </c>
      <c r="F41" s="29">
        <v>11.69999999999709</v>
      </c>
      <c r="G41" s="29">
        <v>0.30000000000291038</v>
      </c>
      <c r="H41" s="29">
        <v>1E+30</v>
      </c>
    </row>
    <row r="42" spans="1:8" ht="13.75" thickBot="1" x14ac:dyDescent="0.75">
      <c r="B42" s="28" t="s">
        <v>168</v>
      </c>
      <c r="C42" s="28" t="s">
        <v>169</v>
      </c>
      <c r="D42" s="28">
        <v>0</v>
      </c>
      <c r="E42" s="28">
        <v>0</v>
      </c>
      <c r="F42" s="28">
        <v>21.30000000000291</v>
      </c>
      <c r="G42" s="28">
        <v>7.7999999999992724</v>
      </c>
      <c r="H42" s="28">
        <v>0.30000000000291038</v>
      </c>
    </row>
    <row r="44" spans="1:8" ht="13.75" thickBot="1" x14ac:dyDescent="0.75">
      <c r="A44" t="s">
        <v>99</v>
      </c>
    </row>
    <row r="45" spans="1:8" x14ac:dyDescent="0.6">
      <c r="B45" s="33"/>
      <c r="C45" s="33"/>
      <c r="D45" s="33" t="s">
        <v>250</v>
      </c>
      <c r="E45" s="33" t="s">
        <v>258</v>
      </c>
      <c r="F45" s="33" t="s">
        <v>259</v>
      </c>
      <c r="G45" s="33" t="s">
        <v>255</v>
      </c>
      <c r="H45" s="33" t="s">
        <v>255</v>
      </c>
    </row>
    <row r="46" spans="1:8" ht="13.75" thickBot="1" x14ac:dyDescent="0.75">
      <c r="B46" s="34" t="s">
        <v>72</v>
      </c>
      <c r="C46" s="34" t="s">
        <v>73</v>
      </c>
      <c r="D46" s="34" t="s">
        <v>251</v>
      </c>
      <c r="E46" s="34" t="s">
        <v>6</v>
      </c>
      <c r="F46" s="34" t="s">
        <v>260</v>
      </c>
      <c r="G46" s="34" t="s">
        <v>256</v>
      </c>
      <c r="H46" s="34" t="s">
        <v>257</v>
      </c>
    </row>
    <row r="47" spans="1:8" x14ac:dyDescent="0.6">
      <c r="B47" s="29" t="s">
        <v>170</v>
      </c>
      <c r="C47" s="29" t="s">
        <v>171</v>
      </c>
      <c r="D47" s="29">
        <v>7579.4946218905479</v>
      </c>
      <c r="E47" s="29">
        <v>0</v>
      </c>
      <c r="F47" s="29">
        <v>8780</v>
      </c>
      <c r="G47" s="29">
        <v>1E+30</v>
      </c>
      <c r="H47" s="29">
        <v>1200.5053781094521</v>
      </c>
    </row>
    <row r="48" spans="1:8" x14ac:dyDescent="0.6">
      <c r="B48" s="29" t="s">
        <v>170</v>
      </c>
      <c r="C48" s="29" t="s">
        <v>171</v>
      </c>
      <c r="D48" s="29">
        <v>7579.4946218905479</v>
      </c>
      <c r="E48" s="29">
        <v>0</v>
      </c>
      <c r="F48" s="29">
        <v>4390</v>
      </c>
      <c r="G48" s="29">
        <v>3189.4946218905479</v>
      </c>
      <c r="H48" s="29">
        <v>1E+30</v>
      </c>
    </row>
    <row r="49" spans="2:8" x14ac:dyDescent="0.6">
      <c r="B49" s="29" t="s">
        <v>174</v>
      </c>
      <c r="C49" s="29" t="s">
        <v>175</v>
      </c>
      <c r="D49" s="29">
        <v>4975.1243781094518</v>
      </c>
      <c r="E49" s="29">
        <v>0</v>
      </c>
      <c r="F49" s="29">
        <v>8030</v>
      </c>
      <c r="G49" s="29">
        <v>1E+30</v>
      </c>
      <c r="H49" s="29">
        <v>3054.8756218905482</v>
      </c>
    </row>
    <row r="50" spans="2:8" x14ac:dyDescent="0.6">
      <c r="B50" s="29" t="s">
        <v>174</v>
      </c>
      <c r="C50" s="29" t="s">
        <v>175</v>
      </c>
      <c r="D50" s="29">
        <v>4975.1243781094518</v>
      </c>
      <c r="E50" s="29">
        <v>0</v>
      </c>
      <c r="F50" s="29">
        <v>4015</v>
      </c>
      <c r="G50" s="29">
        <v>960.12437810945175</v>
      </c>
      <c r="H50" s="29">
        <v>1E+30</v>
      </c>
    </row>
    <row r="51" spans="2:8" x14ac:dyDescent="0.6">
      <c r="B51" s="29" t="s">
        <v>178</v>
      </c>
      <c r="C51" s="29" t="s">
        <v>179</v>
      </c>
      <c r="D51" s="29">
        <v>1761.1940298507457</v>
      </c>
      <c r="E51" s="29">
        <v>19.799999999999272</v>
      </c>
      <c r="F51" s="29">
        <v>0</v>
      </c>
      <c r="G51" s="29">
        <v>123.9011212288567</v>
      </c>
      <c r="H51" s="29">
        <v>76.098878771143291</v>
      </c>
    </row>
    <row r="52" spans="2:8" x14ac:dyDescent="0.6">
      <c r="B52" s="29" t="s">
        <v>181</v>
      </c>
      <c r="C52" s="29" t="s">
        <v>182</v>
      </c>
      <c r="D52" s="29">
        <v>480</v>
      </c>
      <c r="E52" s="29">
        <v>-9.7999999999992724</v>
      </c>
      <c r="F52" s="29">
        <v>480</v>
      </c>
      <c r="G52" s="29">
        <v>76.098878771143291</v>
      </c>
      <c r="H52" s="29">
        <v>123.9011212288567</v>
      </c>
    </row>
    <row r="53" spans="2:8" x14ac:dyDescent="0.6">
      <c r="B53" s="29" t="s">
        <v>184</v>
      </c>
      <c r="C53" s="29" t="s">
        <v>185</v>
      </c>
      <c r="D53" s="29">
        <v>850</v>
      </c>
      <c r="E53" s="29">
        <v>-24.80000000000291</v>
      </c>
      <c r="F53" s="29">
        <v>850</v>
      </c>
      <c r="G53" s="29">
        <v>76.098878771143291</v>
      </c>
      <c r="H53" s="29">
        <v>123.9011212288567</v>
      </c>
    </row>
    <row r="54" spans="2:8" x14ac:dyDescent="0.6">
      <c r="B54" s="29" t="s">
        <v>187</v>
      </c>
      <c r="C54" s="29" t="s">
        <v>188</v>
      </c>
      <c r="D54" s="29">
        <v>640.00000000000034</v>
      </c>
      <c r="E54" s="29">
        <v>-0.40000000000145519</v>
      </c>
      <c r="F54" s="29">
        <v>640</v>
      </c>
      <c r="G54" s="29">
        <v>76.098878771143291</v>
      </c>
      <c r="H54" s="29">
        <v>123.90112122885671</v>
      </c>
    </row>
    <row r="55" spans="2:8" x14ac:dyDescent="0.6">
      <c r="B55" s="29" t="s">
        <v>190</v>
      </c>
      <c r="C55" s="29" t="s">
        <v>191</v>
      </c>
      <c r="D55" s="29">
        <v>651.09887877114329</v>
      </c>
      <c r="E55" s="29">
        <v>0</v>
      </c>
      <c r="F55" s="29">
        <v>575</v>
      </c>
      <c r="G55" s="29">
        <v>76.098878771143291</v>
      </c>
      <c r="H55" s="29">
        <v>1E+30</v>
      </c>
    </row>
    <row r="56" spans="2:8" x14ac:dyDescent="0.6">
      <c r="B56" s="29" t="s">
        <v>193</v>
      </c>
      <c r="C56" s="29" t="s">
        <v>194</v>
      </c>
      <c r="D56" s="29">
        <v>970</v>
      </c>
      <c r="E56" s="29">
        <v>-6.2999999999992724</v>
      </c>
      <c r="F56" s="29">
        <v>970</v>
      </c>
      <c r="G56" s="29">
        <v>0</v>
      </c>
      <c r="H56" s="29">
        <v>123.9011212288567</v>
      </c>
    </row>
    <row r="57" spans="2:8" x14ac:dyDescent="0.6">
      <c r="B57" s="29" t="s">
        <v>196</v>
      </c>
      <c r="C57" s="29" t="s">
        <v>197</v>
      </c>
      <c r="D57" s="29">
        <v>107</v>
      </c>
      <c r="E57" s="29">
        <v>-10.100000000002183</v>
      </c>
      <c r="F57" s="29">
        <v>107</v>
      </c>
      <c r="G57" s="29">
        <v>76.098878771143291</v>
      </c>
      <c r="H57" s="29">
        <v>107</v>
      </c>
    </row>
    <row r="58" spans="2:8" x14ac:dyDescent="0.6">
      <c r="B58" s="29" t="s">
        <v>199</v>
      </c>
      <c r="C58" s="29" t="s">
        <v>200</v>
      </c>
      <c r="D58" s="29">
        <v>80</v>
      </c>
      <c r="E58" s="29">
        <v>-5.0999999999985484</v>
      </c>
      <c r="F58" s="29">
        <v>80</v>
      </c>
      <c r="G58" s="29">
        <v>76.098878771143262</v>
      </c>
      <c r="H58" s="29">
        <v>80</v>
      </c>
    </row>
    <row r="59" spans="2:8" x14ac:dyDescent="0.6">
      <c r="B59" s="29" t="s">
        <v>202</v>
      </c>
      <c r="C59" s="29" t="s">
        <v>203</v>
      </c>
      <c r="D59" s="29">
        <v>310</v>
      </c>
      <c r="E59" s="29">
        <v>0</v>
      </c>
      <c r="F59" s="29">
        <v>0</v>
      </c>
      <c r="G59" s="29">
        <v>310</v>
      </c>
      <c r="H59" s="29">
        <v>1E+30</v>
      </c>
    </row>
    <row r="60" spans="2:8" x14ac:dyDescent="0.6">
      <c r="B60" s="29" t="s">
        <v>205</v>
      </c>
      <c r="C60" s="29" t="s">
        <v>206</v>
      </c>
      <c r="D60" s="29">
        <v>0</v>
      </c>
      <c r="E60" s="29">
        <v>-7.7999999999992724</v>
      </c>
      <c r="F60" s="29">
        <v>0</v>
      </c>
      <c r="G60" s="29">
        <v>76.098878771143291</v>
      </c>
      <c r="H60" s="29">
        <v>0</v>
      </c>
    </row>
    <row r="61" spans="2:8" x14ac:dyDescent="0.6">
      <c r="B61" s="29" t="s">
        <v>78</v>
      </c>
      <c r="C61" s="29" t="s">
        <v>79</v>
      </c>
      <c r="D61" s="29">
        <v>1999.9999999999993</v>
      </c>
      <c r="E61" s="29">
        <v>0</v>
      </c>
      <c r="F61" s="29">
        <v>1000</v>
      </c>
      <c r="G61" s="29">
        <v>999.99999999999977</v>
      </c>
      <c r="H61" s="29">
        <v>1E+30</v>
      </c>
    </row>
    <row r="62" spans="2:8" x14ac:dyDescent="0.6">
      <c r="B62" s="29" t="s">
        <v>78</v>
      </c>
      <c r="C62" s="29" t="s">
        <v>79</v>
      </c>
      <c r="D62" s="29">
        <v>1999.9999999999993</v>
      </c>
      <c r="E62" s="29">
        <v>59.785186349851564</v>
      </c>
      <c r="F62" s="29">
        <v>2000</v>
      </c>
      <c r="G62" s="29">
        <v>328.49213800000069</v>
      </c>
      <c r="H62" s="29">
        <v>174.2809470162878</v>
      </c>
    </row>
    <row r="63" spans="2:8" x14ac:dyDescent="0.6">
      <c r="B63" s="29" t="s">
        <v>210</v>
      </c>
      <c r="C63" s="29" t="s">
        <v>211</v>
      </c>
      <c r="D63" s="29">
        <v>2326.9048489203979</v>
      </c>
      <c r="E63" s="29">
        <v>29.100000000002183</v>
      </c>
      <c r="F63" s="29">
        <v>0</v>
      </c>
      <c r="G63" s="29">
        <v>123.9011212288567</v>
      </c>
      <c r="H63" s="29">
        <v>76.098878771143291</v>
      </c>
    </row>
    <row r="64" spans="2:8" x14ac:dyDescent="0.6">
      <c r="B64" s="29" t="s">
        <v>81</v>
      </c>
      <c r="C64" s="29" t="s">
        <v>82</v>
      </c>
      <c r="D64" s="29">
        <v>3456.2495475820906</v>
      </c>
      <c r="E64" s="29">
        <v>0</v>
      </c>
      <c r="F64" s="29">
        <v>2000</v>
      </c>
      <c r="G64" s="29">
        <v>1456.2495475820906</v>
      </c>
      <c r="H64" s="29">
        <v>1E+30</v>
      </c>
    </row>
    <row r="65" spans="2:8" x14ac:dyDescent="0.6">
      <c r="B65" s="29" t="s">
        <v>81</v>
      </c>
      <c r="C65" s="29" t="s">
        <v>82</v>
      </c>
      <c r="D65" s="29">
        <v>3456.2495475820906</v>
      </c>
      <c r="E65" s="29">
        <v>0</v>
      </c>
      <c r="F65" s="29">
        <v>4000</v>
      </c>
      <c r="G65" s="29">
        <v>1E+30</v>
      </c>
      <c r="H65" s="29">
        <v>543.75045241790951</v>
      </c>
    </row>
    <row r="66" spans="2:8" x14ac:dyDescent="0.6">
      <c r="B66" s="29" t="s">
        <v>215</v>
      </c>
      <c r="C66" s="29" t="s">
        <v>216</v>
      </c>
      <c r="D66" s="29">
        <v>1000</v>
      </c>
      <c r="E66" s="29">
        <v>7.2367150999984737</v>
      </c>
      <c r="F66" s="29">
        <v>1000</v>
      </c>
      <c r="G66" s="29">
        <v>414.78593432734857</v>
      </c>
      <c r="H66" s="29">
        <v>254.75753745641521</v>
      </c>
    </row>
    <row r="67" spans="2:8" x14ac:dyDescent="0.6">
      <c r="B67" s="29" t="s">
        <v>218</v>
      </c>
      <c r="C67" s="29" t="s">
        <v>219</v>
      </c>
      <c r="D67" s="29">
        <v>1583.0000000000002</v>
      </c>
      <c r="E67" s="29">
        <v>7.9367150999991996</v>
      </c>
      <c r="F67" s="29">
        <v>1583</v>
      </c>
      <c r="G67" s="29">
        <v>414.7859343273488</v>
      </c>
      <c r="H67" s="29">
        <v>254.75753745641535</v>
      </c>
    </row>
    <row r="68" spans="2:8" x14ac:dyDescent="0.6">
      <c r="B68" s="29" t="s">
        <v>221</v>
      </c>
      <c r="C68" s="29" t="s">
        <v>222</v>
      </c>
      <c r="D68" s="29">
        <v>2140.0000000000005</v>
      </c>
      <c r="E68" s="29">
        <v>7.0367151000050203</v>
      </c>
      <c r="F68" s="29">
        <v>2140</v>
      </c>
      <c r="G68" s="29">
        <v>414.78593432734891</v>
      </c>
      <c r="H68" s="29">
        <v>254.75753745641535</v>
      </c>
    </row>
    <row r="69" spans="2:8" x14ac:dyDescent="0.6">
      <c r="B69" s="29" t="s">
        <v>224</v>
      </c>
      <c r="C69" s="29" t="s">
        <v>225</v>
      </c>
      <c r="D69" s="29">
        <v>1370</v>
      </c>
      <c r="E69" s="29">
        <v>10.136715099999927</v>
      </c>
      <c r="F69" s="29">
        <v>1370</v>
      </c>
      <c r="G69" s="29">
        <v>414.7859343273488</v>
      </c>
      <c r="H69" s="29">
        <v>254.75753745641535</v>
      </c>
    </row>
    <row r="70" spans="2:8" x14ac:dyDescent="0.6">
      <c r="B70" s="29" t="s">
        <v>227</v>
      </c>
      <c r="C70" s="29" t="s">
        <v>228</v>
      </c>
      <c r="D70" s="29">
        <v>2000</v>
      </c>
      <c r="E70" s="29">
        <v>9.0367150999977373</v>
      </c>
      <c r="F70" s="29">
        <v>2000</v>
      </c>
      <c r="G70" s="29">
        <v>414.78593432734812</v>
      </c>
      <c r="H70" s="29">
        <v>254.75753745641489</v>
      </c>
    </row>
    <row r="71" spans="2:8" x14ac:dyDescent="0.6">
      <c r="B71" s="29" t="s">
        <v>230</v>
      </c>
      <c r="C71" s="29" t="s">
        <v>231</v>
      </c>
      <c r="D71" s="29">
        <v>1849.9999999999991</v>
      </c>
      <c r="E71" s="29">
        <v>9.7367151000020975</v>
      </c>
      <c r="F71" s="29">
        <v>1850</v>
      </c>
      <c r="G71" s="29">
        <v>414.7859343273492</v>
      </c>
      <c r="H71" s="29">
        <v>254.7575374564156</v>
      </c>
    </row>
    <row r="72" spans="2:8" x14ac:dyDescent="0.6">
      <c r="B72" s="29" t="s">
        <v>233</v>
      </c>
      <c r="C72" s="29" t="s">
        <v>234</v>
      </c>
      <c r="D72" s="29">
        <v>1260.0000000000005</v>
      </c>
      <c r="E72" s="29">
        <v>15.936715100002832</v>
      </c>
      <c r="F72" s="29">
        <v>1260</v>
      </c>
      <c r="G72" s="29">
        <v>414.78593432734829</v>
      </c>
      <c r="H72" s="29">
        <v>254.75753745641504</v>
      </c>
    </row>
    <row r="73" spans="2:8" x14ac:dyDescent="0.6">
      <c r="B73" s="29" t="s">
        <v>236</v>
      </c>
      <c r="C73" s="29" t="s">
        <v>237</v>
      </c>
      <c r="D73" s="29">
        <v>1700</v>
      </c>
      <c r="E73" s="29">
        <v>9.5367150999977461</v>
      </c>
      <c r="F73" s="29">
        <v>1700</v>
      </c>
      <c r="G73" s="29">
        <v>414.7859343273488</v>
      </c>
      <c r="H73" s="29">
        <v>254.75753745641535</v>
      </c>
    </row>
    <row r="74" spans="2:8" x14ac:dyDescent="0.6">
      <c r="B74" s="29" t="s">
        <v>181</v>
      </c>
      <c r="C74" s="29" t="s">
        <v>182</v>
      </c>
      <c r="D74" s="29">
        <v>480</v>
      </c>
      <c r="E74" s="29">
        <v>0</v>
      </c>
      <c r="F74" s="29">
        <v>900</v>
      </c>
      <c r="G74" s="29">
        <v>1E+30</v>
      </c>
      <c r="H74" s="29">
        <v>420</v>
      </c>
    </row>
    <row r="75" spans="2:8" x14ac:dyDescent="0.6">
      <c r="B75" s="29" t="s">
        <v>184</v>
      </c>
      <c r="C75" s="29" t="s">
        <v>185</v>
      </c>
      <c r="D75" s="29">
        <v>850</v>
      </c>
      <c r="E75" s="29">
        <v>0</v>
      </c>
      <c r="F75" s="29">
        <v>1150</v>
      </c>
      <c r="G75" s="29">
        <v>1E+30</v>
      </c>
      <c r="H75" s="29">
        <v>300</v>
      </c>
    </row>
    <row r="76" spans="2:8" x14ac:dyDescent="0.6">
      <c r="B76" s="29" t="s">
        <v>187</v>
      </c>
      <c r="C76" s="29" t="s">
        <v>188</v>
      </c>
      <c r="D76" s="29">
        <v>640.00000000000034</v>
      </c>
      <c r="E76" s="29">
        <v>0</v>
      </c>
      <c r="F76" s="29">
        <v>800</v>
      </c>
      <c r="G76" s="29">
        <v>1E+30</v>
      </c>
      <c r="H76" s="29">
        <v>160</v>
      </c>
    </row>
    <row r="77" spans="2:8" x14ac:dyDescent="0.6">
      <c r="B77" s="29" t="s">
        <v>190</v>
      </c>
      <c r="C77" s="29" t="s">
        <v>191</v>
      </c>
      <c r="D77" s="29">
        <v>651.09887877114329</v>
      </c>
      <c r="E77" s="29">
        <v>0</v>
      </c>
      <c r="F77" s="29">
        <v>775</v>
      </c>
      <c r="G77" s="29">
        <v>1E+30</v>
      </c>
      <c r="H77" s="29">
        <v>123.9011212288567</v>
      </c>
    </row>
    <row r="78" spans="2:8" x14ac:dyDescent="0.6">
      <c r="B78" s="29" t="s">
        <v>193</v>
      </c>
      <c r="C78" s="29" t="s">
        <v>194</v>
      </c>
      <c r="D78" s="29">
        <v>970</v>
      </c>
      <c r="E78" s="29">
        <v>0</v>
      </c>
      <c r="F78" s="29">
        <v>970</v>
      </c>
      <c r="G78" s="29">
        <v>1E+30</v>
      </c>
      <c r="H78" s="29">
        <v>-2.8421709430404007E-14</v>
      </c>
    </row>
    <row r="79" spans="2:8" x14ac:dyDescent="0.6">
      <c r="B79" s="29" t="s">
        <v>196</v>
      </c>
      <c r="C79" s="29" t="s">
        <v>197</v>
      </c>
      <c r="D79" s="29">
        <v>107</v>
      </c>
      <c r="E79" s="29">
        <v>0</v>
      </c>
      <c r="F79" s="29">
        <v>200</v>
      </c>
      <c r="G79" s="29">
        <v>1E+30</v>
      </c>
      <c r="H79" s="29">
        <v>93.000000000000014</v>
      </c>
    </row>
    <row r="80" spans="2:8" x14ac:dyDescent="0.6">
      <c r="B80" s="29" t="s">
        <v>199</v>
      </c>
      <c r="C80" s="29" t="s">
        <v>200</v>
      </c>
      <c r="D80" s="29">
        <v>80</v>
      </c>
      <c r="E80" s="29">
        <v>0</v>
      </c>
      <c r="F80" s="29">
        <v>400</v>
      </c>
      <c r="G80" s="29">
        <v>1E+30</v>
      </c>
      <c r="H80" s="29">
        <v>320</v>
      </c>
    </row>
    <row r="81" spans="2:8" x14ac:dyDescent="0.6">
      <c r="B81" s="29" t="s">
        <v>202</v>
      </c>
      <c r="C81" s="29" t="s">
        <v>203</v>
      </c>
      <c r="D81" s="29">
        <v>310</v>
      </c>
      <c r="E81" s="29">
        <v>0.90000000000145519</v>
      </c>
      <c r="F81" s="29">
        <v>310</v>
      </c>
      <c r="G81" s="29">
        <v>76.098878771143291</v>
      </c>
      <c r="H81" s="29">
        <v>123.90112122885671</v>
      </c>
    </row>
    <row r="82" spans="2:8" ht="13.75" thickBot="1" x14ac:dyDescent="0.75">
      <c r="B82" s="28" t="s">
        <v>205</v>
      </c>
      <c r="C82" s="28" t="s">
        <v>206</v>
      </c>
      <c r="D82" s="28">
        <v>0</v>
      </c>
      <c r="E82" s="28">
        <v>0</v>
      </c>
      <c r="F82" s="28">
        <v>470</v>
      </c>
      <c r="G82" s="28">
        <v>1E+30</v>
      </c>
      <c r="H82" s="28">
        <v>470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0404F-DF69-4EB7-A08D-0CA98C117955}">
  <sheetPr>
    <tabColor theme="6" tint="0.59999389629810485"/>
  </sheetPr>
  <dimension ref="A1:J46"/>
  <sheetViews>
    <sheetView showGridLines="0" workbookViewId="0"/>
  </sheetViews>
  <sheetFormatPr defaultColWidth="8.86328125" defaultRowHeight="13" x14ac:dyDescent="0.6"/>
  <cols>
    <col min="1" max="1" width="2.1328125" customWidth="1"/>
    <col min="2" max="2" width="6" bestFit="1" customWidth="1"/>
    <col min="3" max="3" width="14.26953125" bestFit="1" customWidth="1"/>
    <col min="4" max="4" width="12.1328125" bestFit="1" customWidth="1"/>
    <col min="5" max="5" width="2.1328125" customWidth="1"/>
    <col min="6" max="6" width="12" bestFit="1" customWidth="1"/>
    <col min="7" max="7" width="9.86328125" bestFit="1" customWidth="1"/>
    <col min="8" max="8" width="2.1328125" customWidth="1"/>
    <col min="9" max="9" width="12.7265625" bestFit="1" customWidth="1"/>
    <col min="10" max="10" width="9.86328125" bestFit="1" customWidth="1"/>
  </cols>
  <sheetData>
    <row r="1" spans="1:10" x14ac:dyDescent="0.6">
      <c r="A1" s="1" t="s">
        <v>261</v>
      </c>
    </row>
    <row r="2" spans="1:10" x14ac:dyDescent="0.6">
      <c r="A2" s="1" t="s">
        <v>71</v>
      </c>
    </row>
    <row r="3" spans="1:10" x14ac:dyDescent="0.6">
      <c r="A3" s="1" t="s">
        <v>249</v>
      </c>
    </row>
    <row r="5" spans="1:10" ht="13.75" thickBot="1" x14ac:dyDescent="0.75"/>
    <row r="6" spans="1:10" x14ac:dyDescent="0.6">
      <c r="B6" s="33"/>
      <c r="C6" s="33" t="s">
        <v>253</v>
      </c>
      <c r="D6" s="33"/>
    </row>
    <row r="7" spans="1:10" ht="13.75" thickBot="1" x14ac:dyDescent="0.75">
      <c r="B7" s="34" t="s">
        <v>72</v>
      </c>
      <c r="C7" s="34" t="s">
        <v>73</v>
      </c>
      <c r="D7" s="34" t="s">
        <v>251</v>
      </c>
    </row>
    <row r="8" spans="1:10" ht="13.75" thickBot="1" x14ac:dyDescent="0.75">
      <c r="B8" s="28" t="s">
        <v>100</v>
      </c>
      <c r="C8" s="28" t="s">
        <v>58</v>
      </c>
      <c r="D8" s="30">
        <v>183135.10759999999</v>
      </c>
    </row>
    <row r="10" spans="1:10" ht="13.75" thickBot="1" x14ac:dyDescent="0.75"/>
    <row r="11" spans="1:10" x14ac:dyDescent="0.6">
      <c r="B11" s="33"/>
      <c r="C11" s="33" t="s">
        <v>262</v>
      </c>
      <c r="D11" s="33"/>
      <c r="F11" s="33" t="s">
        <v>263</v>
      </c>
      <c r="G11" s="33" t="s">
        <v>253</v>
      </c>
      <c r="I11" s="33" t="s">
        <v>266</v>
      </c>
      <c r="J11" s="33" t="s">
        <v>253</v>
      </c>
    </row>
    <row r="12" spans="1:10" ht="13.75" thickBot="1" x14ac:dyDescent="0.75">
      <c r="B12" s="34" t="s">
        <v>72</v>
      </c>
      <c r="C12" s="34" t="s">
        <v>73</v>
      </c>
      <c r="D12" s="34" t="s">
        <v>251</v>
      </c>
      <c r="F12" s="34" t="s">
        <v>264</v>
      </c>
      <c r="G12" s="34" t="s">
        <v>265</v>
      </c>
      <c r="I12" s="34" t="s">
        <v>264</v>
      </c>
      <c r="J12" s="34" t="s">
        <v>265</v>
      </c>
    </row>
    <row r="13" spans="1:10" x14ac:dyDescent="0.6">
      <c r="B13" s="29" t="s">
        <v>101</v>
      </c>
      <c r="C13" s="29" t="s">
        <v>102</v>
      </c>
      <c r="D13" s="31">
        <v>1000</v>
      </c>
      <c r="F13" s="31">
        <v>999.99999999979207</v>
      </c>
      <c r="G13" s="31">
        <v>183135.11</v>
      </c>
      <c r="I13" s="31">
        <v>1000</v>
      </c>
      <c r="J13" s="31">
        <v>183135.11</v>
      </c>
    </row>
    <row r="14" spans="1:10" x14ac:dyDescent="0.6">
      <c r="B14" s="29" t="s">
        <v>104</v>
      </c>
      <c r="C14" s="29" t="s">
        <v>105</v>
      </c>
      <c r="D14" s="31">
        <v>0</v>
      </c>
      <c r="F14" s="31">
        <v>0</v>
      </c>
      <c r="G14" s="31">
        <v>183135.11</v>
      </c>
      <c r="I14" s="31">
        <v>0</v>
      </c>
      <c r="J14" s="31">
        <v>183135.11</v>
      </c>
    </row>
    <row r="15" spans="1:10" x14ac:dyDescent="0.6">
      <c r="B15" s="29" t="s">
        <v>106</v>
      </c>
      <c r="C15" s="29" t="s">
        <v>107</v>
      </c>
      <c r="D15" s="31">
        <v>1583.0000000000002</v>
      </c>
      <c r="F15" s="31">
        <v>1583.0000000007149</v>
      </c>
      <c r="G15" s="31">
        <v>183135.11</v>
      </c>
      <c r="I15" s="31">
        <v>1583</v>
      </c>
      <c r="J15" s="31">
        <v>183135.11</v>
      </c>
    </row>
    <row r="16" spans="1:10" x14ac:dyDescent="0.6">
      <c r="B16" s="29" t="s">
        <v>108</v>
      </c>
      <c r="C16" s="29" t="s">
        <v>109</v>
      </c>
      <c r="D16" s="31">
        <v>0</v>
      </c>
      <c r="F16" s="31">
        <v>0</v>
      </c>
      <c r="G16" s="31">
        <v>183135.11</v>
      </c>
      <c r="I16" s="31">
        <v>-2.2737367544323206E-13</v>
      </c>
      <c r="J16" s="31">
        <v>183135.11</v>
      </c>
    </row>
    <row r="17" spans="2:10" x14ac:dyDescent="0.6">
      <c r="B17" s="29" t="s">
        <v>110</v>
      </c>
      <c r="C17" s="29" t="s">
        <v>111</v>
      </c>
      <c r="D17" s="31">
        <v>0</v>
      </c>
      <c r="F17" s="31">
        <v>6.6012180698981143E-13</v>
      </c>
      <c r="G17" s="31">
        <v>183135.11</v>
      </c>
      <c r="I17" s="31">
        <v>1.7439038781677666E-12</v>
      </c>
      <c r="J17" s="31">
        <v>183135.11</v>
      </c>
    </row>
    <row r="18" spans="2:10" x14ac:dyDescent="0.6">
      <c r="B18" s="29" t="s">
        <v>112</v>
      </c>
      <c r="C18" s="29" t="s">
        <v>113</v>
      </c>
      <c r="D18" s="31">
        <v>2140.0000000000005</v>
      </c>
      <c r="F18" s="31">
        <v>2139.9999999989996</v>
      </c>
      <c r="G18" s="31">
        <v>183135.11</v>
      </c>
      <c r="I18" s="31">
        <v>2140</v>
      </c>
      <c r="J18" s="31">
        <v>183135.11</v>
      </c>
    </row>
    <row r="19" spans="2:10" x14ac:dyDescent="0.6">
      <c r="B19" s="29" t="s">
        <v>114</v>
      </c>
      <c r="C19" s="29" t="s">
        <v>115</v>
      </c>
      <c r="D19" s="31">
        <v>530.18024471680462</v>
      </c>
      <c r="F19" s="31">
        <v>530.18024471669457</v>
      </c>
      <c r="G19" s="31">
        <v>183135.11</v>
      </c>
      <c r="I19" s="31">
        <v>530.18024471658623</v>
      </c>
      <c r="J19" s="31">
        <v>183135.11</v>
      </c>
    </row>
    <row r="20" spans="2:10" x14ac:dyDescent="0.6">
      <c r="B20" s="29" t="s">
        <v>116</v>
      </c>
      <c r="C20" s="29" t="s">
        <v>117</v>
      </c>
      <c r="D20" s="31">
        <v>839.81975528319538</v>
      </c>
      <c r="F20" s="31">
        <v>839.81975528344128</v>
      </c>
      <c r="G20" s="31">
        <v>183135.11</v>
      </c>
      <c r="I20" s="31">
        <v>839.81975528319538</v>
      </c>
      <c r="J20" s="31">
        <v>183135.11</v>
      </c>
    </row>
    <row r="21" spans="2:10" x14ac:dyDescent="0.6">
      <c r="B21" s="29" t="s">
        <v>118</v>
      </c>
      <c r="C21" s="29" t="s">
        <v>119</v>
      </c>
      <c r="D21" s="31">
        <v>2000</v>
      </c>
      <c r="F21" s="31">
        <v>2000.0000000009031</v>
      </c>
      <c r="G21" s="31">
        <v>183135.11</v>
      </c>
      <c r="I21" s="31">
        <v>2000</v>
      </c>
      <c r="J21" s="31">
        <v>183135.11</v>
      </c>
    </row>
    <row r="22" spans="2:10" x14ac:dyDescent="0.6">
      <c r="B22" s="29" t="s">
        <v>120</v>
      </c>
      <c r="C22" s="29" t="s">
        <v>121</v>
      </c>
      <c r="D22" s="31">
        <v>0</v>
      </c>
      <c r="F22" s="31">
        <v>0</v>
      </c>
      <c r="G22" s="31">
        <v>183135.11</v>
      </c>
      <c r="I22" s="31">
        <v>0</v>
      </c>
      <c r="J22" s="31">
        <v>183135.11</v>
      </c>
    </row>
    <row r="23" spans="2:10" x14ac:dyDescent="0.6">
      <c r="B23" s="29" t="s">
        <v>122</v>
      </c>
      <c r="C23" s="29" t="s">
        <v>123</v>
      </c>
      <c r="D23" s="31">
        <v>0</v>
      </c>
      <c r="F23" s="31">
        <v>6.6012180698981143E-13</v>
      </c>
      <c r="G23" s="31">
        <v>183135.11</v>
      </c>
      <c r="I23" s="31">
        <v>9.0949470177292824E-13</v>
      </c>
      <c r="J23" s="31">
        <v>183135.11</v>
      </c>
    </row>
    <row r="24" spans="2:10" x14ac:dyDescent="0.6">
      <c r="B24" s="29" t="s">
        <v>124</v>
      </c>
      <c r="C24" s="29" t="s">
        <v>125</v>
      </c>
      <c r="D24" s="31">
        <v>1849.9999999999991</v>
      </c>
      <c r="F24" s="31">
        <v>1850.0000000005421</v>
      </c>
      <c r="G24" s="31">
        <v>183135.11</v>
      </c>
      <c r="I24" s="31">
        <v>1850</v>
      </c>
      <c r="J24" s="31">
        <v>183135.11</v>
      </c>
    </row>
    <row r="25" spans="2:10" x14ac:dyDescent="0.6">
      <c r="B25" s="29" t="s">
        <v>126</v>
      </c>
      <c r="C25" s="29" t="s">
        <v>127</v>
      </c>
      <c r="D25" s="31">
        <v>0</v>
      </c>
      <c r="F25" s="31">
        <v>6.6012180698981143E-13</v>
      </c>
      <c r="G25" s="31">
        <v>183135.11</v>
      </c>
      <c r="I25" s="31">
        <v>1.7439038781677666E-12</v>
      </c>
      <c r="J25" s="31">
        <v>183135.11</v>
      </c>
    </row>
    <row r="26" spans="2:10" x14ac:dyDescent="0.6">
      <c r="B26" s="29" t="s">
        <v>128</v>
      </c>
      <c r="C26" s="29" t="s">
        <v>129</v>
      </c>
      <c r="D26" s="31">
        <v>1260.0000000000005</v>
      </c>
      <c r="F26" s="31">
        <v>1260.0000000003683</v>
      </c>
      <c r="G26" s="31">
        <v>183135.11</v>
      </c>
      <c r="I26" s="31">
        <v>1260</v>
      </c>
      <c r="J26" s="31">
        <v>183135.11</v>
      </c>
    </row>
    <row r="27" spans="2:10" x14ac:dyDescent="0.6">
      <c r="B27" s="29" t="s">
        <v>130</v>
      </c>
      <c r="C27" s="29" t="s">
        <v>131</v>
      </c>
      <c r="D27" s="31">
        <v>0</v>
      </c>
      <c r="F27" s="31">
        <v>0</v>
      </c>
      <c r="G27" s="31">
        <v>183135.11</v>
      </c>
      <c r="I27" s="31">
        <v>0</v>
      </c>
      <c r="J27" s="31">
        <v>183135.11</v>
      </c>
    </row>
    <row r="28" spans="2:10" x14ac:dyDescent="0.6">
      <c r="B28" s="29" t="s">
        <v>132</v>
      </c>
      <c r="C28" s="29" t="s">
        <v>133</v>
      </c>
      <c r="D28" s="31">
        <v>1700</v>
      </c>
      <c r="F28" s="31">
        <v>1699.9999999992053</v>
      </c>
      <c r="G28" s="31">
        <v>183135.11</v>
      </c>
      <c r="I28" s="31">
        <v>1700</v>
      </c>
      <c r="J28" s="31">
        <v>183135.11</v>
      </c>
    </row>
    <row r="29" spans="2:10" x14ac:dyDescent="0.6">
      <c r="B29" s="29" t="s">
        <v>134</v>
      </c>
      <c r="C29" s="29" t="s">
        <v>135</v>
      </c>
      <c r="D29" s="31">
        <v>480</v>
      </c>
      <c r="F29" s="31">
        <v>480</v>
      </c>
      <c r="G29" s="31">
        <v>183135.11</v>
      </c>
      <c r="I29" s="31">
        <v>479.99999999999977</v>
      </c>
      <c r="J29" s="31">
        <v>183135.11</v>
      </c>
    </row>
    <row r="30" spans="2:10" x14ac:dyDescent="0.6">
      <c r="B30" s="29" t="s">
        <v>136</v>
      </c>
      <c r="C30" s="29" t="s">
        <v>137</v>
      </c>
      <c r="D30" s="31">
        <v>0</v>
      </c>
      <c r="F30" s="31">
        <v>0</v>
      </c>
      <c r="G30" s="31">
        <v>183135.11</v>
      </c>
      <c r="I30" s="31">
        <v>4.5474735088646412E-13</v>
      </c>
      <c r="J30" s="31">
        <v>183135.11</v>
      </c>
    </row>
    <row r="31" spans="2:10" x14ac:dyDescent="0.6">
      <c r="B31" s="29" t="s">
        <v>138</v>
      </c>
      <c r="C31" s="29" t="s">
        <v>139</v>
      </c>
      <c r="D31" s="31">
        <v>0</v>
      </c>
      <c r="F31" s="31">
        <v>0</v>
      </c>
      <c r="G31" s="31">
        <v>183135.11</v>
      </c>
      <c r="I31" s="31">
        <v>-2.2737367544323206E-13</v>
      </c>
      <c r="J31" s="31">
        <v>183135.11</v>
      </c>
    </row>
    <row r="32" spans="2:10" x14ac:dyDescent="0.6">
      <c r="B32" s="29" t="s">
        <v>140</v>
      </c>
      <c r="C32" s="29" t="s">
        <v>141</v>
      </c>
      <c r="D32" s="31">
        <v>850</v>
      </c>
      <c r="F32" s="31">
        <v>850</v>
      </c>
      <c r="G32" s="31">
        <v>183135.11</v>
      </c>
      <c r="I32" s="31">
        <v>850.00000000000045</v>
      </c>
      <c r="J32" s="31">
        <v>183135.11</v>
      </c>
    </row>
    <row r="33" spans="2:10" x14ac:dyDescent="0.6">
      <c r="B33" s="29" t="s">
        <v>142</v>
      </c>
      <c r="C33" s="29" t="s">
        <v>143</v>
      </c>
      <c r="D33" s="31">
        <v>133.09515107960249</v>
      </c>
      <c r="F33" s="31">
        <v>133.09515107960215</v>
      </c>
      <c r="G33" s="31">
        <v>183135.11</v>
      </c>
      <c r="I33" s="31">
        <v>133.09515107960215</v>
      </c>
      <c r="J33" s="31">
        <v>183135.11</v>
      </c>
    </row>
    <row r="34" spans="2:10" x14ac:dyDescent="0.6">
      <c r="B34" s="29" t="s">
        <v>144</v>
      </c>
      <c r="C34" s="29" t="s">
        <v>145</v>
      </c>
      <c r="D34" s="31">
        <v>506.90484892039785</v>
      </c>
      <c r="F34" s="31">
        <v>506.90484892039751</v>
      </c>
      <c r="G34" s="31">
        <v>183135.11</v>
      </c>
      <c r="I34" s="31">
        <v>506.90484892039831</v>
      </c>
      <c r="J34" s="31">
        <v>183135.11</v>
      </c>
    </row>
    <row r="35" spans="2:10" x14ac:dyDescent="0.6">
      <c r="B35" s="29" t="s">
        <v>146</v>
      </c>
      <c r="C35" s="29" t="s">
        <v>147</v>
      </c>
      <c r="D35" s="31">
        <v>651.09887877114329</v>
      </c>
      <c r="F35" s="31">
        <v>575</v>
      </c>
      <c r="G35" s="31">
        <v>181628.35</v>
      </c>
      <c r="I35" s="31">
        <v>651.09887877114284</v>
      </c>
      <c r="J35" s="31">
        <v>183135.11</v>
      </c>
    </row>
    <row r="36" spans="2:10" x14ac:dyDescent="0.6">
      <c r="B36" s="29" t="s">
        <v>148</v>
      </c>
      <c r="C36" s="29" t="s">
        <v>149</v>
      </c>
      <c r="D36" s="31">
        <v>0</v>
      </c>
      <c r="F36" s="31">
        <v>0</v>
      </c>
      <c r="G36" s="31">
        <v>183135.11</v>
      </c>
      <c r="I36" s="31">
        <v>4.5474735088646412E-13</v>
      </c>
      <c r="J36" s="31">
        <v>183135.11</v>
      </c>
    </row>
    <row r="37" spans="2:10" x14ac:dyDescent="0.6">
      <c r="B37" s="29" t="s">
        <v>150</v>
      </c>
      <c r="C37" s="29" t="s">
        <v>151</v>
      </c>
      <c r="D37" s="31">
        <v>0</v>
      </c>
      <c r="F37" s="31">
        <v>0</v>
      </c>
      <c r="G37" s="31">
        <v>183135.11</v>
      </c>
      <c r="I37" s="31">
        <v>0</v>
      </c>
      <c r="J37" s="31">
        <v>183135.11</v>
      </c>
    </row>
    <row r="38" spans="2:10" x14ac:dyDescent="0.6">
      <c r="B38" s="29" t="s">
        <v>152</v>
      </c>
      <c r="C38" s="29" t="s">
        <v>153</v>
      </c>
      <c r="D38" s="31">
        <v>970</v>
      </c>
      <c r="F38" s="31">
        <v>970</v>
      </c>
      <c r="G38" s="31">
        <v>183135.11</v>
      </c>
      <c r="I38" s="31">
        <v>970</v>
      </c>
      <c r="J38" s="31">
        <v>183135.11</v>
      </c>
    </row>
    <row r="39" spans="2:10" x14ac:dyDescent="0.6">
      <c r="B39" s="29" t="s">
        <v>154</v>
      </c>
      <c r="C39" s="29" t="s">
        <v>155</v>
      </c>
      <c r="D39" s="31">
        <v>107</v>
      </c>
      <c r="F39" s="31">
        <v>107</v>
      </c>
      <c r="G39" s="31">
        <v>183135.11</v>
      </c>
      <c r="I39" s="31">
        <v>106.99999999999977</v>
      </c>
      <c r="J39" s="31">
        <v>183135.11</v>
      </c>
    </row>
    <row r="40" spans="2:10" x14ac:dyDescent="0.6">
      <c r="B40" s="29" t="s">
        <v>156</v>
      </c>
      <c r="C40" s="29" t="s">
        <v>157</v>
      </c>
      <c r="D40" s="31">
        <v>0</v>
      </c>
      <c r="F40" s="31">
        <v>0</v>
      </c>
      <c r="G40" s="31">
        <v>183135.11</v>
      </c>
      <c r="I40" s="31">
        <v>4.5474735088646412E-13</v>
      </c>
      <c r="J40" s="31">
        <v>183135.11</v>
      </c>
    </row>
    <row r="41" spans="2:10" x14ac:dyDescent="0.6">
      <c r="B41" s="29" t="s">
        <v>158</v>
      </c>
      <c r="C41" s="29" t="s">
        <v>159</v>
      </c>
      <c r="D41" s="31">
        <v>80</v>
      </c>
      <c r="F41" s="31">
        <v>80</v>
      </c>
      <c r="G41" s="31">
        <v>183135.11</v>
      </c>
      <c r="I41" s="31">
        <v>79.999999999999773</v>
      </c>
      <c r="J41" s="31">
        <v>183135.11</v>
      </c>
    </row>
    <row r="42" spans="2:10" x14ac:dyDescent="0.6">
      <c r="B42" s="29" t="s">
        <v>160</v>
      </c>
      <c r="C42" s="29" t="s">
        <v>161</v>
      </c>
      <c r="D42" s="31">
        <v>0</v>
      </c>
      <c r="F42" s="31">
        <v>0</v>
      </c>
      <c r="G42" s="31">
        <v>183135.11</v>
      </c>
      <c r="I42" s="31">
        <v>4.5474735088646412E-13</v>
      </c>
      <c r="J42" s="31">
        <v>183135.11</v>
      </c>
    </row>
    <row r="43" spans="2:10" x14ac:dyDescent="0.6">
      <c r="B43" s="29" t="s">
        <v>162</v>
      </c>
      <c r="C43" s="29" t="s">
        <v>163</v>
      </c>
      <c r="D43" s="31">
        <v>310</v>
      </c>
      <c r="F43" s="31">
        <v>0</v>
      </c>
      <c r="G43" s="31">
        <v>176718.11</v>
      </c>
      <c r="I43" s="31">
        <v>309.99999999999977</v>
      </c>
      <c r="J43" s="31">
        <v>183135.11</v>
      </c>
    </row>
    <row r="44" spans="2:10" x14ac:dyDescent="0.6">
      <c r="B44" s="29" t="s">
        <v>164</v>
      </c>
      <c r="C44" s="29" t="s">
        <v>165</v>
      </c>
      <c r="D44" s="31">
        <v>0</v>
      </c>
      <c r="F44" s="31">
        <v>0</v>
      </c>
      <c r="G44" s="31">
        <v>183135.11</v>
      </c>
      <c r="I44" s="31">
        <v>0</v>
      </c>
      <c r="J44" s="31">
        <v>183135.11</v>
      </c>
    </row>
    <row r="45" spans="2:10" x14ac:dyDescent="0.6">
      <c r="B45" s="29" t="s">
        <v>166</v>
      </c>
      <c r="C45" s="29" t="s">
        <v>167</v>
      </c>
      <c r="D45" s="31">
        <v>0</v>
      </c>
      <c r="F45" s="31">
        <v>0</v>
      </c>
      <c r="G45" s="31">
        <v>183135.11</v>
      </c>
      <c r="I45" s="31">
        <v>-2.2737367544323206E-13</v>
      </c>
      <c r="J45" s="31">
        <v>183135.11</v>
      </c>
    </row>
    <row r="46" spans="2:10" ht="13.75" thickBot="1" x14ac:dyDescent="0.75">
      <c r="B46" s="28" t="s">
        <v>168</v>
      </c>
      <c r="C46" s="28" t="s">
        <v>169</v>
      </c>
      <c r="D46" s="32">
        <v>0</v>
      </c>
      <c r="F46" s="32">
        <v>0</v>
      </c>
      <c r="G46" s="32">
        <v>183135.11</v>
      </c>
      <c r="I46" s="32">
        <v>4.5474735088646412E-13</v>
      </c>
      <c r="J46" s="32">
        <v>183135.11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33AFF-1CD2-4D58-A89C-E389276B4479}">
  <dimension ref="A1:B15"/>
  <sheetViews>
    <sheetView workbookViewId="0"/>
  </sheetViews>
  <sheetFormatPr defaultRowHeight="13" x14ac:dyDescent="0.6"/>
  <sheetData>
    <row r="1" spans="1:2" x14ac:dyDescent="0.6">
      <c r="A1">
        <v>1</v>
      </c>
    </row>
    <row r="2" spans="1:2" x14ac:dyDescent="0.6">
      <c r="A2" t="s">
        <v>273</v>
      </c>
    </row>
    <row r="3" spans="1:2" x14ac:dyDescent="0.6">
      <c r="A3">
        <v>1</v>
      </c>
    </row>
    <row r="4" spans="1:2" x14ac:dyDescent="0.6">
      <c r="A4">
        <v>-1</v>
      </c>
    </row>
    <row r="5" spans="1:2" x14ac:dyDescent="0.6">
      <c r="A5">
        <v>1</v>
      </c>
    </row>
    <row r="6" spans="1:2" x14ac:dyDescent="0.6">
      <c r="A6">
        <v>0.1</v>
      </c>
    </row>
    <row r="8" spans="1:2" x14ac:dyDescent="0.6">
      <c r="A8" s="41"/>
      <c r="B8" s="41"/>
    </row>
    <row r="9" spans="1:2" x14ac:dyDescent="0.6">
      <c r="A9" t="s">
        <v>274</v>
      </c>
    </row>
    <row r="10" spans="1:2" x14ac:dyDescent="0.6">
      <c r="A10" t="s">
        <v>275</v>
      </c>
    </row>
    <row r="15" spans="1:2" x14ac:dyDescent="0.6">
      <c r="B15" s="4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CF7FD-FD5C-4B45-B8F2-E4D34FD3A51B}">
  <dimension ref="A8:B15"/>
  <sheetViews>
    <sheetView workbookViewId="0"/>
  </sheetViews>
  <sheetFormatPr defaultRowHeight="13" x14ac:dyDescent="0.6"/>
  <sheetData>
    <row r="8" spans="1:2" x14ac:dyDescent="0.6">
      <c r="A8" s="41"/>
      <c r="B8" s="41"/>
    </row>
    <row r="15" spans="1:2" x14ac:dyDescent="0.6">
      <c r="B15" s="4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9EB02-65A9-465A-B3A8-406A3B9BDC54}">
  <sheetPr>
    <tabColor theme="7" tint="0.59999389629810485"/>
  </sheetPr>
  <dimension ref="A1:K64"/>
  <sheetViews>
    <sheetView topLeftCell="A36" workbookViewId="0">
      <selection activeCell="H43" sqref="H43"/>
    </sheetView>
  </sheetViews>
  <sheetFormatPr defaultColWidth="8.76953125" defaultRowHeight="13" x14ac:dyDescent="0.6"/>
  <cols>
    <col min="1" max="1" width="30.6796875" customWidth="1"/>
    <col min="2" max="5" width="11.6796875" customWidth="1"/>
    <col min="7" max="7" width="21.04296875" bestFit="1" customWidth="1"/>
    <col min="8" max="8" width="16.58984375" bestFit="1" customWidth="1"/>
    <col min="9" max="9" width="19.6796875" customWidth="1"/>
    <col min="10" max="10" width="13.6796875" customWidth="1"/>
    <col min="11" max="11" width="15.1796875" customWidth="1"/>
    <col min="12" max="12" width="21.04296875" bestFit="1" customWidth="1"/>
    <col min="13" max="13" width="11.76953125" bestFit="1" customWidth="1"/>
  </cols>
  <sheetData>
    <row r="1" spans="1:11" x14ac:dyDescent="0.6">
      <c r="A1" s="1" t="s">
        <v>0</v>
      </c>
      <c r="G1" s="1" t="s">
        <v>59</v>
      </c>
    </row>
    <row r="4" spans="1:11" x14ac:dyDescent="0.6">
      <c r="A4" s="1" t="s">
        <v>1</v>
      </c>
      <c r="G4" s="1" t="s">
        <v>54</v>
      </c>
      <c r="K4" s="1"/>
    </row>
    <row r="5" spans="1:11" x14ac:dyDescent="0.6">
      <c r="B5" s="18" t="s">
        <v>2</v>
      </c>
      <c r="C5" s="40"/>
      <c r="D5" s="64" t="s">
        <v>3</v>
      </c>
      <c r="E5" s="64"/>
    </row>
    <row r="6" spans="1:11" x14ac:dyDescent="0.6">
      <c r="A6" t="s">
        <v>4</v>
      </c>
      <c r="B6" s="40" t="s">
        <v>5</v>
      </c>
      <c r="C6" s="40" t="s">
        <v>6</v>
      </c>
      <c r="D6" s="40" t="s">
        <v>7</v>
      </c>
      <c r="E6" s="18" t="s">
        <v>8</v>
      </c>
      <c r="H6" s="40" t="s">
        <v>7</v>
      </c>
      <c r="I6" s="18" t="s">
        <v>8</v>
      </c>
      <c r="J6" s="40" t="s">
        <v>68</v>
      </c>
    </row>
    <row r="7" spans="1:11" x14ac:dyDescent="0.6">
      <c r="B7" s="39" t="s">
        <v>9</v>
      </c>
      <c r="C7" s="39" t="s">
        <v>10</v>
      </c>
      <c r="D7" s="39" t="s">
        <v>10</v>
      </c>
      <c r="E7" s="39" t="s">
        <v>10</v>
      </c>
      <c r="G7" s="21" t="s">
        <v>61</v>
      </c>
    </row>
    <row r="8" spans="1:11" x14ac:dyDescent="0.6">
      <c r="A8" s="6" t="s">
        <v>11</v>
      </c>
      <c r="B8" s="19">
        <v>1000</v>
      </c>
      <c r="C8" s="7">
        <v>25.2</v>
      </c>
      <c r="D8" s="7">
        <v>5</v>
      </c>
      <c r="E8" s="7">
        <v>11.6</v>
      </c>
      <c r="G8" s="6" t="s">
        <v>11</v>
      </c>
      <c r="H8" s="37">
        <v>1000</v>
      </c>
      <c r="I8" s="37">
        <v>0</v>
      </c>
      <c r="J8">
        <f>SUM(H8:I8)</f>
        <v>1000</v>
      </c>
    </row>
    <row r="9" spans="1:11" x14ac:dyDescent="0.6">
      <c r="A9" s="6" t="s">
        <v>12</v>
      </c>
      <c r="B9" s="19">
        <v>1583</v>
      </c>
      <c r="C9" s="7">
        <v>24.5</v>
      </c>
      <c r="D9" s="7">
        <v>5</v>
      </c>
      <c r="E9" s="7">
        <v>13.7</v>
      </c>
      <c r="G9" s="6" t="s">
        <v>12</v>
      </c>
      <c r="H9" s="37">
        <v>1583</v>
      </c>
      <c r="I9" s="37">
        <v>0</v>
      </c>
      <c r="J9">
        <f>SUM(H9:I9)</f>
        <v>1583</v>
      </c>
    </row>
    <row r="10" spans="1:11" x14ac:dyDescent="0.6">
      <c r="A10" s="5" t="s">
        <v>13</v>
      </c>
      <c r="B10" s="19">
        <v>2140</v>
      </c>
      <c r="C10" s="7">
        <v>25.5</v>
      </c>
      <c r="D10" s="7">
        <v>19.600000000000001</v>
      </c>
      <c r="E10" s="7">
        <v>11.5</v>
      </c>
      <c r="G10" s="5" t="s">
        <v>13</v>
      </c>
      <c r="H10" s="37">
        <v>0</v>
      </c>
      <c r="I10" s="37">
        <v>2140</v>
      </c>
      <c r="J10">
        <f>SUM(H10:I10)</f>
        <v>2140</v>
      </c>
    </row>
    <row r="11" spans="1:11" x14ac:dyDescent="0.6">
      <c r="A11" s="5" t="s">
        <v>14</v>
      </c>
      <c r="B11" s="19">
        <v>1370</v>
      </c>
      <c r="C11" s="7">
        <v>23.3</v>
      </c>
      <c r="D11" s="7">
        <v>4</v>
      </c>
      <c r="E11" s="7">
        <v>10.6</v>
      </c>
      <c r="G11" s="5" t="s">
        <v>14</v>
      </c>
      <c r="H11" s="37">
        <v>1370</v>
      </c>
      <c r="I11" s="37">
        <v>0</v>
      </c>
      <c r="J11">
        <f>SUM(H11:I11)</f>
        <v>1370</v>
      </c>
    </row>
    <row r="12" spans="1:11" x14ac:dyDescent="0.6">
      <c r="A12" s="5" t="s">
        <v>15</v>
      </c>
      <c r="B12" s="19">
        <v>2000</v>
      </c>
      <c r="C12" s="7">
        <v>24.2</v>
      </c>
      <c r="D12" s="7">
        <v>4.2</v>
      </c>
      <c r="E12" s="7">
        <v>12.1</v>
      </c>
      <c r="G12" s="5" t="s">
        <v>15</v>
      </c>
      <c r="H12" s="37">
        <v>2000</v>
      </c>
      <c r="I12" s="37">
        <v>0</v>
      </c>
      <c r="J12">
        <f>SUM(H12:I12)</f>
        <v>2000</v>
      </c>
    </row>
    <row r="13" spans="1:11" x14ac:dyDescent="0.6">
      <c r="A13" s="5" t="s">
        <v>16</v>
      </c>
      <c r="B13" s="19">
        <v>1850</v>
      </c>
      <c r="C13" s="7">
        <v>23.3</v>
      </c>
      <c r="D13" s="7">
        <v>7.65</v>
      </c>
      <c r="E13" s="7">
        <v>11</v>
      </c>
      <c r="G13" s="5" t="s">
        <v>16</v>
      </c>
      <c r="H13" s="37">
        <v>1850</v>
      </c>
      <c r="I13" s="37">
        <v>0</v>
      </c>
      <c r="J13">
        <f>SUM(H13:I13)</f>
        <v>1850</v>
      </c>
    </row>
    <row r="14" spans="1:11" x14ac:dyDescent="0.6">
      <c r="A14" s="5" t="s">
        <v>17</v>
      </c>
      <c r="B14" s="19">
        <v>1260</v>
      </c>
      <c r="C14" s="7">
        <v>23.3</v>
      </c>
      <c r="D14" s="7">
        <v>14.7</v>
      </c>
      <c r="E14" s="7">
        <v>4.8</v>
      </c>
      <c r="G14" s="5" t="s">
        <v>17</v>
      </c>
      <c r="H14" s="37">
        <v>0</v>
      </c>
      <c r="I14" s="37">
        <v>1260</v>
      </c>
      <c r="J14">
        <f>SUM(H14:I14)</f>
        <v>1260</v>
      </c>
    </row>
    <row r="15" spans="1:11" x14ac:dyDescent="0.6">
      <c r="A15" s="5" t="s">
        <v>18</v>
      </c>
      <c r="B15" s="19">
        <v>1700</v>
      </c>
      <c r="C15" s="7">
        <v>24.2</v>
      </c>
      <c r="D15" s="7">
        <v>16.3</v>
      </c>
      <c r="E15" s="7">
        <v>10.3</v>
      </c>
      <c r="G15" s="5" t="s">
        <v>18</v>
      </c>
      <c r="H15" s="37">
        <v>592.32794189453125</v>
      </c>
      <c r="I15" s="37">
        <v>1107.6719970703125</v>
      </c>
      <c r="J15">
        <f>SUM(H15:I15)</f>
        <v>1699.9999389648438</v>
      </c>
    </row>
    <row r="16" spans="1:11" x14ac:dyDescent="0.6">
      <c r="G16" s="21" t="s">
        <v>62</v>
      </c>
      <c r="H16" s="40" t="s">
        <v>7</v>
      </c>
      <c r="I16" s="18" t="s">
        <v>8</v>
      </c>
    </row>
    <row r="17" spans="1:10" x14ac:dyDescent="0.6">
      <c r="G17" s="5" t="s">
        <v>39</v>
      </c>
      <c r="H17" s="37">
        <v>480</v>
      </c>
      <c r="I17" s="37">
        <v>0</v>
      </c>
      <c r="J17" s="36">
        <f>SUM(H17:I17)</f>
        <v>480</v>
      </c>
    </row>
    <row r="18" spans="1:10" x14ac:dyDescent="0.6">
      <c r="A18" s="1" t="s">
        <v>19</v>
      </c>
      <c r="G18" t="s">
        <v>40</v>
      </c>
      <c r="H18" s="37">
        <v>0</v>
      </c>
      <c r="I18" s="37">
        <v>850</v>
      </c>
      <c r="J18" s="36">
        <f>SUM(H18:I18)</f>
        <v>850</v>
      </c>
    </row>
    <row r="19" spans="1:10" x14ac:dyDescent="0.6">
      <c r="B19" s="40" t="s">
        <v>7</v>
      </c>
      <c r="C19" s="18" t="s">
        <v>8</v>
      </c>
      <c r="G19" t="s">
        <v>41</v>
      </c>
      <c r="H19" s="37">
        <v>666.19476318359375</v>
      </c>
      <c r="I19" s="37">
        <v>0</v>
      </c>
      <c r="J19" s="36">
        <f>SUM(H19:I19)</f>
        <v>666.19476318359375</v>
      </c>
    </row>
    <row r="20" spans="1:10" x14ac:dyDescent="0.6">
      <c r="A20" s="5" t="s">
        <v>20</v>
      </c>
      <c r="G20" t="s">
        <v>42</v>
      </c>
      <c r="H20" s="37">
        <v>775</v>
      </c>
      <c r="I20" s="37">
        <v>0</v>
      </c>
      <c r="J20" s="36">
        <f>SUM(H20:I20)</f>
        <v>775</v>
      </c>
    </row>
    <row r="21" spans="1:10" x14ac:dyDescent="0.6">
      <c r="A21" t="s">
        <v>21</v>
      </c>
      <c r="B21" s="8">
        <v>2.7E-2</v>
      </c>
      <c r="C21" s="8">
        <v>2.7E-2</v>
      </c>
      <c r="G21" t="s">
        <v>43</v>
      </c>
      <c r="H21" s="37">
        <v>473.50875854492188</v>
      </c>
      <c r="I21" s="37">
        <v>496.49124145507813</v>
      </c>
      <c r="J21" s="36">
        <f>SUM(H21:I21)</f>
        <v>970</v>
      </c>
    </row>
    <row r="22" spans="1:10" x14ac:dyDescent="0.6">
      <c r="G22" s="5" t="s">
        <v>44</v>
      </c>
      <c r="H22" s="37">
        <v>107</v>
      </c>
      <c r="I22" s="37">
        <v>0</v>
      </c>
      <c r="J22" s="36">
        <f>SUM(H22:I22)</f>
        <v>107</v>
      </c>
    </row>
    <row r="23" spans="1:10" x14ac:dyDescent="0.6">
      <c r="A23" s="5" t="s">
        <v>22</v>
      </c>
      <c r="G23" t="s">
        <v>45</v>
      </c>
      <c r="H23" s="37">
        <v>80</v>
      </c>
      <c r="I23" s="37">
        <v>0</v>
      </c>
      <c r="J23" s="36">
        <f>SUM(H23:I23)</f>
        <v>80</v>
      </c>
    </row>
    <row r="24" spans="1:10" x14ac:dyDescent="0.6">
      <c r="A24" t="s">
        <v>23</v>
      </c>
      <c r="B24" s="8">
        <v>0.35399999999999998</v>
      </c>
      <c r="C24" s="8">
        <v>0.307</v>
      </c>
      <c r="G24" t="s">
        <v>46</v>
      </c>
      <c r="H24" s="37">
        <v>310</v>
      </c>
      <c r="I24" s="37">
        <v>0</v>
      </c>
      <c r="J24" s="36">
        <f>SUM(H24:I24)</f>
        <v>310</v>
      </c>
    </row>
    <row r="25" spans="1:10" x14ac:dyDescent="0.6">
      <c r="A25" t="s">
        <v>24</v>
      </c>
      <c r="B25" s="8">
        <v>0.40200000000000002</v>
      </c>
      <c r="C25" s="8">
        <v>0.45600000000000002</v>
      </c>
      <c r="G25" t="s">
        <v>47</v>
      </c>
      <c r="H25" s="37">
        <v>0</v>
      </c>
      <c r="I25" s="37">
        <v>0</v>
      </c>
      <c r="J25" s="36">
        <f>SUM(H25:I25)</f>
        <v>0</v>
      </c>
    </row>
    <row r="26" spans="1:10" x14ac:dyDescent="0.6">
      <c r="A26" t="s">
        <v>69</v>
      </c>
      <c r="B26" s="8">
        <f>1-SUM(B24:B25)</f>
        <v>0.24399999999999999</v>
      </c>
      <c r="C26" s="8">
        <f>1-SUM(C24:C25)</f>
        <v>0.23699999999999999</v>
      </c>
      <c r="G26" t="s">
        <v>68</v>
      </c>
      <c r="H26" s="36">
        <f>SUM(H17:H25)</f>
        <v>2891.7035217285156</v>
      </c>
      <c r="I26" s="36">
        <f>SUM(I17:I25)</f>
        <v>1346.4912414550781</v>
      </c>
    </row>
    <row r="28" spans="1:10" x14ac:dyDescent="0.6">
      <c r="A28" t="s">
        <v>25</v>
      </c>
    </row>
    <row r="29" spans="1:10" x14ac:dyDescent="0.6">
      <c r="A29" t="s">
        <v>53</v>
      </c>
      <c r="B29" s="9">
        <v>31</v>
      </c>
      <c r="C29" s="9">
        <v>38</v>
      </c>
      <c r="G29" s="1" t="s">
        <v>70</v>
      </c>
    </row>
    <row r="30" spans="1:10" x14ac:dyDescent="0.6">
      <c r="A30" s="5" t="s">
        <v>26</v>
      </c>
      <c r="B30" s="9">
        <v>10000</v>
      </c>
      <c r="C30" s="9">
        <v>14200</v>
      </c>
      <c r="H30" s="40" t="s">
        <v>7</v>
      </c>
      <c r="I30" s="18" t="s">
        <v>8</v>
      </c>
      <c r="J30" s="40" t="s">
        <v>68</v>
      </c>
    </row>
    <row r="31" spans="1:10" x14ac:dyDescent="0.6">
      <c r="G31" t="s">
        <v>63</v>
      </c>
      <c r="H31" s="36">
        <f>SUM($H$8:$H$15)*(1-$B$21)*$B$24</f>
        <v>2891.7035469620359</v>
      </c>
      <c r="I31" s="36">
        <f>SUM($I$8:$I$15)*(1-$C$21)*$C$24</f>
        <v>1346.49120991687</v>
      </c>
      <c r="J31" s="36">
        <f>SUM(H31:I31)</f>
        <v>4238.1947568789055</v>
      </c>
    </row>
    <row r="32" spans="1:10" x14ac:dyDescent="0.6">
      <c r="A32" s="5" t="s">
        <v>27</v>
      </c>
      <c r="G32" t="s">
        <v>24</v>
      </c>
      <c r="H32" s="36">
        <f>SUM($H$8:$H$15)*(1-$B$21)*$B$25</f>
        <v>3283.7989431602782</v>
      </c>
      <c r="I32" s="36">
        <f>SUM($I$8:$I$15)*(1-$C$21)*$C$25</f>
        <v>1999.9999730361328</v>
      </c>
      <c r="J32" s="36">
        <f>SUM(H32:I32)</f>
        <v>5283.7989161964106</v>
      </c>
    </row>
    <row r="33" spans="1:10" x14ac:dyDescent="0.6">
      <c r="A33" s="5" t="s">
        <v>28</v>
      </c>
      <c r="B33" s="9">
        <v>8030</v>
      </c>
      <c r="C33" s="9">
        <v>8780</v>
      </c>
      <c r="G33" t="s">
        <v>384</v>
      </c>
      <c r="H33" s="36">
        <f ca="1">SUM(H31:H34)</f>
        <v>4975.1243781094518</v>
      </c>
      <c r="I33" s="36">
        <f ca="1">SUM(I31:I34)</f>
        <v>7579.4946218905479</v>
      </c>
      <c r="J33" s="36"/>
    </row>
    <row r="34" spans="1:10" x14ac:dyDescent="0.6">
      <c r="A34" t="s">
        <v>29</v>
      </c>
      <c r="B34" s="9">
        <v>2000</v>
      </c>
      <c r="C34" s="9">
        <v>4000</v>
      </c>
      <c r="G34" t="s">
        <v>383</v>
      </c>
      <c r="H34" s="36">
        <f>SUM($H$8:$H$15)*(1-$B$21)*$B$26</f>
        <v>1993.1515973410642</v>
      </c>
      <c r="I34" s="36">
        <f>SUM($I$8:$I$15)*(1-$C$21)*$C$26</f>
        <v>1039.4736701964111</v>
      </c>
      <c r="J34" s="36">
        <f>SUM(H34:I34)</f>
        <v>3032.6252675374753</v>
      </c>
    </row>
    <row r="36" spans="1:10" x14ac:dyDescent="0.6">
      <c r="A36" t="s">
        <v>30</v>
      </c>
      <c r="G36" s="1"/>
      <c r="H36" s="40" t="s">
        <v>7</v>
      </c>
      <c r="I36" s="18" t="s">
        <v>8</v>
      </c>
    </row>
    <row r="37" spans="1:10" x14ac:dyDescent="0.6">
      <c r="A37" t="s">
        <v>31</v>
      </c>
      <c r="B37" s="26">
        <v>0.5</v>
      </c>
      <c r="C37" s="26">
        <v>0.5</v>
      </c>
      <c r="G37" s="40" t="s">
        <v>23</v>
      </c>
    </row>
    <row r="38" spans="1:10" x14ac:dyDescent="0.6">
      <c r="A38" t="s">
        <v>32</v>
      </c>
      <c r="B38" s="26">
        <v>1</v>
      </c>
      <c r="C38" s="26">
        <v>1</v>
      </c>
      <c r="G38" t="s">
        <v>60</v>
      </c>
      <c r="H38" s="19">
        <f>$B$33*$B$37</f>
        <v>4015</v>
      </c>
      <c r="I38" s="19">
        <f>$C$33*$C$37</f>
        <v>4390</v>
      </c>
    </row>
    <row r="39" spans="1:10" x14ac:dyDescent="0.6">
      <c r="B39" s="10"/>
      <c r="C39" s="10"/>
      <c r="G39" s="6" t="s">
        <v>35</v>
      </c>
      <c r="H39" s="19">
        <f>$B$33*$B$38</f>
        <v>8030</v>
      </c>
      <c r="I39" s="19">
        <f>$C$33*$C$38</f>
        <v>8780</v>
      </c>
    </row>
    <row r="40" spans="1:10" x14ac:dyDescent="0.6">
      <c r="G40" s="5"/>
    </row>
    <row r="41" spans="1:10" x14ac:dyDescent="0.6">
      <c r="A41" s="1" t="s">
        <v>33</v>
      </c>
      <c r="G41" s="40" t="s">
        <v>24</v>
      </c>
    </row>
    <row r="42" spans="1:10" x14ac:dyDescent="0.6">
      <c r="G42" s="6" t="s">
        <v>60</v>
      </c>
      <c r="H42" s="19">
        <f>$B$34*$B$37</f>
        <v>1000</v>
      </c>
      <c r="I42" s="19">
        <f>$C$34*$C$37</f>
        <v>2000</v>
      </c>
    </row>
    <row r="43" spans="1:10" x14ac:dyDescent="0.6">
      <c r="B43" s="18" t="s">
        <v>34</v>
      </c>
      <c r="C43" s="18" t="s">
        <v>35</v>
      </c>
      <c r="D43" s="64" t="s">
        <v>36</v>
      </c>
      <c r="E43" s="64"/>
      <c r="G43" s="6" t="s">
        <v>35</v>
      </c>
      <c r="H43" s="19">
        <f>$B$34*$B$38</f>
        <v>2000</v>
      </c>
      <c r="I43" s="19">
        <f>$C$34*$C$38</f>
        <v>4000</v>
      </c>
    </row>
    <row r="44" spans="1:10" x14ac:dyDescent="0.6">
      <c r="A44" s="5" t="s">
        <v>37</v>
      </c>
      <c r="B44" s="40" t="s">
        <v>5</v>
      </c>
      <c r="C44" s="18" t="s">
        <v>38</v>
      </c>
      <c r="D44" s="40" t="s">
        <v>7</v>
      </c>
      <c r="E44" s="18" t="s">
        <v>8</v>
      </c>
      <c r="G44" s="5"/>
      <c r="H44">
        <v>4000</v>
      </c>
    </row>
    <row r="45" spans="1:10" x14ac:dyDescent="0.6">
      <c r="B45" s="12" t="s">
        <v>9</v>
      </c>
      <c r="C45" s="12" t="s">
        <v>9</v>
      </c>
      <c r="D45" s="39" t="s">
        <v>10</v>
      </c>
      <c r="E45" s="39" t="s">
        <v>10</v>
      </c>
    </row>
    <row r="46" spans="1:10" x14ac:dyDescent="0.6">
      <c r="A46" s="5" t="s">
        <v>39</v>
      </c>
      <c r="B46" s="19">
        <v>480</v>
      </c>
      <c r="C46" s="19">
        <v>900</v>
      </c>
      <c r="D46" s="7">
        <v>26</v>
      </c>
      <c r="E46" s="7">
        <v>30.1</v>
      </c>
      <c r="G46" s="1" t="s">
        <v>55</v>
      </c>
      <c r="I46" s="40"/>
    </row>
    <row r="47" spans="1:10" x14ac:dyDescent="0.6">
      <c r="A47" t="s">
        <v>40</v>
      </c>
      <c r="B47" s="19">
        <v>850</v>
      </c>
      <c r="C47" s="19">
        <v>1150</v>
      </c>
      <c r="D47" s="7">
        <v>51.7</v>
      </c>
      <c r="E47" s="7">
        <v>31.7</v>
      </c>
      <c r="G47" t="s">
        <v>56</v>
      </c>
      <c r="H47" s="22">
        <f>SUM($J$17:$J$25)*$B$63 + $J$34*$B$64 + $H$32*$B$61 + $I$32*$B$62</f>
        <v>1185150.4277505218</v>
      </c>
    </row>
    <row r="48" spans="1:10" x14ac:dyDescent="0.6">
      <c r="A48" t="s">
        <v>41</v>
      </c>
      <c r="B48" s="19">
        <v>640</v>
      </c>
      <c r="C48" s="19">
        <v>800</v>
      </c>
      <c r="D48" s="7">
        <v>16.600000000000001</v>
      </c>
      <c r="E48" s="7">
        <v>7.3</v>
      </c>
      <c r="G48" t="s">
        <v>67</v>
      </c>
      <c r="H48" s="22">
        <f>SUMPRODUCT($C$8:$C$15,$H$8:$H$15)+SUMPRODUCT($C$8:$C$15,$I$8:$I$15)</f>
        <v>312477.49852294917</v>
      </c>
    </row>
    <row r="49" spans="1:8" x14ac:dyDescent="0.6">
      <c r="A49" t="s">
        <v>42</v>
      </c>
      <c r="B49" s="19">
        <v>575</v>
      </c>
      <c r="C49" s="19">
        <v>775</v>
      </c>
      <c r="D49" s="7">
        <v>16.2</v>
      </c>
      <c r="E49" s="7">
        <v>21.5</v>
      </c>
      <c r="G49" t="s">
        <v>64</v>
      </c>
      <c r="H49" s="22">
        <f>SUMPRODUCT($D$8:$E$15,$H$8:$I$15)+SUMPRODUCT($H$17:$I$25,$D$46:$E$54)</f>
        <v>183124.04906311037</v>
      </c>
    </row>
    <row r="50" spans="1:8" x14ac:dyDescent="0.6">
      <c r="A50" t="s">
        <v>43</v>
      </c>
      <c r="B50" s="19">
        <v>970</v>
      </c>
      <c r="C50" s="19">
        <v>970</v>
      </c>
      <c r="D50" s="7">
        <v>24.5</v>
      </c>
      <c r="E50" s="7">
        <v>13.2</v>
      </c>
      <c r="G50" t="s">
        <v>65</v>
      </c>
      <c r="H50" s="22">
        <f>SUM($H$8:$H$15)*(1-$B$21)*$B$29 + SUM($I$8:$I$15)*(1-$C$21)*$C$29 +SUM($B$30:$C$30)</f>
        <v>444094.94113104243</v>
      </c>
    </row>
    <row r="51" spans="1:8" x14ac:dyDescent="0.6">
      <c r="A51" s="5" t="s">
        <v>44</v>
      </c>
      <c r="B51" s="19">
        <v>107</v>
      </c>
      <c r="C51" s="19">
        <v>200</v>
      </c>
      <c r="D51" s="7">
        <v>26.3</v>
      </c>
      <c r="E51" s="7">
        <v>28</v>
      </c>
      <c r="G51" t="s">
        <v>66</v>
      </c>
      <c r="H51" s="22">
        <f>SUM($H$48:$H$50)</f>
        <v>939696.48871710198</v>
      </c>
    </row>
    <row r="52" spans="1:8" x14ac:dyDescent="0.6">
      <c r="A52" t="s">
        <v>45</v>
      </c>
      <c r="B52" s="19">
        <v>80</v>
      </c>
      <c r="C52" s="19">
        <v>400</v>
      </c>
      <c r="D52" s="7">
        <v>21.3</v>
      </c>
      <c r="E52" s="7">
        <v>46.2</v>
      </c>
      <c r="G52" t="s">
        <v>58</v>
      </c>
      <c r="H52" s="23">
        <f>$H$47-$H$51</f>
        <v>245453.93903341983</v>
      </c>
    </row>
    <row r="53" spans="1:8" x14ac:dyDescent="0.6">
      <c r="A53" t="s">
        <v>46</v>
      </c>
      <c r="B53" s="19">
        <v>0</v>
      </c>
      <c r="C53" s="19">
        <v>310</v>
      </c>
      <c r="D53" s="7">
        <v>15.3</v>
      </c>
      <c r="E53" s="7">
        <v>28.4</v>
      </c>
    </row>
    <row r="54" spans="1:8" x14ac:dyDescent="0.6">
      <c r="A54" t="s">
        <v>47</v>
      </c>
      <c r="B54" s="19">
        <v>0</v>
      </c>
      <c r="C54" s="19">
        <v>470</v>
      </c>
      <c r="D54" s="7">
        <v>24.3</v>
      </c>
      <c r="E54" s="7">
        <v>14.7</v>
      </c>
    </row>
    <row r="57" spans="1:8" x14ac:dyDescent="0.6">
      <c r="A57" s="1" t="s">
        <v>48</v>
      </c>
    </row>
    <row r="59" spans="1:8" x14ac:dyDescent="0.6">
      <c r="A59" t="s">
        <v>49</v>
      </c>
      <c r="B59" s="40" t="s">
        <v>6</v>
      </c>
    </row>
    <row r="60" spans="1:8" x14ac:dyDescent="0.6">
      <c r="B60" s="39" t="s">
        <v>10</v>
      </c>
    </row>
    <row r="61" spans="1:8" x14ac:dyDescent="0.6">
      <c r="A61" t="s">
        <v>50</v>
      </c>
      <c r="B61">
        <v>200</v>
      </c>
    </row>
    <row r="62" spans="1:8" x14ac:dyDescent="0.6">
      <c r="A62" s="5" t="s">
        <v>51</v>
      </c>
      <c r="B62">
        <v>150</v>
      </c>
    </row>
    <row r="63" spans="1:8" x14ac:dyDescent="0.6">
      <c r="A63" t="s">
        <v>23</v>
      </c>
      <c r="B63">
        <v>36</v>
      </c>
    </row>
    <row r="64" spans="1:8" x14ac:dyDescent="0.6">
      <c r="A64" t="s">
        <v>52</v>
      </c>
      <c r="B64">
        <v>25</v>
      </c>
    </row>
  </sheetData>
  <mergeCells count="2">
    <mergeCell ref="D5:E5"/>
    <mergeCell ref="D43:E43"/>
  </mergeCells>
  <printOptions headings="1"/>
  <pageMargins left="0.75" right="0.75" top="1" bottom="1" header="0.5" footer="0.5"/>
  <pageSetup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37884-90F6-4AA2-8181-B57945E8A42C}">
  <sheetPr>
    <tabColor theme="7" tint="0.59999389629810485"/>
  </sheetPr>
  <dimension ref="A1:AL15"/>
  <sheetViews>
    <sheetView topLeftCell="AI19" workbookViewId="0">
      <selection activeCell="AC29" sqref="AC29"/>
    </sheetView>
  </sheetViews>
  <sheetFormatPr defaultRowHeight="13" x14ac:dyDescent="0.6"/>
  <cols>
    <col min="2" max="2" width="12" bestFit="1" customWidth="1"/>
  </cols>
  <sheetData>
    <row r="1" spans="1:38" x14ac:dyDescent="0.6">
      <c r="A1" s="1" t="s">
        <v>387</v>
      </c>
      <c r="AL1" s="47" t="str">
        <f>CONCATENATE("Sensitivity of ",$AL$4," to ","Input")</f>
        <v>Sensitivity of Profit to Input</v>
      </c>
    </row>
    <row r="3" spans="1:38" x14ac:dyDescent="0.6">
      <c r="A3" t="s">
        <v>386</v>
      </c>
      <c r="AL3" t="s">
        <v>276</v>
      </c>
    </row>
    <row r="4" spans="1:38" ht="34" x14ac:dyDescent="0.6">
      <c r="B4" s="45" t="s">
        <v>58</v>
      </c>
      <c r="C4" s="45" t="s">
        <v>102</v>
      </c>
      <c r="D4" s="45" t="s">
        <v>105</v>
      </c>
      <c r="E4" s="45" t="s">
        <v>107</v>
      </c>
      <c r="F4" s="45" t="s">
        <v>109</v>
      </c>
      <c r="G4" s="45" t="s">
        <v>111</v>
      </c>
      <c r="H4" s="45" t="s">
        <v>113</v>
      </c>
      <c r="I4" s="45" t="s">
        <v>115</v>
      </c>
      <c r="J4" s="45" t="s">
        <v>117</v>
      </c>
      <c r="K4" s="45" t="s">
        <v>119</v>
      </c>
      <c r="L4" s="45" t="s">
        <v>121</v>
      </c>
      <c r="M4" s="45" t="s">
        <v>123</v>
      </c>
      <c r="N4" s="45" t="s">
        <v>125</v>
      </c>
      <c r="O4" s="45" t="s">
        <v>127</v>
      </c>
      <c r="P4" s="45" t="s">
        <v>129</v>
      </c>
      <c r="Q4" s="45" t="s">
        <v>130</v>
      </c>
      <c r="R4" s="45" t="s">
        <v>133</v>
      </c>
      <c r="S4" s="45" t="s">
        <v>135</v>
      </c>
      <c r="T4" s="45" t="s">
        <v>137</v>
      </c>
      <c r="U4" s="45" t="s">
        <v>139</v>
      </c>
      <c r="V4" s="45" t="s">
        <v>141</v>
      </c>
      <c r="W4" s="45" t="s">
        <v>143</v>
      </c>
      <c r="X4" s="45" t="s">
        <v>145</v>
      </c>
      <c r="Y4" s="45" t="s">
        <v>147</v>
      </c>
      <c r="Z4" s="45" t="s">
        <v>149</v>
      </c>
      <c r="AA4" s="45" t="s">
        <v>151</v>
      </c>
      <c r="AB4" s="45" t="s">
        <v>153</v>
      </c>
      <c r="AC4" s="45" t="s">
        <v>155</v>
      </c>
      <c r="AD4" s="45" t="s">
        <v>157</v>
      </c>
      <c r="AE4" s="45" t="s">
        <v>159</v>
      </c>
      <c r="AF4" s="45" t="s">
        <v>161</v>
      </c>
      <c r="AG4" s="45" t="s">
        <v>163</v>
      </c>
      <c r="AH4" s="45" t="s">
        <v>165</v>
      </c>
      <c r="AI4" s="45" t="s">
        <v>167</v>
      </c>
      <c r="AJ4" s="45" t="s">
        <v>169</v>
      </c>
      <c r="AK4" s="47">
        <f>MATCH($AL$4,OutputAddresses,0)</f>
        <v>1</v>
      </c>
      <c r="AL4" s="46" t="s">
        <v>58</v>
      </c>
    </row>
    <row r="5" spans="1:38" x14ac:dyDescent="0.6">
      <c r="A5" s="42">
        <v>0</v>
      </c>
      <c r="B5" s="54">
        <v>183135.11</v>
      </c>
      <c r="C5" s="94">
        <v>1000</v>
      </c>
      <c r="D5" s="94">
        <v>0</v>
      </c>
      <c r="E5" s="94">
        <v>1583</v>
      </c>
      <c r="F5" s="94">
        <v>0</v>
      </c>
      <c r="G5" s="94">
        <v>0</v>
      </c>
      <c r="H5" s="94">
        <v>2140</v>
      </c>
      <c r="I5" s="94">
        <v>530.18024471680553</v>
      </c>
      <c r="J5" s="94">
        <v>839.81975528319447</v>
      </c>
      <c r="K5" s="94">
        <v>2000</v>
      </c>
      <c r="L5" s="94">
        <v>0</v>
      </c>
      <c r="M5" s="94">
        <v>0</v>
      </c>
      <c r="N5" s="94">
        <v>1849.9999999999995</v>
      </c>
      <c r="O5" s="94">
        <v>0</v>
      </c>
      <c r="P5" s="94">
        <v>1260.0000000000005</v>
      </c>
      <c r="Q5" s="94">
        <v>0</v>
      </c>
      <c r="R5" s="94">
        <v>1700</v>
      </c>
      <c r="S5" s="94">
        <v>480</v>
      </c>
      <c r="T5" s="94">
        <v>0</v>
      </c>
      <c r="U5" s="94">
        <v>0</v>
      </c>
      <c r="V5" s="94">
        <v>850</v>
      </c>
      <c r="W5" s="94">
        <v>133.09515107960294</v>
      </c>
      <c r="X5" s="94">
        <v>506.90484892039785</v>
      </c>
      <c r="Y5" s="94">
        <v>651.09887877114306</v>
      </c>
      <c r="Z5" s="94">
        <v>0</v>
      </c>
      <c r="AA5" s="94">
        <v>0</v>
      </c>
      <c r="AB5" s="94">
        <v>969.99999999999977</v>
      </c>
      <c r="AC5" s="94">
        <v>107</v>
      </c>
      <c r="AD5" s="94">
        <v>0</v>
      </c>
      <c r="AE5" s="94">
        <v>80</v>
      </c>
      <c r="AF5" s="94">
        <v>0</v>
      </c>
      <c r="AG5" s="94">
        <v>310</v>
      </c>
      <c r="AH5" s="94">
        <v>0</v>
      </c>
      <c r="AI5" s="94">
        <v>0</v>
      </c>
      <c r="AJ5" s="93">
        <v>0</v>
      </c>
      <c r="AL5">
        <f>INDEX(OutputValues,1,$AK$4)</f>
        <v>183135.11</v>
      </c>
    </row>
    <row r="6" spans="1:38" x14ac:dyDescent="0.6">
      <c r="A6" s="42">
        <v>0.10000000149011612</v>
      </c>
      <c r="B6" s="55">
        <v>183135.11</v>
      </c>
      <c r="C6" s="36">
        <v>1000</v>
      </c>
      <c r="D6" s="36">
        <v>0</v>
      </c>
      <c r="E6" s="36">
        <v>1583.0000000000007</v>
      </c>
      <c r="F6" s="36">
        <v>0</v>
      </c>
      <c r="G6" s="36">
        <v>0</v>
      </c>
      <c r="H6" s="36">
        <v>2140</v>
      </c>
      <c r="I6" s="36">
        <v>530.1802447168053</v>
      </c>
      <c r="J6" s="36">
        <v>839.8197552831947</v>
      </c>
      <c r="K6" s="36">
        <v>2000</v>
      </c>
      <c r="L6" s="36">
        <v>0</v>
      </c>
      <c r="M6" s="36">
        <v>0</v>
      </c>
      <c r="N6" s="36">
        <v>1849.9999999999991</v>
      </c>
      <c r="O6" s="36">
        <v>0</v>
      </c>
      <c r="P6" s="36">
        <v>1260.0000000000005</v>
      </c>
      <c r="Q6" s="36">
        <v>0</v>
      </c>
      <c r="R6" s="36">
        <v>1700</v>
      </c>
      <c r="S6" s="36">
        <v>480</v>
      </c>
      <c r="T6" s="36">
        <v>0</v>
      </c>
      <c r="U6" s="36">
        <v>0</v>
      </c>
      <c r="V6" s="36">
        <v>850</v>
      </c>
      <c r="W6" s="36">
        <v>133.09515107960328</v>
      </c>
      <c r="X6" s="36">
        <v>506.9048489203974</v>
      </c>
      <c r="Y6" s="36">
        <v>651.09887877114306</v>
      </c>
      <c r="Z6" s="36">
        <v>0</v>
      </c>
      <c r="AA6" s="36">
        <v>0</v>
      </c>
      <c r="AB6" s="36">
        <v>970</v>
      </c>
      <c r="AC6" s="36">
        <v>107</v>
      </c>
      <c r="AD6" s="36">
        <v>0</v>
      </c>
      <c r="AE6" s="36">
        <v>80</v>
      </c>
      <c r="AF6" s="36">
        <v>0</v>
      </c>
      <c r="AG6" s="36">
        <v>310</v>
      </c>
      <c r="AH6" s="36">
        <v>0</v>
      </c>
      <c r="AI6" s="36">
        <v>0</v>
      </c>
      <c r="AJ6" s="92">
        <v>0</v>
      </c>
      <c r="AL6">
        <f>INDEX(OutputValues,2,$AK$4)</f>
        <v>183135.11</v>
      </c>
    </row>
    <row r="7" spans="1:38" x14ac:dyDescent="0.6">
      <c r="A7" s="42">
        <v>0.20000000298023224</v>
      </c>
      <c r="B7" s="55">
        <v>183135.11</v>
      </c>
      <c r="C7" s="36">
        <v>1000.0000000000005</v>
      </c>
      <c r="D7" s="36">
        <v>0</v>
      </c>
      <c r="E7" s="36">
        <v>1583.0000000000005</v>
      </c>
      <c r="F7" s="36">
        <v>0</v>
      </c>
      <c r="G7" s="36">
        <v>0</v>
      </c>
      <c r="H7" s="36">
        <v>2140</v>
      </c>
      <c r="I7" s="36">
        <v>530.18024471680485</v>
      </c>
      <c r="J7" s="36">
        <v>839.81975528319515</v>
      </c>
      <c r="K7" s="36">
        <v>2000</v>
      </c>
      <c r="L7" s="36">
        <v>0</v>
      </c>
      <c r="M7" s="36">
        <v>0</v>
      </c>
      <c r="N7" s="36">
        <v>1849.9999999999989</v>
      </c>
      <c r="O7" s="36">
        <v>0</v>
      </c>
      <c r="P7" s="36">
        <v>1260.0000000000005</v>
      </c>
      <c r="Q7" s="36">
        <v>0</v>
      </c>
      <c r="R7" s="36">
        <v>1700</v>
      </c>
      <c r="S7" s="36">
        <v>480</v>
      </c>
      <c r="T7" s="36">
        <v>0</v>
      </c>
      <c r="U7" s="36">
        <v>0</v>
      </c>
      <c r="V7" s="36">
        <v>850</v>
      </c>
      <c r="W7" s="36">
        <v>133.09515107960306</v>
      </c>
      <c r="X7" s="36">
        <v>506.90484892039785</v>
      </c>
      <c r="Y7" s="36">
        <v>651.09887877114352</v>
      </c>
      <c r="Z7" s="36">
        <v>0</v>
      </c>
      <c r="AA7" s="36">
        <v>0</v>
      </c>
      <c r="AB7" s="36">
        <v>970.00000000000011</v>
      </c>
      <c r="AC7" s="36">
        <v>107</v>
      </c>
      <c r="AD7" s="36">
        <v>0</v>
      </c>
      <c r="AE7" s="36">
        <v>80</v>
      </c>
      <c r="AF7" s="36">
        <v>0</v>
      </c>
      <c r="AG7" s="36">
        <v>310</v>
      </c>
      <c r="AH7" s="36">
        <v>0</v>
      </c>
      <c r="AI7" s="36">
        <v>0</v>
      </c>
      <c r="AJ7" s="92">
        <v>0</v>
      </c>
      <c r="AL7">
        <f>INDEX(OutputValues,3,$AK$4)</f>
        <v>183135.11</v>
      </c>
    </row>
    <row r="8" spans="1:38" x14ac:dyDescent="0.6">
      <c r="A8" s="42">
        <v>0.30000001192092896</v>
      </c>
      <c r="B8" s="55">
        <v>183135.11</v>
      </c>
      <c r="C8" s="36">
        <v>1000.0000000000005</v>
      </c>
      <c r="D8" s="36">
        <v>0</v>
      </c>
      <c r="E8" s="36">
        <v>1583.0000000000009</v>
      </c>
      <c r="F8" s="36">
        <v>0</v>
      </c>
      <c r="G8" s="36">
        <v>0</v>
      </c>
      <c r="H8" s="36">
        <v>2140</v>
      </c>
      <c r="I8" s="36">
        <v>530.18024471680394</v>
      </c>
      <c r="J8" s="36">
        <v>839.81975528319606</v>
      </c>
      <c r="K8" s="36">
        <v>2000</v>
      </c>
      <c r="L8" s="36">
        <v>0</v>
      </c>
      <c r="M8" s="36">
        <v>0</v>
      </c>
      <c r="N8" s="36">
        <v>1849.9999999999991</v>
      </c>
      <c r="O8" s="36">
        <v>0</v>
      </c>
      <c r="P8" s="36">
        <v>1260.0000000000005</v>
      </c>
      <c r="Q8" s="36">
        <v>0</v>
      </c>
      <c r="R8" s="36">
        <v>1700</v>
      </c>
      <c r="S8" s="36">
        <v>480</v>
      </c>
      <c r="T8" s="36">
        <v>0</v>
      </c>
      <c r="U8" s="36">
        <v>0</v>
      </c>
      <c r="V8" s="36">
        <v>850</v>
      </c>
      <c r="W8" s="36">
        <v>133.09515107960272</v>
      </c>
      <c r="X8" s="36">
        <v>506.90484892039808</v>
      </c>
      <c r="Y8" s="36">
        <v>651.09887877114352</v>
      </c>
      <c r="Z8" s="36">
        <v>0</v>
      </c>
      <c r="AA8" s="36">
        <v>0</v>
      </c>
      <c r="AB8" s="36">
        <v>969.99999999999989</v>
      </c>
      <c r="AC8" s="36">
        <v>107</v>
      </c>
      <c r="AD8" s="36">
        <v>0</v>
      </c>
      <c r="AE8" s="36">
        <v>80</v>
      </c>
      <c r="AF8" s="36">
        <v>0</v>
      </c>
      <c r="AG8" s="36">
        <v>310</v>
      </c>
      <c r="AH8" s="36">
        <v>0</v>
      </c>
      <c r="AI8" s="36">
        <v>0</v>
      </c>
      <c r="AJ8" s="92">
        <v>0</v>
      </c>
      <c r="AL8">
        <f>INDEX(OutputValues,4,$AK$4)</f>
        <v>183135.11</v>
      </c>
    </row>
    <row r="9" spans="1:38" x14ac:dyDescent="0.6">
      <c r="A9" s="42">
        <v>0.40000000596046448</v>
      </c>
      <c r="B9" s="55">
        <v>183135.11</v>
      </c>
      <c r="C9" s="36">
        <v>1000</v>
      </c>
      <c r="D9" s="36">
        <v>0</v>
      </c>
      <c r="E9" s="36">
        <v>1583.0000000000002</v>
      </c>
      <c r="F9" s="36">
        <v>0</v>
      </c>
      <c r="G9" s="36">
        <v>0</v>
      </c>
      <c r="H9" s="36">
        <v>2140</v>
      </c>
      <c r="I9" s="36">
        <v>530.18024471680508</v>
      </c>
      <c r="J9" s="36">
        <v>839.81975528319492</v>
      </c>
      <c r="K9" s="36">
        <v>2000</v>
      </c>
      <c r="L9" s="36">
        <v>0</v>
      </c>
      <c r="M9" s="36">
        <v>0</v>
      </c>
      <c r="N9" s="36">
        <v>1849.9999999999991</v>
      </c>
      <c r="O9" s="36">
        <v>0</v>
      </c>
      <c r="P9" s="36">
        <v>1260.0000000000005</v>
      </c>
      <c r="Q9" s="36">
        <v>0</v>
      </c>
      <c r="R9" s="36">
        <v>1700</v>
      </c>
      <c r="S9" s="36">
        <v>480</v>
      </c>
      <c r="T9" s="36">
        <v>0</v>
      </c>
      <c r="U9" s="36">
        <v>0</v>
      </c>
      <c r="V9" s="36">
        <v>850</v>
      </c>
      <c r="W9" s="36">
        <v>133.0951510796026</v>
      </c>
      <c r="X9" s="36">
        <v>506.90484892039774</v>
      </c>
      <c r="Y9" s="36">
        <v>651.09887877114329</v>
      </c>
      <c r="Z9" s="36">
        <v>0</v>
      </c>
      <c r="AA9" s="36">
        <v>0</v>
      </c>
      <c r="AB9" s="36">
        <v>970</v>
      </c>
      <c r="AC9" s="36">
        <v>107</v>
      </c>
      <c r="AD9" s="36">
        <v>0</v>
      </c>
      <c r="AE9" s="36">
        <v>80</v>
      </c>
      <c r="AF9" s="36">
        <v>0</v>
      </c>
      <c r="AG9" s="36">
        <v>310</v>
      </c>
      <c r="AH9" s="36">
        <v>0</v>
      </c>
      <c r="AI9" s="36">
        <v>0</v>
      </c>
      <c r="AJ9" s="92">
        <v>0</v>
      </c>
      <c r="AL9">
        <f>INDEX(OutputValues,5,$AK$4)</f>
        <v>183135.11</v>
      </c>
    </row>
    <row r="10" spans="1:38" x14ac:dyDescent="0.6">
      <c r="A10" s="42">
        <v>0.5</v>
      </c>
      <c r="B10" s="55">
        <v>183135.11</v>
      </c>
      <c r="C10" s="36">
        <v>1000</v>
      </c>
      <c r="D10" s="36">
        <v>0</v>
      </c>
      <c r="E10" s="36">
        <v>1583.0000000000002</v>
      </c>
      <c r="F10" s="36">
        <v>0</v>
      </c>
      <c r="G10" s="36">
        <v>0</v>
      </c>
      <c r="H10" s="36">
        <v>2140.0000000000005</v>
      </c>
      <c r="I10" s="36">
        <v>530.18024471680462</v>
      </c>
      <c r="J10" s="36">
        <v>839.81975528319538</v>
      </c>
      <c r="K10" s="36">
        <v>2000</v>
      </c>
      <c r="L10" s="36">
        <v>0</v>
      </c>
      <c r="M10" s="36">
        <v>0</v>
      </c>
      <c r="N10" s="36">
        <v>1849.9999999999991</v>
      </c>
      <c r="O10" s="36">
        <v>0</v>
      </c>
      <c r="P10" s="36">
        <v>1260.0000000000005</v>
      </c>
      <c r="Q10" s="36">
        <v>0</v>
      </c>
      <c r="R10" s="36">
        <v>1700</v>
      </c>
      <c r="S10" s="36">
        <v>480</v>
      </c>
      <c r="T10" s="36">
        <v>0</v>
      </c>
      <c r="U10" s="36">
        <v>0</v>
      </c>
      <c r="V10" s="36">
        <v>850</v>
      </c>
      <c r="W10" s="36">
        <v>133.09515107960249</v>
      </c>
      <c r="X10" s="36">
        <v>506.90484892039785</v>
      </c>
      <c r="Y10" s="36">
        <v>651.09887877114329</v>
      </c>
      <c r="Z10" s="36">
        <v>0</v>
      </c>
      <c r="AA10" s="36">
        <v>0</v>
      </c>
      <c r="AB10" s="36">
        <v>970</v>
      </c>
      <c r="AC10" s="36">
        <v>107</v>
      </c>
      <c r="AD10" s="36">
        <v>0</v>
      </c>
      <c r="AE10" s="36">
        <v>80</v>
      </c>
      <c r="AF10" s="36">
        <v>0</v>
      </c>
      <c r="AG10" s="36">
        <v>310</v>
      </c>
      <c r="AH10" s="36">
        <v>0</v>
      </c>
      <c r="AI10" s="36">
        <v>0</v>
      </c>
      <c r="AJ10" s="92">
        <v>0</v>
      </c>
      <c r="AL10">
        <f>INDEX(OutputValues,6,$AK$4)</f>
        <v>183135.11</v>
      </c>
    </row>
    <row r="11" spans="1:38" x14ac:dyDescent="0.6">
      <c r="A11" s="42">
        <v>0.60000002384185791</v>
      </c>
      <c r="B11" s="55">
        <v>183135.11</v>
      </c>
      <c r="C11" s="36">
        <v>1000</v>
      </c>
      <c r="D11" s="36">
        <v>0</v>
      </c>
      <c r="E11" s="36">
        <v>1583.0000000000005</v>
      </c>
      <c r="F11" s="36">
        <v>0</v>
      </c>
      <c r="G11" s="36">
        <v>0</v>
      </c>
      <c r="H11" s="36">
        <v>2140</v>
      </c>
      <c r="I11" s="36">
        <v>530.1802447168061</v>
      </c>
      <c r="J11" s="36">
        <v>839.8197552831939</v>
      </c>
      <c r="K11" s="36">
        <v>2000</v>
      </c>
      <c r="L11" s="36">
        <v>0</v>
      </c>
      <c r="M11" s="36">
        <v>0</v>
      </c>
      <c r="N11" s="36">
        <v>1849.9999999999991</v>
      </c>
      <c r="O11" s="36">
        <v>0</v>
      </c>
      <c r="P11" s="36">
        <v>1260.0000000000005</v>
      </c>
      <c r="Q11" s="36">
        <v>0</v>
      </c>
      <c r="R11" s="36">
        <v>1700</v>
      </c>
      <c r="S11" s="36">
        <v>480</v>
      </c>
      <c r="T11" s="36">
        <v>0</v>
      </c>
      <c r="U11" s="36">
        <v>0</v>
      </c>
      <c r="V11" s="36">
        <v>850</v>
      </c>
      <c r="W11" s="36">
        <v>133.0951510796026</v>
      </c>
      <c r="X11" s="36">
        <v>506.90484892039763</v>
      </c>
      <c r="Y11" s="36">
        <v>651.09887877114306</v>
      </c>
      <c r="Z11" s="36">
        <v>0</v>
      </c>
      <c r="AA11" s="36">
        <v>0</v>
      </c>
      <c r="AB11" s="36">
        <v>970</v>
      </c>
      <c r="AC11" s="36">
        <v>107</v>
      </c>
      <c r="AD11" s="36">
        <v>0</v>
      </c>
      <c r="AE11" s="36">
        <v>80</v>
      </c>
      <c r="AF11" s="36">
        <v>0</v>
      </c>
      <c r="AG11" s="36">
        <v>310</v>
      </c>
      <c r="AH11" s="36">
        <v>0</v>
      </c>
      <c r="AI11" s="36">
        <v>0</v>
      </c>
      <c r="AJ11" s="92">
        <v>0</v>
      </c>
      <c r="AL11">
        <f>INDEX(OutputValues,7,$AK$4)</f>
        <v>183135.11</v>
      </c>
    </row>
    <row r="12" spans="1:38" x14ac:dyDescent="0.6">
      <c r="A12" s="42">
        <v>0.69999998807907104</v>
      </c>
      <c r="B12" s="91" t="s">
        <v>385</v>
      </c>
      <c r="AJ12" s="65"/>
      <c r="AL12" t="str">
        <f>INDEX(OutputValues,8,$AK$4)</f>
        <v>Not feasible</v>
      </c>
    </row>
    <row r="13" spans="1:38" x14ac:dyDescent="0.6">
      <c r="A13" s="42">
        <v>0.80000001192092896</v>
      </c>
      <c r="B13" s="91" t="s">
        <v>385</v>
      </c>
      <c r="AJ13" s="65"/>
      <c r="AL13" t="str">
        <f>INDEX(OutputValues,9,$AK$4)</f>
        <v>Not feasible</v>
      </c>
    </row>
    <row r="14" spans="1:38" x14ac:dyDescent="0.6">
      <c r="A14" s="42">
        <v>0.90000003576278687</v>
      </c>
      <c r="B14" s="91" t="s">
        <v>385</v>
      </c>
      <c r="AJ14" s="65"/>
      <c r="AL14" t="str">
        <f>INDEX(OutputValues,10,$AK$4)</f>
        <v>Not feasible</v>
      </c>
    </row>
    <row r="15" spans="1:38" x14ac:dyDescent="0.6">
      <c r="A15" s="42">
        <v>1</v>
      </c>
      <c r="B15" s="90" t="s">
        <v>385</v>
      </c>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66"/>
      <c r="AL15" t="str">
        <f>INDEX(OutputValues,11,$AK$4)</f>
        <v>Not feasible</v>
      </c>
    </row>
  </sheetData>
  <dataValidations count="1">
    <dataValidation type="list" allowBlank="1" showInputMessage="1" showErrorMessage="1" sqref="AL4" xr:uid="{42A01469-D519-4AB0-8048-D2D95D90EBE8}">
      <formula1>OutputAddresses</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604</vt:i4>
      </vt:variant>
    </vt:vector>
  </HeadingPairs>
  <TitlesOfParts>
    <vt:vector size="624" baseType="lpstr">
      <vt:lpstr>Table of Contents</vt:lpstr>
      <vt:lpstr>Optimization Model</vt:lpstr>
      <vt:lpstr>Answer Report 1</vt:lpstr>
      <vt:lpstr>Sensitivity Report 1</vt:lpstr>
      <vt:lpstr>Limits Report 1</vt:lpstr>
      <vt:lpstr>Plant Capacity Changes</vt:lpstr>
      <vt:lpstr>STS_Londrina</vt:lpstr>
      <vt:lpstr>STS_Franca</vt:lpstr>
      <vt:lpstr>STS_Max_Sugar Londrina</vt:lpstr>
      <vt:lpstr>Add Dracena Supplier</vt:lpstr>
      <vt:lpstr>STS Dracena</vt:lpstr>
      <vt:lpstr>Optimization Model w no min</vt:lpstr>
      <vt:lpstr>Answer Report 2</vt:lpstr>
      <vt:lpstr>Sensitivity Report 2</vt:lpstr>
      <vt:lpstr>Limits Report 2</vt:lpstr>
      <vt:lpstr>Solution Sheet</vt:lpstr>
      <vt:lpstr>Changing Diesel Prices r=1</vt:lpstr>
      <vt:lpstr>STS r=1</vt:lpstr>
      <vt:lpstr>Changing Diesel Prices r!=1</vt:lpstr>
      <vt:lpstr>STS r!=1</vt:lpstr>
      <vt:lpstr>'STS Dracena'!ChartData</vt:lpstr>
      <vt:lpstr>'STS r=1'!ChartData</vt:lpstr>
      <vt:lpstr>STS_Franca!ChartData</vt:lpstr>
      <vt:lpstr>STS_Londrina!ChartData</vt:lpstr>
      <vt:lpstr>'STS_Max_Sugar Londrina'!ChartData</vt:lpstr>
      <vt:lpstr>'STS r!=1'!ChartData1</vt:lpstr>
      <vt:lpstr>'STS r!=1'!ChartData2</vt:lpstr>
      <vt:lpstr>'Add Dracena Supplier'!D1F</vt:lpstr>
      <vt:lpstr>'Changing Diesel Prices r!=1'!D1F</vt:lpstr>
      <vt:lpstr>'Changing Diesel Prices r=1'!D1F</vt:lpstr>
      <vt:lpstr>'Optimization Model w no min'!D1F</vt:lpstr>
      <vt:lpstr>'Plant Capacity Changes'!D1F</vt:lpstr>
      <vt:lpstr>D1F</vt:lpstr>
      <vt:lpstr>'Add Dracena Supplier'!D1L</vt:lpstr>
      <vt:lpstr>'Changing Diesel Prices r!=1'!D1L</vt:lpstr>
      <vt:lpstr>'Changing Diesel Prices r=1'!D1L</vt:lpstr>
      <vt:lpstr>'Optimization Model w no min'!D1L</vt:lpstr>
      <vt:lpstr>'Plant Capacity Changes'!D1L</vt:lpstr>
      <vt:lpstr>D1L</vt:lpstr>
      <vt:lpstr>'Add Dracena Supplier'!D1max</vt:lpstr>
      <vt:lpstr>'Changing Diesel Prices r!=1'!D1max</vt:lpstr>
      <vt:lpstr>'Changing Diesel Prices r=1'!D1max</vt:lpstr>
      <vt:lpstr>'Optimization Model w no min'!D1max</vt:lpstr>
      <vt:lpstr>'Plant Capacity Changes'!D1max</vt:lpstr>
      <vt:lpstr>D1max</vt:lpstr>
      <vt:lpstr>'Add Dracena Supplier'!D1min</vt:lpstr>
      <vt:lpstr>'Changing Diesel Prices r!=1'!D1min</vt:lpstr>
      <vt:lpstr>'Changing Diesel Prices r=1'!D1min</vt:lpstr>
      <vt:lpstr>'Optimization Model w no min'!D1min</vt:lpstr>
      <vt:lpstr>'Plant Capacity Changes'!D1min</vt:lpstr>
      <vt:lpstr>D1min</vt:lpstr>
      <vt:lpstr>'Add Dracena Supplier'!D1total</vt:lpstr>
      <vt:lpstr>'Changing Diesel Prices r!=1'!D1total</vt:lpstr>
      <vt:lpstr>'Changing Diesel Prices r=1'!D1total</vt:lpstr>
      <vt:lpstr>'Optimization Model w no min'!D1total</vt:lpstr>
      <vt:lpstr>'Plant Capacity Changes'!D1total</vt:lpstr>
      <vt:lpstr>D1total</vt:lpstr>
      <vt:lpstr>'Add Dracena Supplier'!D2F</vt:lpstr>
      <vt:lpstr>'Changing Diesel Prices r!=1'!D2F</vt:lpstr>
      <vt:lpstr>'Changing Diesel Prices r=1'!D2F</vt:lpstr>
      <vt:lpstr>'Optimization Model w no min'!D2F</vt:lpstr>
      <vt:lpstr>'Plant Capacity Changes'!D2F</vt:lpstr>
      <vt:lpstr>D2F</vt:lpstr>
      <vt:lpstr>'Add Dracena Supplier'!D2L</vt:lpstr>
      <vt:lpstr>'Changing Diesel Prices r!=1'!D2L</vt:lpstr>
      <vt:lpstr>'Changing Diesel Prices r=1'!D2L</vt:lpstr>
      <vt:lpstr>'Optimization Model w no min'!D2L</vt:lpstr>
      <vt:lpstr>'Plant Capacity Changes'!D2L</vt:lpstr>
      <vt:lpstr>D2L</vt:lpstr>
      <vt:lpstr>'Add Dracena Supplier'!D2max</vt:lpstr>
      <vt:lpstr>'Changing Diesel Prices r!=1'!D2max</vt:lpstr>
      <vt:lpstr>'Changing Diesel Prices r=1'!D2max</vt:lpstr>
      <vt:lpstr>'Optimization Model w no min'!D2max</vt:lpstr>
      <vt:lpstr>'Plant Capacity Changes'!D2max</vt:lpstr>
      <vt:lpstr>D2max</vt:lpstr>
      <vt:lpstr>'Add Dracena Supplier'!D2min</vt:lpstr>
      <vt:lpstr>'Changing Diesel Prices r!=1'!D2min</vt:lpstr>
      <vt:lpstr>'Changing Diesel Prices r=1'!D2min</vt:lpstr>
      <vt:lpstr>'Optimization Model w no min'!D2min</vt:lpstr>
      <vt:lpstr>'Plant Capacity Changes'!D2min</vt:lpstr>
      <vt:lpstr>D2min</vt:lpstr>
      <vt:lpstr>'Add Dracena Supplier'!D2total</vt:lpstr>
      <vt:lpstr>'Changing Diesel Prices r!=1'!D2total</vt:lpstr>
      <vt:lpstr>'Changing Diesel Prices r=1'!D2total</vt:lpstr>
      <vt:lpstr>'Optimization Model w no min'!D2total</vt:lpstr>
      <vt:lpstr>'Plant Capacity Changes'!D2total</vt:lpstr>
      <vt:lpstr>D2total</vt:lpstr>
      <vt:lpstr>'Add Dracena Supplier'!D3F</vt:lpstr>
      <vt:lpstr>'Changing Diesel Prices r!=1'!D3F</vt:lpstr>
      <vt:lpstr>'Changing Diesel Prices r=1'!D3F</vt:lpstr>
      <vt:lpstr>'Optimization Model w no min'!D3F</vt:lpstr>
      <vt:lpstr>'Plant Capacity Changes'!D3F</vt:lpstr>
      <vt:lpstr>D3F</vt:lpstr>
      <vt:lpstr>'Add Dracena Supplier'!D3L</vt:lpstr>
      <vt:lpstr>'Changing Diesel Prices r!=1'!D3L</vt:lpstr>
      <vt:lpstr>'Changing Diesel Prices r=1'!D3L</vt:lpstr>
      <vt:lpstr>'Optimization Model w no min'!D3L</vt:lpstr>
      <vt:lpstr>'Plant Capacity Changes'!D3L</vt:lpstr>
      <vt:lpstr>D3L</vt:lpstr>
      <vt:lpstr>'Add Dracena Supplier'!D3max</vt:lpstr>
      <vt:lpstr>'Changing Diesel Prices r!=1'!D3max</vt:lpstr>
      <vt:lpstr>'Changing Diesel Prices r=1'!D3max</vt:lpstr>
      <vt:lpstr>'Optimization Model w no min'!D3max</vt:lpstr>
      <vt:lpstr>'Plant Capacity Changes'!D3max</vt:lpstr>
      <vt:lpstr>D3max</vt:lpstr>
      <vt:lpstr>'Add Dracena Supplier'!D3min</vt:lpstr>
      <vt:lpstr>'Changing Diesel Prices r!=1'!D3min</vt:lpstr>
      <vt:lpstr>'Changing Diesel Prices r=1'!D3min</vt:lpstr>
      <vt:lpstr>'Optimization Model w no min'!D3min</vt:lpstr>
      <vt:lpstr>'Plant Capacity Changes'!D3min</vt:lpstr>
      <vt:lpstr>D3min</vt:lpstr>
      <vt:lpstr>'Add Dracena Supplier'!D3total</vt:lpstr>
      <vt:lpstr>'Changing Diesel Prices r!=1'!D3total</vt:lpstr>
      <vt:lpstr>'Changing Diesel Prices r=1'!D3total</vt:lpstr>
      <vt:lpstr>'Optimization Model w no min'!D3total</vt:lpstr>
      <vt:lpstr>'Plant Capacity Changes'!D3total</vt:lpstr>
      <vt:lpstr>D3total</vt:lpstr>
      <vt:lpstr>'Add Dracena Supplier'!D4F</vt:lpstr>
      <vt:lpstr>'Changing Diesel Prices r!=1'!D4F</vt:lpstr>
      <vt:lpstr>'Changing Diesel Prices r=1'!D4F</vt:lpstr>
      <vt:lpstr>'Optimization Model w no min'!D4F</vt:lpstr>
      <vt:lpstr>'Plant Capacity Changes'!D4F</vt:lpstr>
      <vt:lpstr>D4F</vt:lpstr>
      <vt:lpstr>'Add Dracena Supplier'!D4L</vt:lpstr>
      <vt:lpstr>'Changing Diesel Prices r!=1'!D4L</vt:lpstr>
      <vt:lpstr>'Changing Diesel Prices r=1'!D4L</vt:lpstr>
      <vt:lpstr>'Optimization Model w no min'!D4L</vt:lpstr>
      <vt:lpstr>'Plant Capacity Changes'!D4L</vt:lpstr>
      <vt:lpstr>D4L</vt:lpstr>
      <vt:lpstr>'Add Dracena Supplier'!D4max</vt:lpstr>
      <vt:lpstr>'Changing Diesel Prices r!=1'!D4max</vt:lpstr>
      <vt:lpstr>'Changing Diesel Prices r=1'!D4max</vt:lpstr>
      <vt:lpstr>'Optimization Model w no min'!D4max</vt:lpstr>
      <vt:lpstr>'Plant Capacity Changes'!D4max</vt:lpstr>
      <vt:lpstr>D4max</vt:lpstr>
      <vt:lpstr>'Add Dracena Supplier'!D4min</vt:lpstr>
      <vt:lpstr>'Changing Diesel Prices r!=1'!D4min</vt:lpstr>
      <vt:lpstr>'Changing Diesel Prices r=1'!D4min</vt:lpstr>
      <vt:lpstr>'Optimization Model w no min'!D4min</vt:lpstr>
      <vt:lpstr>'Plant Capacity Changes'!D4min</vt:lpstr>
      <vt:lpstr>D4min</vt:lpstr>
      <vt:lpstr>'Add Dracena Supplier'!D4total</vt:lpstr>
      <vt:lpstr>'Changing Diesel Prices r!=1'!D4total</vt:lpstr>
      <vt:lpstr>'Changing Diesel Prices r=1'!D4total</vt:lpstr>
      <vt:lpstr>'Optimization Model w no min'!D4total</vt:lpstr>
      <vt:lpstr>'Plant Capacity Changes'!D4total</vt:lpstr>
      <vt:lpstr>D4total</vt:lpstr>
      <vt:lpstr>'Add Dracena Supplier'!D5F</vt:lpstr>
      <vt:lpstr>'Changing Diesel Prices r!=1'!D5F</vt:lpstr>
      <vt:lpstr>'Changing Diesel Prices r=1'!D5F</vt:lpstr>
      <vt:lpstr>'Optimization Model w no min'!D5F</vt:lpstr>
      <vt:lpstr>'Plant Capacity Changes'!D5F</vt:lpstr>
      <vt:lpstr>D5F</vt:lpstr>
      <vt:lpstr>'Add Dracena Supplier'!D5L</vt:lpstr>
      <vt:lpstr>'Changing Diesel Prices r!=1'!D5L</vt:lpstr>
      <vt:lpstr>'Changing Diesel Prices r=1'!D5L</vt:lpstr>
      <vt:lpstr>'Optimization Model w no min'!D5L</vt:lpstr>
      <vt:lpstr>'Plant Capacity Changes'!D5L</vt:lpstr>
      <vt:lpstr>D5L</vt:lpstr>
      <vt:lpstr>'Add Dracena Supplier'!D5max</vt:lpstr>
      <vt:lpstr>'Changing Diesel Prices r!=1'!D5max</vt:lpstr>
      <vt:lpstr>'Changing Diesel Prices r=1'!D5max</vt:lpstr>
      <vt:lpstr>'Optimization Model w no min'!D5max</vt:lpstr>
      <vt:lpstr>'Plant Capacity Changes'!D5max</vt:lpstr>
      <vt:lpstr>D5max</vt:lpstr>
      <vt:lpstr>'Add Dracena Supplier'!D5min</vt:lpstr>
      <vt:lpstr>'Changing Diesel Prices r!=1'!D5min</vt:lpstr>
      <vt:lpstr>'Changing Diesel Prices r=1'!D5min</vt:lpstr>
      <vt:lpstr>'Optimization Model w no min'!D5min</vt:lpstr>
      <vt:lpstr>'Plant Capacity Changes'!D5min</vt:lpstr>
      <vt:lpstr>D5min</vt:lpstr>
      <vt:lpstr>'Add Dracena Supplier'!D5total</vt:lpstr>
      <vt:lpstr>'Changing Diesel Prices r!=1'!D5total</vt:lpstr>
      <vt:lpstr>'Changing Diesel Prices r=1'!D5total</vt:lpstr>
      <vt:lpstr>'Optimization Model w no min'!D5total</vt:lpstr>
      <vt:lpstr>'Plant Capacity Changes'!D5total</vt:lpstr>
      <vt:lpstr>D5total</vt:lpstr>
      <vt:lpstr>'Add Dracena Supplier'!D6F</vt:lpstr>
      <vt:lpstr>'Changing Diesel Prices r!=1'!D6F</vt:lpstr>
      <vt:lpstr>'Changing Diesel Prices r=1'!D6F</vt:lpstr>
      <vt:lpstr>'Optimization Model w no min'!D6F</vt:lpstr>
      <vt:lpstr>'Plant Capacity Changes'!D6F</vt:lpstr>
      <vt:lpstr>D6F</vt:lpstr>
      <vt:lpstr>'Add Dracena Supplier'!D6L</vt:lpstr>
      <vt:lpstr>'Changing Diesel Prices r!=1'!D6L</vt:lpstr>
      <vt:lpstr>'Changing Diesel Prices r=1'!D6L</vt:lpstr>
      <vt:lpstr>'Optimization Model w no min'!D6L</vt:lpstr>
      <vt:lpstr>'Plant Capacity Changes'!D6L</vt:lpstr>
      <vt:lpstr>D6L</vt:lpstr>
      <vt:lpstr>'Add Dracena Supplier'!D6max</vt:lpstr>
      <vt:lpstr>'Changing Diesel Prices r!=1'!D6max</vt:lpstr>
      <vt:lpstr>'Changing Diesel Prices r=1'!D6max</vt:lpstr>
      <vt:lpstr>'Optimization Model w no min'!D6max</vt:lpstr>
      <vt:lpstr>'Plant Capacity Changes'!D6max</vt:lpstr>
      <vt:lpstr>D6max</vt:lpstr>
      <vt:lpstr>'Add Dracena Supplier'!D6min</vt:lpstr>
      <vt:lpstr>'Changing Diesel Prices r!=1'!D6min</vt:lpstr>
      <vt:lpstr>'Changing Diesel Prices r=1'!D6min</vt:lpstr>
      <vt:lpstr>'Optimization Model w no min'!D6min</vt:lpstr>
      <vt:lpstr>'Plant Capacity Changes'!D6min</vt:lpstr>
      <vt:lpstr>D6min</vt:lpstr>
      <vt:lpstr>'Add Dracena Supplier'!D6total</vt:lpstr>
      <vt:lpstr>'Changing Diesel Prices r!=1'!D6total</vt:lpstr>
      <vt:lpstr>'Changing Diesel Prices r=1'!D6total</vt:lpstr>
      <vt:lpstr>'Optimization Model w no min'!D6total</vt:lpstr>
      <vt:lpstr>'Plant Capacity Changes'!D6total</vt:lpstr>
      <vt:lpstr>D6total</vt:lpstr>
      <vt:lpstr>'Add Dracena Supplier'!D7F</vt:lpstr>
      <vt:lpstr>'Changing Diesel Prices r!=1'!D7F</vt:lpstr>
      <vt:lpstr>'Changing Diesel Prices r=1'!D7F</vt:lpstr>
      <vt:lpstr>'Optimization Model w no min'!D7F</vt:lpstr>
      <vt:lpstr>'Plant Capacity Changes'!D7F</vt:lpstr>
      <vt:lpstr>D7F</vt:lpstr>
      <vt:lpstr>'Add Dracena Supplier'!D7L</vt:lpstr>
      <vt:lpstr>'Changing Diesel Prices r!=1'!D7L</vt:lpstr>
      <vt:lpstr>'Changing Diesel Prices r=1'!D7L</vt:lpstr>
      <vt:lpstr>'Optimization Model w no min'!D7L</vt:lpstr>
      <vt:lpstr>'Plant Capacity Changes'!D7L</vt:lpstr>
      <vt:lpstr>D7L</vt:lpstr>
      <vt:lpstr>'Add Dracena Supplier'!D7max</vt:lpstr>
      <vt:lpstr>'Changing Diesel Prices r!=1'!D7max</vt:lpstr>
      <vt:lpstr>'Changing Diesel Prices r=1'!D7max</vt:lpstr>
      <vt:lpstr>'Optimization Model w no min'!D7max</vt:lpstr>
      <vt:lpstr>'Plant Capacity Changes'!D7max</vt:lpstr>
      <vt:lpstr>D7max</vt:lpstr>
      <vt:lpstr>'Add Dracena Supplier'!D7min</vt:lpstr>
      <vt:lpstr>'Changing Diesel Prices r!=1'!D7min</vt:lpstr>
      <vt:lpstr>'Changing Diesel Prices r=1'!D7min</vt:lpstr>
      <vt:lpstr>'Optimization Model w no min'!D7min</vt:lpstr>
      <vt:lpstr>'Plant Capacity Changes'!D7min</vt:lpstr>
      <vt:lpstr>D7min</vt:lpstr>
      <vt:lpstr>'Add Dracena Supplier'!D7total</vt:lpstr>
      <vt:lpstr>'Changing Diesel Prices r!=1'!D7total</vt:lpstr>
      <vt:lpstr>'Changing Diesel Prices r=1'!D7total</vt:lpstr>
      <vt:lpstr>'Optimization Model w no min'!D7total</vt:lpstr>
      <vt:lpstr>'Plant Capacity Changes'!D7total</vt:lpstr>
      <vt:lpstr>D7total</vt:lpstr>
      <vt:lpstr>'Add Dracena Supplier'!D8F</vt:lpstr>
      <vt:lpstr>'Changing Diesel Prices r!=1'!D8F</vt:lpstr>
      <vt:lpstr>'Changing Diesel Prices r=1'!D8F</vt:lpstr>
      <vt:lpstr>'Optimization Model w no min'!D8F</vt:lpstr>
      <vt:lpstr>'Plant Capacity Changes'!D8F</vt:lpstr>
      <vt:lpstr>D8F</vt:lpstr>
      <vt:lpstr>'Add Dracena Supplier'!D8L</vt:lpstr>
      <vt:lpstr>'Changing Diesel Prices r!=1'!D8L</vt:lpstr>
      <vt:lpstr>'Changing Diesel Prices r=1'!D8L</vt:lpstr>
      <vt:lpstr>'Optimization Model w no min'!D8L</vt:lpstr>
      <vt:lpstr>'Plant Capacity Changes'!D8L</vt:lpstr>
      <vt:lpstr>D8L</vt:lpstr>
      <vt:lpstr>'Add Dracena Supplier'!D8max</vt:lpstr>
      <vt:lpstr>'Changing Diesel Prices r!=1'!D8max</vt:lpstr>
      <vt:lpstr>'Changing Diesel Prices r=1'!D8max</vt:lpstr>
      <vt:lpstr>'Optimization Model w no min'!D8max</vt:lpstr>
      <vt:lpstr>'Plant Capacity Changes'!D8max</vt:lpstr>
      <vt:lpstr>D8max</vt:lpstr>
      <vt:lpstr>'Add Dracena Supplier'!D8min</vt:lpstr>
      <vt:lpstr>'Changing Diesel Prices r!=1'!D8min</vt:lpstr>
      <vt:lpstr>'Changing Diesel Prices r=1'!D8min</vt:lpstr>
      <vt:lpstr>'Optimization Model w no min'!D8min</vt:lpstr>
      <vt:lpstr>'Plant Capacity Changes'!D8min</vt:lpstr>
      <vt:lpstr>D8min</vt:lpstr>
      <vt:lpstr>'Add Dracena Supplier'!D8total</vt:lpstr>
      <vt:lpstr>'Changing Diesel Prices r!=1'!D8total</vt:lpstr>
      <vt:lpstr>'Changing Diesel Prices r=1'!D8total</vt:lpstr>
      <vt:lpstr>'Optimization Model w no min'!D8total</vt:lpstr>
      <vt:lpstr>'Plant Capacity Changes'!D8total</vt:lpstr>
      <vt:lpstr>D8total</vt:lpstr>
      <vt:lpstr>'Add Dracena Supplier'!D9F</vt:lpstr>
      <vt:lpstr>'Changing Diesel Prices r!=1'!D9F</vt:lpstr>
      <vt:lpstr>'Changing Diesel Prices r=1'!D9F</vt:lpstr>
      <vt:lpstr>'Optimization Model w no min'!D9F</vt:lpstr>
      <vt:lpstr>'Plant Capacity Changes'!D9F</vt:lpstr>
      <vt:lpstr>D9F</vt:lpstr>
      <vt:lpstr>'Add Dracena Supplier'!D9L</vt:lpstr>
      <vt:lpstr>'Changing Diesel Prices r!=1'!D9L</vt:lpstr>
      <vt:lpstr>'Changing Diesel Prices r=1'!D9L</vt:lpstr>
      <vt:lpstr>'Optimization Model w no min'!D9L</vt:lpstr>
      <vt:lpstr>'Plant Capacity Changes'!D9L</vt:lpstr>
      <vt:lpstr>D9L</vt:lpstr>
      <vt:lpstr>'Add Dracena Supplier'!D9max</vt:lpstr>
      <vt:lpstr>'Changing Diesel Prices r!=1'!D9max</vt:lpstr>
      <vt:lpstr>'Changing Diesel Prices r=1'!D9max</vt:lpstr>
      <vt:lpstr>'Optimization Model w no min'!D9max</vt:lpstr>
      <vt:lpstr>'Plant Capacity Changes'!D9max</vt:lpstr>
      <vt:lpstr>D9max</vt:lpstr>
      <vt:lpstr>'Add Dracena Supplier'!D9min</vt:lpstr>
      <vt:lpstr>'Changing Diesel Prices r!=1'!D9min</vt:lpstr>
      <vt:lpstr>'Changing Diesel Prices r=1'!D9min</vt:lpstr>
      <vt:lpstr>'Optimization Model w no min'!D9min</vt:lpstr>
      <vt:lpstr>'Plant Capacity Changes'!D9min</vt:lpstr>
      <vt:lpstr>D9min</vt:lpstr>
      <vt:lpstr>'Add Dracena Supplier'!D9total</vt:lpstr>
      <vt:lpstr>'Changing Diesel Prices r!=1'!D9total</vt:lpstr>
      <vt:lpstr>'Changing Diesel Prices r=1'!D9total</vt:lpstr>
      <vt:lpstr>'Optimization Model w no min'!D9total</vt:lpstr>
      <vt:lpstr>'Plant Capacity Changes'!D9total</vt:lpstr>
      <vt:lpstr>D9total</vt:lpstr>
      <vt:lpstr>'Add Dracena Supplier'!Fbag</vt:lpstr>
      <vt:lpstr>'Changing Diesel Prices r!=1'!Fbag</vt:lpstr>
      <vt:lpstr>'Changing Diesel Prices r=1'!Fbag</vt:lpstr>
      <vt:lpstr>'Optimization Model w no min'!Fbag</vt:lpstr>
      <vt:lpstr>'Plant Capacity Changes'!Fbag</vt:lpstr>
      <vt:lpstr>Fbag</vt:lpstr>
      <vt:lpstr>'Add Dracena Supplier'!Fmol</vt:lpstr>
      <vt:lpstr>'Changing Diesel Prices r!=1'!Fmol</vt:lpstr>
      <vt:lpstr>'Changing Diesel Prices r=1'!Fmol</vt:lpstr>
      <vt:lpstr>'Optimization Model w no min'!Fmol</vt:lpstr>
      <vt:lpstr>'Plant Capacity Changes'!Fmol</vt:lpstr>
      <vt:lpstr>Fmol</vt:lpstr>
      <vt:lpstr>'Add Dracena Supplier'!Fmolmax</vt:lpstr>
      <vt:lpstr>'Changing Diesel Prices r!=1'!Fmolmax</vt:lpstr>
      <vt:lpstr>'Changing Diesel Prices r=1'!Fmolmax</vt:lpstr>
      <vt:lpstr>'Optimization Model w no min'!Fmolmax</vt:lpstr>
      <vt:lpstr>'Plant Capacity Changes'!Fmolmax</vt:lpstr>
      <vt:lpstr>Fmolmax</vt:lpstr>
      <vt:lpstr>'Add Dracena Supplier'!Fmolmin</vt:lpstr>
      <vt:lpstr>'Changing Diesel Prices r!=1'!Fmolmin</vt:lpstr>
      <vt:lpstr>'Changing Diesel Prices r=1'!Fmolmin</vt:lpstr>
      <vt:lpstr>'Optimization Model w no min'!Fmolmin</vt:lpstr>
      <vt:lpstr>'Plant Capacity Changes'!Fmolmin</vt:lpstr>
      <vt:lpstr>Fmolmin</vt:lpstr>
      <vt:lpstr>'Plant Capacity Changes'!Frefine</vt:lpstr>
      <vt:lpstr>'Add Dracena Supplier'!Fsug</vt:lpstr>
      <vt:lpstr>'Changing Diesel Prices r!=1'!Fsug</vt:lpstr>
      <vt:lpstr>'Changing Diesel Prices r=1'!Fsug</vt:lpstr>
      <vt:lpstr>'Optimization Model w no min'!Fsug</vt:lpstr>
      <vt:lpstr>'Plant Capacity Changes'!Fsug</vt:lpstr>
      <vt:lpstr>Fsug</vt:lpstr>
      <vt:lpstr>'Add Dracena Supplier'!Fsugmax</vt:lpstr>
      <vt:lpstr>'Changing Diesel Prices r!=1'!Fsugmax</vt:lpstr>
      <vt:lpstr>'Changing Diesel Prices r=1'!Fsugmax</vt:lpstr>
      <vt:lpstr>'Optimization Model w no min'!Fsugmax</vt:lpstr>
      <vt:lpstr>'Plant Capacity Changes'!Fsugmax</vt:lpstr>
      <vt:lpstr>Fsugmax</vt:lpstr>
      <vt:lpstr>'Add Dracena Supplier'!Fsugmin</vt:lpstr>
      <vt:lpstr>'Changing Diesel Prices r!=1'!Fsugmin</vt:lpstr>
      <vt:lpstr>'Changing Diesel Prices r=1'!Fsugmin</vt:lpstr>
      <vt:lpstr>'Optimization Model w no min'!Fsugmin</vt:lpstr>
      <vt:lpstr>'Plant Capacity Changes'!Fsugmin</vt:lpstr>
      <vt:lpstr>Fsugmin</vt:lpstr>
      <vt:lpstr>'Add Dracena Supplier'!Ftotal</vt:lpstr>
      <vt:lpstr>'Changing Diesel Prices r!=1'!Ftotal</vt:lpstr>
      <vt:lpstr>'Changing Diesel Prices r=1'!Ftotal</vt:lpstr>
      <vt:lpstr>'Optimization Model w no min'!Ftotal</vt:lpstr>
      <vt:lpstr>'Plant Capacity Changes'!Ftotal</vt:lpstr>
      <vt:lpstr>Ftotal</vt:lpstr>
      <vt:lpstr>'STS Dracena'!InputValues</vt:lpstr>
      <vt:lpstr>'STS r=1'!InputValues</vt:lpstr>
      <vt:lpstr>STS_Franca!InputValues</vt:lpstr>
      <vt:lpstr>STS_Londrina!InputValues</vt:lpstr>
      <vt:lpstr>'STS_Max_Sugar Londrina'!InputValues</vt:lpstr>
      <vt:lpstr>'STS r!=1'!InputValues1</vt:lpstr>
      <vt:lpstr>'STS r!=1'!InputValues2</vt:lpstr>
      <vt:lpstr>'Add Dracena Supplier'!Lbag</vt:lpstr>
      <vt:lpstr>'Changing Diesel Prices r!=1'!Lbag</vt:lpstr>
      <vt:lpstr>'Changing Diesel Prices r=1'!Lbag</vt:lpstr>
      <vt:lpstr>'Optimization Model w no min'!Lbag</vt:lpstr>
      <vt:lpstr>'Plant Capacity Changes'!Lbag</vt:lpstr>
      <vt:lpstr>Lbag</vt:lpstr>
      <vt:lpstr>'Add Dracena Supplier'!Lmol</vt:lpstr>
      <vt:lpstr>'Changing Diesel Prices r!=1'!Lmol</vt:lpstr>
      <vt:lpstr>'Changing Diesel Prices r=1'!Lmol</vt:lpstr>
      <vt:lpstr>'Optimization Model w no min'!Lmol</vt:lpstr>
      <vt:lpstr>'Plant Capacity Changes'!Lmol</vt:lpstr>
      <vt:lpstr>Lmol</vt:lpstr>
      <vt:lpstr>'Add Dracena Supplier'!Lmolmax</vt:lpstr>
      <vt:lpstr>'Changing Diesel Prices r!=1'!Lmolmax</vt:lpstr>
      <vt:lpstr>'Changing Diesel Prices r=1'!Lmolmax</vt:lpstr>
      <vt:lpstr>'Optimization Model w no min'!Lmolmax</vt:lpstr>
      <vt:lpstr>'Plant Capacity Changes'!Lmolmax</vt:lpstr>
      <vt:lpstr>Lmolmax</vt:lpstr>
      <vt:lpstr>'Add Dracena Supplier'!Lmolmin</vt:lpstr>
      <vt:lpstr>'Changing Diesel Prices r!=1'!Lmolmin</vt:lpstr>
      <vt:lpstr>'Changing Diesel Prices r=1'!Lmolmin</vt:lpstr>
      <vt:lpstr>'Optimization Model w no min'!Lmolmin</vt:lpstr>
      <vt:lpstr>'Plant Capacity Changes'!Lmolmin</vt:lpstr>
      <vt:lpstr>Lmolmin</vt:lpstr>
      <vt:lpstr>'Plant Capacity Changes'!Lrefine</vt:lpstr>
      <vt:lpstr>'Add Dracena Supplier'!Lrefmax</vt:lpstr>
      <vt:lpstr>'Changing Diesel Prices r!=1'!Lrefmax</vt:lpstr>
      <vt:lpstr>'Changing Diesel Prices r=1'!Lrefmax</vt:lpstr>
      <vt:lpstr>'Optimization Model w no min'!Lrefmax</vt:lpstr>
      <vt:lpstr>'Plant Capacity Changes'!Lrefmax</vt:lpstr>
      <vt:lpstr>Lrefmax</vt:lpstr>
      <vt:lpstr>'Add Dracena Supplier'!Lrefmin</vt:lpstr>
      <vt:lpstr>'Changing Diesel Prices r!=1'!Lrefmin</vt:lpstr>
      <vt:lpstr>'Changing Diesel Prices r=1'!Lrefmin</vt:lpstr>
      <vt:lpstr>'Optimization Model w no min'!Lrefmin</vt:lpstr>
      <vt:lpstr>'Plant Capacity Changes'!Lrefmin</vt:lpstr>
      <vt:lpstr>Lrefmin</vt:lpstr>
      <vt:lpstr>'Add Dracena Supplier'!Lsug</vt:lpstr>
      <vt:lpstr>'Changing Diesel Prices r!=1'!Lsug</vt:lpstr>
      <vt:lpstr>'Changing Diesel Prices r=1'!Lsug</vt:lpstr>
      <vt:lpstr>'Optimization Model w no min'!Lsug</vt:lpstr>
      <vt:lpstr>'Plant Capacity Changes'!Lsug</vt:lpstr>
      <vt:lpstr>Lsug</vt:lpstr>
      <vt:lpstr>'Add Dracena Supplier'!Lsugmax</vt:lpstr>
      <vt:lpstr>'Changing Diesel Prices r!=1'!Lsugmax</vt:lpstr>
      <vt:lpstr>'Changing Diesel Prices r=1'!Lsugmax</vt:lpstr>
      <vt:lpstr>'Optimization Model w no min'!Lsugmax</vt:lpstr>
      <vt:lpstr>'Plant Capacity Changes'!Lsugmax</vt:lpstr>
      <vt:lpstr>Lsugmax</vt:lpstr>
      <vt:lpstr>'Add Dracena Supplier'!Lsugmin</vt:lpstr>
      <vt:lpstr>'Changing Diesel Prices r!=1'!Lsugmin</vt:lpstr>
      <vt:lpstr>'Changing Diesel Prices r=1'!Lsugmin</vt:lpstr>
      <vt:lpstr>'Optimization Model w no min'!Lsugmin</vt:lpstr>
      <vt:lpstr>'Plant Capacity Changes'!Lsugmin</vt:lpstr>
      <vt:lpstr>Lsugmin</vt:lpstr>
      <vt:lpstr>'Add Dracena Supplier'!Ltotal</vt:lpstr>
      <vt:lpstr>'Changing Diesel Prices r!=1'!Ltotal</vt:lpstr>
      <vt:lpstr>'Changing Diesel Prices r=1'!Ltotal</vt:lpstr>
      <vt:lpstr>'Optimization Model w no min'!Ltotal</vt:lpstr>
      <vt:lpstr>'Plant Capacity Changes'!Ltotal</vt:lpstr>
      <vt:lpstr>Ltotal</vt:lpstr>
      <vt:lpstr>'Add Dracena Supplier'!moltotal</vt:lpstr>
      <vt:lpstr>'Changing Diesel Prices r!=1'!moltotal</vt:lpstr>
      <vt:lpstr>'Changing Diesel Prices r=1'!moltotal</vt:lpstr>
      <vt:lpstr>'Optimization Model w no min'!moltotal</vt:lpstr>
      <vt:lpstr>'Plant Capacity Changes'!moltotal</vt:lpstr>
      <vt:lpstr>moltotal</vt:lpstr>
      <vt:lpstr>'STS Dracena'!OutputAddresses</vt:lpstr>
      <vt:lpstr>'STS r!=1'!OutputAddresses</vt:lpstr>
      <vt:lpstr>'STS r=1'!OutputAddresses</vt:lpstr>
      <vt:lpstr>STS_Franca!OutputAddresses</vt:lpstr>
      <vt:lpstr>STS_Londrina!OutputAddresses</vt:lpstr>
      <vt:lpstr>'STS_Max_Sugar Londrina'!OutputAddresses</vt:lpstr>
      <vt:lpstr>'STS Dracena'!OutputValues</vt:lpstr>
      <vt:lpstr>'STS r=1'!OutputValues</vt:lpstr>
      <vt:lpstr>STS_Franca!OutputValues</vt:lpstr>
      <vt:lpstr>STS_Londrina!OutputValues</vt:lpstr>
      <vt:lpstr>'STS_Max_Sugar Londrina'!OutputValues</vt:lpstr>
      <vt:lpstr>'STS r!=1'!OutputValues_1</vt:lpstr>
      <vt:lpstr>'Add Dracena Supplier'!Profit</vt:lpstr>
      <vt:lpstr>'Changing Diesel Prices r!=1'!Profit</vt:lpstr>
      <vt:lpstr>'Changing Diesel Prices r=1'!Profit</vt:lpstr>
      <vt:lpstr>'Optimization Model w no min'!Profit</vt:lpstr>
      <vt:lpstr>'Plant Capacity Changes'!Profit</vt:lpstr>
      <vt:lpstr>Profit</vt:lpstr>
      <vt:lpstr>'Add Dracena Supplier'!S1F</vt:lpstr>
      <vt:lpstr>'Changing Diesel Prices r!=1'!S1F</vt:lpstr>
      <vt:lpstr>'Changing Diesel Prices r=1'!S1F</vt:lpstr>
      <vt:lpstr>'Optimization Model w no min'!S1F</vt:lpstr>
      <vt:lpstr>'Plant Capacity Changes'!S1F</vt:lpstr>
      <vt:lpstr>S1F</vt:lpstr>
      <vt:lpstr>'Add Dracena Supplier'!S1L</vt:lpstr>
      <vt:lpstr>'Changing Diesel Prices r!=1'!S1L</vt:lpstr>
      <vt:lpstr>'Changing Diesel Prices r=1'!S1L</vt:lpstr>
      <vt:lpstr>'Optimization Model w no min'!S1L</vt:lpstr>
      <vt:lpstr>'Plant Capacity Changes'!S1L</vt:lpstr>
      <vt:lpstr>S1L</vt:lpstr>
      <vt:lpstr>'Add Dracena Supplier'!S1max</vt:lpstr>
      <vt:lpstr>'Changing Diesel Prices r!=1'!S1max</vt:lpstr>
      <vt:lpstr>'Changing Diesel Prices r=1'!S1max</vt:lpstr>
      <vt:lpstr>'Optimization Model w no min'!S1max</vt:lpstr>
      <vt:lpstr>'Plant Capacity Changes'!S1max</vt:lpstr>
      <vt:lpstr>S1max</vt:lpstr>
      <vt:lpstr>'Add Dracena Supplier'!S1total</vt:lpstr>
      <vt:lpstr>'Changing Diesel Prices r!=1'!S1total</vt:lpstr>
      <vt:lpstr>'Changing Diesel Prices r=1'!S1total</vt:lpstr>
      <vt:lpstr>'Optimization Model w no min'!S1total</vt:lpstr>
      <vt:lpstr>'Plant Capacity Changes'!S1total</vt:lpstr>
      <vt:lpstr>S1total</vt:lpstr>
      <vt:lpstr>'Add Dracena Supplier'!S2F</vt:lpstr>
      <vt:lpstr>'Changing Diesel Prices r!=1'!S2F</vt:lpstr>
      <vt:lpstr>'Changing Diesel Prices r=1'!S2F</vt:lpstr>
      <vt:lpstr>'Optimization Model w no min'!S2F</vt:lpstr>
      <vt:lpstr>'Plant Capacity Changes'!S2F</vt:lpstr>
      <vt:lpstr>S2F</vt:lpstr>
      <vt:lpstr>'Add Dracena Supplier'!S2L</vt:lpstr>
      <vt:lpstr>'Changing Diesel Prices r!=1'!S2L</vt:lpstr>
      <vt:lpstr>'Changing Diesel Prices r=1'!S2L</vt:lpstr>
      <vt:lpstr>'Optimization Model w no min'!S2L</vt:lpstr>
      <vt:lpstr>'Plant Capacity Changes'!S2L</vt:lpstr>
      <vt:lpstr>S2L</vt:lpstr>
      <vt:lpstr>'Add Dracena Supplier'!S2max</vt:lpstr>
      <vt:lpstr>'Changing Diesel Prices r!=1'!S2max</vt:lpstr>
      <vt:lpstr>'Changing Diesel Prices r=1'!S2max</vt:lpstr>
      <vt:lpstr>'Optimization Model w no min'!S2max</vt:lpstr>
      <vt:lpstr>'Plant Capacity Changes'!S2max</vt:lpstr>
      <vt:lpstr>S2max</vt:lpstr>
      <vt:lpstr>'Add Dracena Supplier'!S2total</vt:lpstr>
      <vt:lpstr>'Changing Diesel Prices r!=1'!S2total</vt:lpstr>
      <vt:lpstr>'Changing Diesel Prices r=1'!S2total</vt:lpstr>
      <vt:lpstr>'Optimization Model w no min'!S2total</vt:lpstr>
      <vt:lpstr>'Plant Capacity Changes'!S2total</vt:lpstr>
      <vt:lpstr>S2total</vt:lpstr>
      <vt:lpstr>'Add Dracena Supplier'!S3F</vt:lpstr>
      <vt:lpstr>'Changing Diesel Prices r!=1'!S3F</vt:lpstr>
      <vt:lpstr>'Changing Diesel Prices r=1'!S3F</vt:lpstr>
      <vt:lpstr>'Optimization Model w no min'!S3F</vt:lpstr>
      <vt:lpstr>'Plant Capacity Changes'!S3F</vt:lpstr>
      <vt:lpstr>S3F</vt:lpstr>
      <vt:lpstr>'Add Dracena Supplier'!S3L</vt:lpstr>
      <vt:lpstr>'Changing Diesel Prices r!=1'!S3L</vt:lpstr>
      <vt:lpstr>'Changing Diesel Prices r=1'!S3L</vt:lpstr>
      <vt:lpstr>'Optimization Model w no min'!S3L</vt:lpstr>
      <vt:lpstr>'Plant Capacity Changes'!S3L</vt:lpstr>
      <vt:lpstr>S3L</vt:lpstr>
      <vt:lpstr>'Add Dracena Supplier'!S3max</vt:lpstr>
      <vt:lpstr>'Changing Diesel Prices r!=1'!S3max</vt:lpstr>
      <vt:lpstr>'Changing Diesel Prices r=1'!S3max</vt:lpstr>
      <vt:lpstr>'Optimization Model w no min'!S3max</vt:lpstr>
      <vt:lpstr>'Plant Capacity Changes'!S3max</vt:lpstr>
      <vt:lpstr>S3max</vt:lpstr>
      <vt:lpstr>'Add Dracena Supplier'!S3total</vt:lpstr>
      <vt:lpstr>'Changing Diesel Prices r!=1'!S3total</vt:lpstr>
      <vt:lpstr>'Changing Diesel Prices r=1'!S3total</vt:lpstr>
      <vt:lpstr>'Optimization Model w no min'!S3total</vt:lpstr>
      <vt:lpstr>'Plant Capacity Changes'!S3total</vt:lpstr>
      <vt:lpstr>S3total</vt:lpstr>
      <vt:lpstr>'Add Dracena Supplier'!S4F</vt:lpstr>
      <vt:lpstr>'Changing Diesel Prices r!=1'!S4F</vt:lpstr>
      <vt:lpstr>'Changing Diesel Prices r=1'!S4F</vt:lpstr>
      <vt:lpstr>'Optimization Model w no min'!S4F</vt:lpstr>
      <vt:lpstr>'Plant Capacity Changes'!S4F</vt:lpstr>
      <vt:lpstr>S4F</vt:lpstr>
      <vt:lpstr>'Add Dracena Supplier'!S4L</vt:lpstr>
      <vt:lpstr>'Changing Diesel Prices r!=1'!S4L</vt:lpstr>
      <vt:lpstr>'Changing Diesel Prices r=1'!S4L</vt:lpstr>
      <vt:lpstr>'Optimization Model w no min'!S4L</vt:lpstr>
      <vt:lpstr>'Plant Capacity Changes'!S4L</vt:lpstr>
      <vt:lpstr>S4L</vt:lpstr>
      <vt:lpstr>'Add Dracena Supplier'!S4max</vt:lpstr>
      <vt:lpstr>'Changing Diesel Prices r!=1'!S4max</vt:lpstr>
      <vt:lpstr>'Changing Diesel Prices r=1'!S4max</vt:lpstr>
      <vt:lpstr>'Optimization Model w no min'!S4max</vt:lpstr>
      <vt:lpstr>'Plant Capacity Changes'!S4max</vt:lpstr>
      <vt:lpstr>S4max</vt:lpstr>
      <vt:lpstr>'Add Dracena Supplier'!S4total</vt:lpstr>
      <vt:lpstr>'Changing Diesel Prices r!=1'!S4total</vt:lpstr>
      <vt:lpstr>'Changing Diesel Prices r=1'!S4total</vt:lpstr>
      <vt:lpstr>'Optimization Model w no min'!S4total</vt:lpstr>
      <vt:lpstr>'Plant Capacity Changes'!S4total</vt:lpstr>
      <vt:lpstr>S4total</vt:lpstr>
      <vt:lpstr>'Add Dracena Supplier'!S5F</vt:lpstr>
      <vt:lpstr>'Changing Diesel Prices r!=1'!S5F</vt:lpstr>
      <vt:lpstr>'Changing Diesel Prices r=1'!S5F</vt:lpstr>
      <vt:lpstr>'Optimization Model w no min'!S5F</vt:lpstr>
      <vt:lpstr>'Plant Capacity Changes'!S5F</vt:lpstr>
      <vt:lpstr>S5F</vt:lpstr>
      <vt:lpstr>'Add Dracena Supplier'!S5L</vt:lpstr>
      <vt:lpstr>'Changing Diesel Prices r!=1'!S5L</vt:lpstr>
      <vt:lpstr>'Changing Diesel Prices r=1'!S5L</vt:lpstr>
      <vt:lpstr>'Optimization Model w no min'!S5L</vt:lpstr>
      <vt:lpstr>'Plant Capacity Changes'!S5L</vt:lpstr>
      <vt:lpstr>S5L</vt:lpstr>
      <vt:lpstr>'Add Dracena Supplier'!S5max</vt:lpstr>
      <vt:lpstr>'Changing Diesel Prices r!=1'!S5max</vt:lpstr>
      <vt:lpstr>'Changing Diesel Prices r=1'!S5max</vt:lpstr>
      <vt:lpstr>'Optimization Model w no min'!S5max</vt:lpstr>
      <vt:lpstr>'Plant Capacity Changes'!S5max</vt:lpstr>
      <vt:lpstr>S5max</vt:lpstr>
      <vt:lpstr>'Add Dracena Supplier'!S5total</vt:lpstr>
      <vt:lpstr>'Changing Diesel Prices r!=1'!S5total</vt:lpstr>
      <vt:lpstr>'Changing Diesel Prices r=1'!S5total</vt:lpstr>
      <vt:lpstr>'Optimization Model w no min'!S5total</vt:lpstr>
      <vt:lpstr>'Plant Capacity Changes'!S5total</vt:lpstr>
      <vt:lpstr>S5total</vt:lpstr>
      <vt:lpstr>'Add Dracena Supplier'!S6F</vt:lpstr>
      <vt:lpstr>'Changing Diesel Prices r!=1'!S6F</vt:lpstr>
      <vt:lpstr>'Changing Diesel Prices r=1'!S6F</vt:lpstr>
      <vt:lpstr>'Optimization Model w no min'!S6F</vt:lpstr>
      <vt:lpstr>'Plant Capacity Changes'!S6F</vt:lpstr>
      <vt:lpstr>S6F</vt:lpstr>
      <vt:lpstr>'Add Dracena Supplier'!S6L</vt:lpstr>
      <vt:lpstr>'Changing Diesel Prices r!=1'!S6L</vt:lpstr>
      <vt:lpstr>'Changing Diesel Prices r=1'!S6L</vt:lpstr>
      <vt:lpstr>'Optimization Model w no min'!S6L</vt:lpstr>
      <vt:lpstr>'Plant Capacity Changes'!S6L</vt:lpstr>
      <vt:lpstr>S6L</vt:lpstr>
      <vt:lpstr>'Add Dracena Supplier'!S6max</vt:lpstr>
      <vt:lpstr>'Changing Diesel Prices r!=1'!S6max</vt:lpstr>
      <vt:lpstr>'Changing Diesel Prices r=1'!S6max</vt:lpstr>
      <vt:lpstr>'Optimization Model w no min'!S6max</vt:lpstr>
      <vt:lpstr>'Plant Capacity Changes'!S6max</vt:lpstr>
      <vt:lpstr>S6max</vt:lpstr>
      <vt:lpstr>'Add Dracena Supplier'!S6total</vt:lpstr>
      <vt:lpstr>'Changing Diesel Prices r!=1'!S6total</vt:lpstr>
      <vt:lpstr>'Changing Diesel Prices r=1'!S6total</vt:lpstr>
      <vt:lpstr>'Optimization Model w no min'!S6total</vt:lpstr>
      <vt:lpstr>'Plant Capacity Changes'!S6total</vt:lpstr>
      <vt:lpstr>S6total</vt:lpstr>
      <vt:lpstr>'Add Dracena Supplier'!S7F</vt:lpstr>
      <vt:lpstr>'Changing Diesel Prices r!=1'!S7F</vt:lpstr>
      <vt:lpstr>'Changing Diesel Prices r=1'!S7F</vt:lpstr>
      <vt:lpstr>'Optimization Model w no min'!S7F</vt:lpstr>
      <vt:lpstr>'Plant Capacity Changes'!S7F</vt:lpstr>
      <vt:lpstr>S7F</vt:lpstr>
      <vt:lpstr>'Add Dracena Supplier'!S7L</vt:lpstr>
      <vt:lpstr>'Changing Diesel Prices r!=1'!S7L</vt:lpstr>
      <vt:lpstr>'Changing Diesel Prices r=1'!S7L</vt:lpstr>
      <vt:lpstr>'Optimization Model w no min'!S7L</vt:lpstr>
      <vt:lpstr>'Plant Capacity Changes'!S7L</vt:lpstr>
      <vt:lpstr>S7L</vt:lpstr>
      <vt:lpstr>'Add Dracena Supplier'!S7max</vt:lpstr>
      <vt:lpstr>'Changing Diesel Prices r!=1'!S7max</vt:lpstr>
      <vt:lpstr>'Changing Diesel Prices r=1'!S7max</vt:lpstr>
      <vt:lpstr>'Optimization Model w no min'!S7max</vt:lpstr>
      <vt:lpstr>'Plant Capacity Changes'!S7max</vt:lpstr>
      <vt:lpstr>S7max</vt:lpstr>
      <vt:lpstr>'Add Dracena Supplier'!S7total</vt:lpstr>
      <vt:lpstr>'Changing Diesel Prices r!=1'!S7total</vt:lpstr>
      <vt:lpstr>'Changing Diesel Prices r=1'!S7total</vt:lpstr>
      <vt:lpstr>'Optimization Model w no min'!S7total</vt:lpstr>
      <vt:lpstr>'Plant Capacity Changes'!S7total</vt:lpstr>
      <vt:lpstr>S7total</vt:lpstr>
      <vt:lpstr>'Add Dracena Supplier'!S8F</vt:lpstr>
      <vt:lpstr>'Changing Diesel Prices r!=1'!S8F</vt:lpstr>
      <vt:lpstr>'Changing Diesel Prices r=1'!S8F</vt:lpstr>
      <vt:lpstr>'Optimization Model w no min'!S8F</vt:lpstr>
      <vt:lpstr>'Plant Capacity Changes'!S8F</vt:lpstr>
      <vt:lpstr>S8F</vt:lpstr>
      <vt:lpstr>'Add Dracena Supplier'!S8max</vt:lpstr>
      <vt:lpstr>'Changing Diesel Prices r!=1'!S8max</vt:lpstr>
      <vt:lpstr>'Changing Diesel Prices r=1'!S8max</vt:lpstr>
      <vt:lpstr>'Optimization Model w no min'!S8max</vt:lpstr>
      <vt:lpstr>'Plant Capacity Changes'!S8max</vt:lpstr>
      <vt:lpstr>S8max</vt:lpstr>
      <vt:lpstr>'Add Dracena Supplier'!S8total</vt:lpstr>
      <vt:lpstr>'Changing Diesel Prices r!=1'!S8total</vt:lpstr>
      <vt:lpstr>'Changing Diesel Prices r=1'!S8total</vt:lpstr>
      <vt:lpstr>'Optimization Model w no min'!S8total</vt:lpstr>
      <vt:lpstr>'Plant Capacity Changes'!S8total</vt:lpstr>
      <vt:lpstr>S8total</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 Brown</dc:creator>
  <cp:lastModifiedBy>Chelsea Alford</cp:lastModifiedBy>
  <dcterms:created xsi:type="dcterms:W3CDTF">2012-04-17T18:58:17Z</dcterms:created>
  <dcterms:modified xsi:type="dcterms:W3CDTF">2021-03-22T01:38:52Z</dcterms:modified>
</cp:coreProperties>
</file>