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autoCompressPictures="0"/>
  <mc:AlternateContent xmlns:mc="http://schemas.openxmlformats.org/markup-compatibility/2006">
    <mc:Choice Requires="x15">
      <x15ac:absPath xmlns:x15ac="http://schemas.microsoft.com/office/spreadsheetml/2010/11/ac" url="C:\Users\Kevin\Documents\ENERGY 204 - Energy Transformation Collaborative\Cost Modelling\Capital Intensity of PV Manufacturing\"/>
    </mc:Choice>
  </mc:AlternateContent>
  <bookViews>
    <workbookView xWindow="0" yWindow="0" windowWidth="14385" windowHeight="4628" tabRatio="500"/>
  </bookViews>
  <sheets>
    <sheet name="Sheet1" sheetId="1" r:id="rId1"/>
    <sheet name="Notes" sheetId="2" r:id="rId2"/>
  </sheets>
  <definedNames>
    <definedName name="solver_adj" localSheetId="0" hidden="1">Sheet1!$C$283,Sheet1!$C$312,Sheet1!$C$341,Sheet1!$C$370</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hs1" localSheetId="0" hidden="1">Sheet1!$X$333</definedName>
    <definedName name="solver_lhs2" localSheetId="0" hidden="1">Sheet1!$X$362</definedName>
    <definedName name="solver_lhs3" localSheetId="0" hidden="1">Sheet1!$X$391</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opt" localSheetId="0" hidden="1">Sheet1!$X$304</definedName>
    <definedName name="solver_pre" localSheetId="0" hidden="1">0.000001</definedName>
    <definedName name="solver_rbv" localSheetId="0" hidden="1">1</definedName>
    <definedName name="solver_rel1" localSheetId="0" hidden="1">2</definedName>
    <definedName name="solver_rel2" localSheetId="0" hidden="1">2</definedName>
    <definedName name="solver_rel3" localSheetId="0" hidden="1">2</definedName>
    <definedName name="solver_rhs1" localSheetId="0" hidden="1">0</definedName>
    <definedName name="solver_rhs2" localSheetId="0" hidden="1">0</definedName>
    <definedName name="solver_rhs3"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2</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73" i="1" l="1"/>
  <c r="C74" i="1"/>
  <c r="E142" i="1"/>
  <c r="C20" i="1"/>
  <c r="C189" i="1"/>
  <c r="H142" i="1"/>
  <c r="E143" i="1"/>
  <c r="H143" i="1"/>
  <c r="E144" i="1"/>
  <c r="H144" i="1"/>
  <c r="E145" i="1"/>
  <c r="H145" i="1"/>
  <c r="E146" i="1"/>
  <c r="H146" i="1"/>
  <c r="E147" i="1"/>
  <c r="H147" i="1"/>
  <c r="E148" i="1"/>
  <c r="H148" i="1"/>
  <c r="E149" i="1"/>
  <c r="H149" i="1"/>
  <c r="E150" i="1"/>
  <c r="H150" i="1"/>
  <c r="H151" i="1"/>
  <c r="F142" i="1"/>
  <c r="I142" i="1"/>
  <c r="F143" i="1"/>
  <c r="I143" i="1"/>
  <c r="F144" i="1"/>
  <c r="I144" i="1"/>
  <c r="F145" i="1"/>
  <c r="I145" i="1"/>
  <c r="F146" i="1"/>
  <c r="I146" i="1"/>
  <c r="F147" i="1"/>
  <c r="I147" i="1"/>
  <c r="F148" i="1"/>
  <c r="I148" i="1"/>
  <c r="F149" i="1"/>
  <c r="I149" i="1"/>
  <c r="F150" i="1"/>
  <c r="I150" i="1"/>
  <c r="I151" i="1"/>
  <c r="C161" i="1"/>
  <c r="L45" i="1"/>
  <c r="F169" i="1"/>
  <c r="I169" i="1"/>
  <c r="G169" i="1"/>
  <c r="J169" i="1"/>
  <c r="H169" i="1"/>
  <c r="K169" i="1"/>
  <c r="L169" i="1"/>
  <c r="L46" i="1"/>
  <c r="C182" i="1"/>
  <c r="D182" i="1"/>
  <c r="E182" i="1"/>
  <c r="L47" i="1"/>
  <c r="D259" i="1"/>
  <c r="E259" i="1"/>
  <c r="F259" i="1"/>
  <c r="G52" i="1"/>
  <c r="L52" i="1"/>
  <c r="D255" i="1"/>
  <c r="E255" i="1"/>
  <c r="F255" i="1"/>
  <c r="G53" i="1"/>
  <c r="L53" i="1"/>
  <c r="D258" i="1"/>
  <c r="E258" i="1"/>
  <c r="F258" i="1"/>
  <c r="G54" i="1"/>
  <c r="L54" i="1"/>
  <c r="D261" i="1"/>
  <c r="E261" i="1"/>
  <c r="F261" i="1"/>
  <c r="G55" i="1"/>
  <c r="L55" i="1"/>
  <c r="D257" i="1"/>
  <c r="E257" i="1"/>
  <c r="F257" i="1"/>
  <c r="G57" i="1"/>
  <c r="L57" i="1"/>
  <c r="C262" i="1"/>
  <c r="D262" i="1"/>
  <c r="E262" i="1"/>
  <c r="F262" i="1"/>
  <c r="G58" i="1"/>
  <c r="L58" i="1"/>
  <c r="C266" i="1"/>
  <c r="C265" i="1"/>
  <c r="C267" i="1"/>
  <c r="G60" i="1"/>
  <c r="L60" i="1"/>
  <c r="L61" i="1"/>
  <c r="E370" i="1"/>
  <c r="E371" i="1"/>
  <c r="F371" i="1"/>
  <c r="C25" i="1"/>
  <c r="C26" i="1"/>
  <c r="C371" i="1"/>
  <c r="D371" i="1"/>
  <c r="L371" i="1"/>
  <c r="S370" i="1"/>
  <c r="T370" i="1"/>
  <c r="C366" i="1"/>
  <c r="C367" i="1"/>
  <c r="U370" i="1"/>
  <c r="X370" i="1"/>
  <c r="H371" i="1"/>
  <c r="J371" i="1"/>
  <c r="K371" i="1"/>
  <c r="M371" i="1"/>
  <c r="V371" i="1"/>
  <c r="N371" i="1"/>
  <c r="Q371" i="1"/>
  <c r="C24" i="1"/>
  <c r="R371" i="1"/>
  <c r="E372" i="1"/>
  <c r="F372" i="1"/>
  <c r="C372" i="1"/>
  <c r="D372" i="1"/>
  <c r="L372" i="1"/>
  <c r="S371" i="1"/>
  <c r="T371" i="1"/>
  <c r="X371" i="1"/>
  <c r="H372" i="1"/>
  <c r="J372" i="1"/>
  <c r="K372" i="1"/>
  <c r="M372" i="1"/>
  <c r="V372" i="1"/>
  <c r="N372" i="1"/>
  <c r="O371" i="1"/>
  <c r="P371" i="1"/>
  <c r="Q372" i="1"/>
  <c r="R372" i="1"/>
  <c r="E373" i="1"/>
  <c r="F373" i="1"/>
  <c r="C373" i="1"/>
  <c r="D373" i="1"/>
  <c r="L373" i="1"/>
  <c r="S372" i="1"/>
  <c r="T372" i="1"/>
  <c r="X372" i="1"/>
  <c r="H373" i="1"/>
  <c r="J373" i="1"/>
  <c r="K373" i="1"/>
  <c r="M373" i="1"/>
  <c r="V373" i="1"/>
  <c r="N373" i="1"/>
  <c r="O372" i="1"/>
  <c r="P372" i="1"/>
  <c r="Q373" i="1"/>
  <c r="R373" i="1"/>
  <c r="E374" i="1"/>
  <c r="F374" i="1"/>
  <c r="C374" i="1"/>
  <c r="D374" i="1"/>
  <c r="L374" i="1"/>
  <c r="S373" i="1"/>
  <c r="T373" i="1"/>
  <c r="X373" i="1"/>
  <c r="H374" i="1"/>
  <c r="J374" i="1"/>
  <c r="K374" i="1"/>
  <c r="M374" i="1"/>
  <c r="V374" i="1"/>
  <c r="N374" i="1"/>
  <c r="O373" i="1"/>
  <c r="P373" i="1"/>
  <c r="Q374" i="1"/>
  <c r="R374" i="1"/>
  <c r="E375" i="1"/>
  <c r="F375" i="1"/>
  <c r="C375" i="1"/>
  <c r="D375" i="1"/>
  <c r="L375" i="1"/>
  <c r="S374" i="1"/>
  <c r="T374" i="1"/>
  <c r="X374" i="1"/>
  <c r="H375" i="1"/>
  <c r="J375" i="1"/>
  <c r="K375" i="1"/>
  <c r="M375" i="1"/>
  <c r="V375" i="1"/>
  <c r="N375" i="1"/>
  <c r="O374" i="1"/>
  <c r="P374" i="1"/>
  <c r="Q375" i="1"/>
  <c r="R375" i="1"/>
  <c r="E376" i="1"/>
  <c r="F376" i="1"/>
  <c r="C376" i="1"/>
  <c r="D376" i="1"/>
  <c r="L376" i="1"/>
  <c r="S375" i="1"/>
  <c r="T375" i="1"/>
  <c r="X375" i="1"/>
  <c r="H376" i="1"/>
  <c r="J376" i="1"/>
  <c r="K376" i="1"/>
  <c r="M376" i="1"/>
  <c r="V376" i="1"/>
  <c r="N376" i="1"/>
  <c r="O375" i="1"/>
  <c r="P375" i="1"/>
  <c r="Q376" i="1"/>
  <c r="R376" i="1"/>
  <c r="E377" i="1"/>
  <c r="F377" i="1"/>
  <c r="C377" i="1"/>
  <c r="D377" i="1"/>
  <c r="L377" i="1"/>
  <c r="S376" i="1"/>
  <c r="T376" i="1"/>
  <c r="X376" i="1"/>
  <c r="H377" i="1"/>
  <c r="J377" i="1"/>
  <c r="K377" i="1"/>
  <c r="M377" i="1"/>
  <c r="V377" i="1"/>
  <c r="W377" i="1"/>
  <c r="N377" i="1"/>
  <c r="O376" i="1"/>
  <c r="P376" i="1"/>
  <c r="Q377" i="1"/>
  <c r="R377" i="1"/>
  <c r="S377" i="1"/>
  <c r="T377" i="1"/>
  <c r="X377" i="1"/>
  <c r="C378" i="1"/>
  <c r="D378" i="1"/>
  <c r="E378" i="1"/>
  <c r="F378" i="1"/>
  <c r="H378" i="1"/>
  <c r="J378" i="1"/>
  <c r="K378" i="1"/>
  <c r="L378" i="1"/>
  <c r="M378" i="1"/>
  <c r="R378" i="1"/>
  <c r="E379" i="1"/>
  <c r="F379" i="1"/>
  <c r="L379" i="1"/>
  <c r="S378" i="1"/>
  <c r="T378" i="1"/>
  <c r="V378" i="1"/>
  <c r="X378" i="1"/>
  <c r="C379" i="1"/>
  <c r="D379" i="1"/>
  <c r="H379" i="1"/>
  <c r="J379" i="1"/>
  <c r="K379" i="1"/>
  <c r="M379" i="1"/>
  <c r="R379" i="1"/>
  <c r="E380" i="1"/>
  <c r="F380" i="1"/>
  <c r="L380" i="1"/>
  <c r="S379" i="1"/>
  <c r="T379" i="1"/>
  <c r="V379" i="1"/>
  <c r="X379" i="1"/>
  <c r="C380" i="1"/>
  <c r="D380" i="1"/>
  <c r="H380" i="1"/>
  <c r="J380" i="1"/>
  <c r="K380" i="1"/>
  <c r="M380" i="1"/>
  <c r="R380" i="1"/>
  <c r="E381" i="1"/>
  <c r="F381" i="1"/>
  <c r="L381" i="1"/>
  <c r="S380" i="1"/>
  <c r="T380" i="1"/>
  <c r="V380" i="1"/>
  <c r="X380" i="1"/>
  <c r="C381" i="1"/>
  <c r="D381" i="1"/>
  <c r="H381" i="1"/>
  <c r="J381" i="1"/>
  <c r="K381" i="1"/>
  <c r="M381" i="1"/>
  <c r="R381" i="1"/>
  <c r="E382" i="1"/>
  <c r="F382" i="1"/>
  <c r="L382" i="1"/>
  <c r="S381" i="1"/>
  <c r="T381" i="1"/>
  <c r="V381" i="1"/>
  <c r="X381" i="1"/>
  <c r="C382" i="1"/>
  <c r="D382" i="1"/>
  <c r="H382" i="1"/>
  <c r="J382" i="1"/>
  <c r="K382" i="1"/>
  <c r="M382" i="1"/>
  <c r="R382" i="1"/>
  <c r="E383" i="1"/>
  <c r="F383" i="1"/>
  <c r="L383" i="1"/>
  <c r="S382" i="1"/>
  <c r="T382" i="1"/>
  <c r="V382" i="1"/>
  <c r="X382" i="1"/>
  <c r="C383" i="1"/>
  <c r="D383" i="1"/>
  <c r="H383" i="1"/>
  <c r="J383" i="1"/>
  <c r="K383" i="1"/>
  <c r="M383" i="1"/>
  <c r="R383" i="1"/>
  <c r="E384" i="1"/>
  <c r="F384" i="1"/>
  <c r="L384" i="1"/>
  <c r="S383" i="1"/>
  <c r="T383" i="1"/>
  <c r="V383" i="1"/>
  <c r="X383" i="1"/>
  <c r="C384" i="1"/>
  <c r="D384" i="1"/>
  <c r="H384" i="1"/>
  <c r="J384" i="1"/>
  <c r="K384" i="1"/>
  <c r="M384" i="1"/>
  <c r="R384" i="1"/>
  <c r="E385" i="1"/>
  <c r="F385" i="1"/>
  <c r="L385" i="1"/>
  <c r="S384" i="1"/>
  <c r="T384" i="1"/>
  <c r="V384" i="1"/>
  <c r="X384" i="1"/>
  <c r="C385" i="1"/>
  <c r="D385" i="1"/>
  <c r="H385" i="1"/>
  <c r="J385" i="1"/>
  <c r="K385" i="1"/>
  <c r="M385" i="1"/>
  <c r="R385" i="1"/>
  <c r="E386" i="1"/>
  <c r="F386" i="1"/>
  <c r="L386" i="1"/>
  <c r="S385" i="1"/>
  <c r="T385" i="1"/>
  <c r="V385" i="1"/>
  <c r="X385" i="1"/>
  <c r="C386" i="1"/>
  <c r="D386" i="1"/>
  <c r="H386" i="1"/>
  <c r="J386" i="1"/>
  <c r="K386" i="1"/>
  <c r="M386" i="1"/>
  <c r="R386" i="1"/>
  <c r="E387" i="1"/>
  <c r="F387" i="1"/>
  <c r="L387" i="1"/>
  <c r="S386" i="1"/>
  <c r="T386" i="1"/>
  <c r="V386" i="1"/>
  <c r="X386" i="1"/>
  <c r="C387" i="1"/>
  <c r="D387" i="1"/>
  <c r="H387" i="1"/>
  <c r="J387" i="1"/>
  <c r="K387" i="1"/>
  <c r="M387" i="1"/>
  <c r="R387" i="1"/>
  <c r="E388" i="1"/>
  <c r="F388" i="1"/>
  <c r="L388" i="1"/>
  <c r="S387" i="1"/>
  <c r="T387" i="1"/>
  <c r="V387" i="1"/>
  <c r="X387" i="1"/>
  <c r="C388" i="1"/>
  <c r="D388" i="1"/>
  <c r="H388" i="1"/>
  <c r="J388" i="1"/>
  <c r="K388" i="1"/>
  <c r="M388" i="1"/>
  <c r="R388" i="1"/>
  <c r="E389" i="1"/>
  <c r="F389" i="1"/>
  <c r="L389" i="1"/>
  <c r="S388" i="1"/>
  <c r="T388" i="1"/>
  <c r="V388" i="1"/>
  <c r="X388" i="1"/>
  <c r="C389" i="1"/>
  <c r="D389" i="1"/>
  <c r="H389" i="1"/>
  <c r="J389" i="1"/>
  <c r="K389" i="1"/>
  <c r="M389" i="1"/>
  <c r="R389" i="1"/>
  <c r="E390" i="1"/>
  <c r="F390" i="1"/>
  <c r="L390" i="1"/>
  <c r="S389" i="1"/>
  <c r="T389" i="1"/>
  <c r="V389" i="1"/>
  <c r="X389" i="1"/>
  <c r="C390" i="1"/>
  <c r="D390" i="1"/>
  <c r="H390" i="1"/>
  <c r="J390" i="1"/>
  <c r="K390" i="1"/>
  <c r="M390" i="1"/>
  <c r="R390" i="1"/>
  <c r="S390" i="1"/>
  <c r="T390" i="1"/>
  <c r="V390" i="1"/>
  <c r="X390" i="1"/>
  <c r="X392" i="1"/>
  <c r="X391" i="1"/>
  <c r="W390" i="1"/>
  <c r="O377" i="1"/>
  <c r="P377" i="1"/>
  <c r="O378" i="1"/>
  <c r="Q378" i="1"/>
  <c r="P378" i="1"/>
  <c r="O379" i="1"/>
  <c r="Q379" i="1"/>
  <c r="P379" i="1"/>
  <c r="O380" i="1"/>
  <c r="Q380" i="1"/>
  <c r="P380" i="1"/>
  <c r="O381" i="1"/>
  <c r="Q381" i="1"/>
  <c r="P381" i="1"/>
  <c r="O382" i="1"/>
  <c r="Q382" i="1"/>
  <c r="P382" i="1"/>
  <c r="O383" i="1"/>
  <c r="Q383" i="1"/>
  <c r="P383" i="1"/>
  <c r="O384" i="1"/>
  <c r="Q384" i="1"/>
  <c r="P384" i="1"/>
  <c r="O385" i="1"/>
  <c r="Q385" i="1"/>
  <c r="P385" i="1"/>
  <c r="O386" i="1"/>
  <c r="Q386" i="1"/>
  <c r="P386" i="1"/>
  <c r="O387" i="1"/>
  <c r="Q387" i="1"/>
  <c r="P387" i="1"/>
  <c r="O388" i="1"/>
  <c r="Q388" i="1"/>
  <c r="P388" i="1"/>
  <c r="O389" i="1"/>
  <c r="Q389" i="1"/>
  <c r="P389" i="1"/>
  <c r="Q390" i="1"/>
  <c r="O390" i="1"/>
  <c r="P390" i="1"/>
  <c r="N390" i="1"/>
  <c r="W389" i="1"/>
  <c r="N389" i="1"/>
  <c r="W388" i="1"/>
  <c r="N388" i="1"/>
  <c r="W387" i="1"/>
  <c r="N387" i="1"/>
  <c r="W386" i="1"/>
  <c r="N386" i="1"/>
  <c r="W385" i="1"/>
  <c r="N385" i="1"/>
  <c r="W384" i="1"/>
  <c r="N384" i="1"/>
  <c r="W383" i="1"/>
  <c r="N383" i="1"/>
  <c r="W382" i="1"/>
  <c r="N382" i="1"/>
  <c r="W381" i="1"/>
  <c r="N381" i="1"/>
  <c r="W380" i="1"/>
  <c r="N380" i="1"/>
  <c r="W379" i="1"/>
  <c r="N379" i="1"/>
  <c r="W378" i="1"/>
  <c r="N378" i="1"/>
  <c r="W376" i="1"/>
  <c r="W375" i="1"/>
  <c r="W374" i="1"/>
  <c r="W373" i="1"/>
  <c r="W372" i="1"/>
  <c r="W371" i="1"/>
  <c r="W370" i="1"/>
  <c r="H370" i="1"/>
  <c r="K370" i="1"/>
  <c r="L370" i="1"/>
  <c r="M370" i="1"/>
  <c r="R370" i="1"/>
  <c r="N370" i="1"/>
  <c r="E127" i="1"/>
  <c r="C188" i="1"/>
  <c r="H127" i="1"/>
  <c r="E128" i="1"/>
  <c r="H128" i="1"/>
  <c r="E129" i="1"/>
  <c r="H129" i="1"/>
  <c r="E130" i="1"/>
  <c r="H130" i="1"/>
  <c r="E131" i="1"/>
  <c r="H131" i="1"/>
  <c r="E132" i="1"/>
  <c r="H132" i="1"/>
  <c r="E133" i="1"/>
  <c r="H133" i="1"/>
  <c r="E134" i="1"/>
  <c r="H134" i="1"/>
  <c r="E135" i="1"/>
  <c r="H135" i="1"/>
  <c r="E136" i="1"/>
  <c r="H136" i="1"/>
  <c r="E137" i="1"/>
  <c r="H137" i="1"/>
  <c r="E138" i="1"/>
  <c r="H138" i="1"/>
  <c r="E139" i="1"/>
  <c r="H139" i="1"/>
  <c r="H140" i="1"/>
  <c r="F127" i="1"/>
  <c r="I127" i="1"/>
  <c r="F128" i="1"/>
  <c r="I128" i="1"/>
  <c r="F129" i="1"/>
  <c r="I129" i="1"/>
  <c r="F130" i="1"/>
  <c r="I130" i="1"/>
  <c r="F131" i="1"/>
  <c r="I131" i="1"/>
  <c r="F132" i="1"/>
  <c r="I132" i="1"/>
  <c r="F133" i="1"/>
  <c r="I133" i="1"/>
  <c r="F134" i="1"/>
  <c r="I134" i="1"/>
  <c r="F135" i="1"/>
  <c r="I135" i="1"/>
  <c r="F136" i="1"/>
  <c r="I136" i="1"/>
  <c r="F137" i="1"/>
  <c r="I137" i="1"/>
  <c r="F138" i="1"/>
  <c r="I138" i="1"/>
  <c r="F139" i="1"/>
  <c r="I139" i="1"/>
  <c r="I140" i="1"/>
  <c r="C160" i="1"/>
  <c r="K45" i="1"/>
  <c r="F168" i="1"/>
  <c r="I168" i="1"/>
  <c r="G168" i="1"/>
  <c r="J168" i="1"/>
  <c r="H168" i="1"/>
  <c r="K168" i="1"/>
  <c r="L168" i="1"/>
  <c r="K46" i="1"/>
  <c r="C181" i="1"/>
  <c r="D181" i="1"/>
  <c r="E181" i="1"/>
  <c r="K47" i="1"/>
  <c r="C233" i="1"/>
  <c r="C234" i="1"/>
  <c r="C236" i="1"/>
  <c r="C237" i="1"/>
  <c r="C238" i="1"/>
  <c r="C240" i="1"/>
  <c r="C241" i="1"/>
  <c r="C242" i="1"/>
  <c r="C243" i="1"/>
  <c r="C48" i="1"/>
  <c r="G48" i="1"/>
  <c r="K48" i="1"/>
  <c r="G56" i="1"/>
  <c r="K56" i="1"/>
  <c r="C249" i="1"/>
  <c r="C250" i="1"/>
  <c r="C251" i="1"/>
  <c r="C59" i="1"/>
  <c r="G59" i="1"/>
  <c r="K59" i="1"/>
  <c r="K61" i="1"/>
  <c r="E341" i="1"/>
  <c r="E342" i="1"/>
  <c r="F342" i="1"/>
  <c r="C342" i="1"/>
  <c r="D342" i="1"/>
  <c r="L342" i="1"/>
  <c r="S341" i="1"/>
  <c r="T341" i="1"/>
  <c r="C337" i="1"/>
  <c r="C338" i="1"/>
  <c r="U341" i="1"/>
  <c r="X341" i="1"/>
  <c r="H342" i="1"/>
  <c r="J342" i="1"/>
  <c r="K342" i="1"/>
  <c r="M342" i="1"/>
  <c r="V342" i="1"/>
  <c r="N342" i="1"/>
  <c r="Q342" i="1"/>
  <c r="R342" i="1"/>
  <c r="E343" i="1"/>
  <c r="F343" i="1"/>
  <c r="C343" i="1"/>
  <c r="D343" i="1"/>
  <c r="L343" i="1"/>
  <c r="S342" i="1"/>
  <c r="T342" i="1"/>
  <c r="X342" i="1"/>
  <c r="H343" i="1"/>
  <c r="J343" i="1"/>
  <c r="K343" i="1"/>
  <c r="M343" i="1"/>
  <c r="V343" i="1"/>
  <c r="N343" i="1"/>
  <c r="O342" i="1"/>
  <c r="P342" i="1"/>
  <c r="Q343" i="1"/>
  <c r="R343" i="1"/>
  <c r="E344" i="1"/>
  <c r="F344" i="1"/>
  <c r="C344" i="1"/>
  <c r="D344" i="1"/>
  <c r="L344" i="1"/>
  <c r="S343" i="1"/>
  <c r="T343" i="1"/>
  <c r="X343" i="1"/>
  <c r="H344" i="1"/>
  <c r="J344" i="1"/>
  <c r="K344" i="1"/>
  <c r="M344" i="1"/>
  <c r="V344" i="1"/>
  <c r="N344" i="1"/>
  <c r="O343" i="1"/>
  <c r="P343" i="1"/>
  <c r="Q344" i="1"/>
  <c r="R344" i="1"/>
  <c r="E345" i="1"/>
  <c r="F345" i="1"/>
  <c r="C345" i="1"/>
  <c r="D345" i="1"/>
  <c r="L345" i="1"/>
  <c r="S344" i="1"/>
  <c r="T344" i="1"/>
  <c r="X344" i="1"/>
  <c r="H345" i="1"/>
  <c r="J345" i="1"/>
  <c r="K345" i="1"/>
  <c r="M345" i="1"/>
  <c r="V345" i="1"/>
  <c r="N345" i="1"/>
  <c r="O344" i="1"/>
  <c r="P344" i="1"/>
  <c r="Q345" i="1"/>
  <c r="R345" i="1"/>
  <c r="E346" i="1"/>
  <c r="F346" i="1"/>
  <c r="C346" i="1"/>
  <c r="D346" i="1"/>
  <c r="L346" i="1"/>
  <c r="S345" i="1"/>
  <c r="T345" i="1"/>
  <c r="X345" i="1"/>
  <c r="H346" i="1"/>
  <c r="J346" i="1"/>
  <c r="K346" i="1"/>
  <c r="M346" i="1"/>
  <c r="V346" i="1"/>
  <c r="N346" i="1"/>
  <c r="O345" i="1"/>
  <c r="P345" i="1"/>
  <c r="Q346" i="1"/>
  <c r="R346" i="1"/>
  <c r="E347" i="1"/>
  <c r="F347" i="1"/>
  <c r="C347" i="1"/>
  <c r="D347" i="1"/>
  <c r="L347" i="1"/>
  <c r="S346" i="1"/>
  <c r="T346" i="1"/>
  <c r="X346" i="1"/>
  <c r="H347" i="1"/>
  <c r="J347" i="1"/>
  <c r="K347" i="1"/>
  <c r="M347" i="1"/>
  <c r="V347" i="1"/>
  <c r="N347" i="1"/>
  <c r="O346" i="1"/>
  <c r="P346" i="1"/>
  <c r="Q347" i="1"/>
  <c r="R347" i="1"/>
  <c r="E348" i="1"/>
  <c r="F348" i="1"/>
  <c r="C348" i="1"/>
  <c r="D348" i="1"/>
  <c r="L348" i="1"/>
  <c r="S347" i="1"/>
  <c r="T347" i="1"/>
  <c r="X347" i="1"/>
  <c r="H348" i="1"/>
  <c r="J348" i="1"/>
  <c r="K348" i="1"/>
  <c r="M348" i="1"/>
  <c r="V348" i="1"/>
  <c r="W348" i="1"/>
  <c r="N348" i="1"/>
  <c r="O347" i="1"/>
  <c r="P347" i="1"/>
  <c r="Q348" i="1"/>
  <c r="R348" i="1"/>
  <c r="S348" i="1"/>
  <c r="T348" i="1"/>
  <c r="X348" i="1"/>
  <c r="C349" i="1"/>
  <c r="D349" i="1"/>
  <c r="E349" i="1"/>
  <c r="F349" i="1"/>
  <c r="H349" i="1"/>
  <c r="J349" i="1"/>
  <c r="K349" i="1"/>
  <c r="L349" i="1"/>
  <c r="M349" i="1"/>
  <c r="R349" i="1"/>
  <c r="E350" i="1"/>
  <c r="F350" i="1"/>
  <c r="L350" i="1"/>
  <c r="S349" i="1"/>
  <c r="T349" i="1"/>
  <c r="V349" i="1"/>
  <c r="X349" i="1"/>
  <c r="C350" i="1"/>
  <c r="D350" i="1"/>
  <c r="H350" i="1"/>
  <c r="J350" i="1"/>
  <c r="K350" i="1"/>
  <c r="M350" i="1"/>
  <c r="R350" i="1"/>
  <c r="E351" i="1"/>
  <c r="F351" i="1"/>
  <c r="L351" i="1"/>
  <c r="S350" i="1"/>
  <c r="T350" i="1"/>
  <c r="V350" i="1"/>
  <c r="X350" i="1"/>
  <c r="C351" i="1"/>
  <c r="D351" i="1"/>
  <c r="H351" i="1"/>
  <c r="J351" i="1"/>
  <c r="K351" i="1"/>
  <c r="M351" i="1"/>
  <c r="R351" i="1"/>
  <c r="E352" i="1"/>
  <c r="F352" i="1"/>
  <c r="L352" i="1"/>
  <c r="S351" i="1"/>
  <c r="T351" i="1"/>
  <c r="V351" i="1"/>
  <c r="X351" i="1"/>
  <c r="C352" i="1"/>
  <c r="D352" i="1"/>
  <c r="H352" i="1"/>
  <c r="J352" i="1"/>
  <c r="K352" i="1"/>
  <c r="M352" i="1"/>
  <c r="R352" i="1"/>
  <c r="E353" i="1"/>
  <c r="F353" i="1"/>
  <c r="L353" i="1"/>
  <c r="S352" i="1"/>
  <c r="T352" i="1"/>
  <c r="V352" i="1"/>
  <c r="X352" i="1"/>
  <c r="C353" i="1"/>
  <c r="D353" i="1"/>
  <c r="H353" i="1"/>
  <c r="J353" i="1"/>
  <c r="K353" i="1"/>
  <c r="M353" i="1"/>
  <c r="R353" i="1"/>
  <c r="E354" i="1"/>
  <c r="F354" i="1"/>
  <c r="L354" i="1"/>
  <c r="S353" i="1"/>
  <c r="T353" i="1"/>
  <c r="V353" i="1"/>
  <c r="X353" i="1"/>
  <c r="C354" i="1"/>
  <c r="D354" i="1"/>
  <c r="H354" i="1"/>
  <c r="J354" i="1"/>
  <c r="K354" i="1"/>
  <c r="M354" i="1"/>
  <c r="R354" i="1"/>
  <c r="E355" i="1"/>
  <c r="F355" i="1"/>
  <c r="L355" i="1"/>
  <c r="S354" i="1"/>
  <c r="T354" i="1"/>
  <c r="V354" i="1"/>
  <c r="X354" i="1"/>
  <c r="C355" i="1"/>
  <c r="D355" i="1"/>
  <c r="H355" i="1"/>
  <c r="J355" i="1"/>
  <c r="K355" i="1"/>
  <c r="M355" i="1"/>
  <c r="R355" i="1"/>
  <c r="E356" i="1"/>
  <c r="F356" i="1"/>
  <c r="L356" i="1"/>
  <c r="S355" i="1"/>
  <c r="T355" i="1"/>
  <c r="V355" i="1"/>
  <c r="X355" i="1"/>
  <c r="C356" i="1"/>
  <c r="D356" i="1"/>
  <c r="H356" i="1"/>
  <c r="J356" i="1"/>
  <c r="K356" i="1"/>
  <c r="M356" i="1"/>
  <c r="R356" i="1"/>
  <c r="E357" i="1"/>
  <c r="F357" i="1"/>
  <c r="L357" i="1"/>
  <c r="S356" i="1"/>
  <c r="T356" i="1"/>
  <c r="V356" i="1"/>
  <c r="X356" i="1"/>
  <c r="C357" i="1"/>
  <c r="D357" i="1"/>
  <c r="H357" i="1"/>
  <c r="J357" i="1"/>
  <c r="K357" i="1"/>
  <c r="M357" i="1"/>
  <c r="R357" i="1"/>
  <c r="E358" i="1"/>
  <c r="F358" i="1"/>
  <c r="L358" i="1"/>
  <c r="S357" i="1"/>
  <c r="T357" i="1"/>
  <c r="V357" i="1"/>
  <c r="X357" i="1"/>
  <c r="C358" i="1"/>
  <c r="D358" i="1"/>
  <c r="H358" i="1"/>
  <c r="J358" i="1"/>
  <c r="K358" i="1"/>
  <c r="M358" i="1"/>
  <c r="R358" i="1"/>
  <c r="E359" i="1"/>
  <c r="F359" i="1"/>
  <c r="L359" i="1"/>
  <c r="S358" i="1"/>
  <c r="T358" i="1"/>
  <c r="V358" i="1"/>
  <c r="X358" i="1"/>
  <c r="C359" i="1"/>
  <c r="D359" i="1"/>
  <c r="H359" i="1"/>
  <c r="J359" i="1"/>
  <c r="K359" i="1"/>
  <c r="M359" i="1"/>
  <c r="R359" i="1"/>
  <c r="E360" i="1"/>
  <c r="F360" i="1"/>
  <c r="L360" i="1"/>
  <c r="S359" i="1"/>
  <c r="T359" i="1"/>
  <c r="V359" i="1"/>
  <c r="X359" i="1"/>
  <c r="C360" i="1"/>
  <c r="D360" i="1"/>
  <c r="H360" i="1"/>
  <c r="J360" i="1"/>
  <c r="K360" i="1"/>
  <c r="M360" i="1"/>
  <c r="R360" i="1"/>
  <c r="E361" i="1"/>
  <c r="F361" i="1"/>
  <c r="L361" i="1"/>
  <c r="S360" i="1"/>
  <c r="T360" i="1"/>
  <c r="V360" i="1"/>
  <c r="X360" i="1"/>
  <c r="C361" i="1"/>
  <c r="D361" i="1"/>
  <c r="H361" i="1"/>
  <c r="J361" i="1"/>
  <c r="K361" i="1"/>
  <c r="M361" i="1"/>
  <c r="R361" i="1"/>
  <c r="S361" i="1"/>
  <c r="T361" i="1"/>
  <c r="V361" i="1"/>
  <c r="X361" i="1"/>
  <c r="X363" i="1"/>
  <c r="X362" i="1"/>
  <c r="W361" i="1"/>
  <c r="O348" i="1"/>
  <c r="P348" i="1"/>
  <c r="O349" i="1"/>
  <c r="Q349" i="1"/>
  <c r="P349" i="1"/>
  <c r="O350" i="1"/>
  <c r="Q350" i="1"/>
  <c r="P350" i="1"/>
  <c r="O351" i="1"/>
  <c r="Q351" i="1"/>
  <c r="P351" i="1"/>
  <c r="O352" i="1"/>
  <c r="Q352" i="1"/>
  <c r="P352" i="1"/>
  <c r="O353" i="1"/>
  <c r="Q353" i="1"/>
  <c r="P353" i="1"/>
  <c r="O354" i="1"/>
  <c r="Q354" i="1"/>
  <c r="P354" i="1"/>
  <c r="O355" i="1"/>
  <c r="Q355" i="1"/>
  <c r="P355" i="1"/>
  <c r="O356" i="1"/>
  <c r="Q356" i="1"/>
  <c r="P356" i="1"/>
  <c r="O357" i="1"/>
  <c r="Q357" i="1"/>
  <c r="P357" i="1"/>
  <c r="O358" i="1"/>
  <c r="Q358" i="1"/>
  <c r="P358" i="1"/>
  <c r="O359" i="1"/>
  <c r="Q359" i="1"/>
  <c r="P359" i="1"/>
  <c r="O360" i="1"/>
  <c r="Q360" i="1"/>
  <c r="P360" i="1"/>
  <c r="Q361" i="1"/>
  <c r="O361" i="1"/>
  <c r="P361" i="1"/>
  <c r="N361" i="1"/>
  <c r="W360" i="1"/>
  <c r="N360" i="1"/>
  <c r="W359" i="1"/>
  <c r="N359" i="1"/>
  <c r="W358" i="1"/>
  <c r="N358" i="1"/>
  <c r="W357" i="1"/>
  <c r="N357" i="1"/>
  <c r="W356" i="1"/>
  <c r="N356" i="1"/>
  <c r="W355" i="1"/>
  <c r="N355" i="1"/>
  <c r="W354" i="1"/>
  <c r="N354" i="1"/>
  <c r="W353" i="1"/>
  <c r="N353" i="1"/>
  <c r="W352" i="1"/>
  <c r="N352" i="1"/>
  <c r="W351" i="1"/>
  <c r="N351" i="1"/>
  <c r="W350" i="1"/>
  <c r="N350" i="1"/>
  <c r="W349" i="1"/>
  <c r="N349" i="1"/>
  <c r="W347" i="1"/>
  <c r="W346" i="1"/>
  <c r="W345" i="1"/>
  <c r="W344" i="1"/>
  <c r="W343" i="1"/>
  <c r="W342" i="1"/>
  <c r="W341" i="1"/>
  <c r="V341" i="1"/>
  <c r="H341" i="1"/>
  <c r="K341" i="1"/>
  <c r="L341" i="1"/>
  <c r="M341" i="1"/>
  <c r="R341" i="1"/>
  <c r="N341" i="1"/>
  <c r="E116" i="1"/>
  <c r="H116" i="1"/>
  <c r="E117" i="1"/>
  <c r="H117" i="1"/>
  <c r="E118" i="1"/>
  <c r="H118" i="1"/>
  <c r="E119" i="1"/>
  <c r="H119" i="1"/>
  <c r="E120" i="1"/>
  <c r="H120" i="1"/>
  <c r="E121" i="1"/>
  <c r="H121" i="1"/>
  <c r="E122" i="1"/>
  <c r="H122" i="1"/>
  <c r="E123" i="1"/>
  <c r="H123" i="1"/>
  <c r="E124" i="1"/>
  <c r="H124" i="1"/>
  <c r="H125" i="1"/>
  <c r="F116" i="1"/>
  <c r="I116" i="1"/>
  <c r="F117" i="1"/>
  <c r="I117" i="1"/>
  <c r="F118" i="1"/>
  <c r="I118" i="1"/>
  <c r="F119" i="1"/>
  <c r="I119" i="1"/>
  <c r="F120" i="1"/>
  <c r="I120" i="1"/>
  <c r="F121" i="1"/>
  <c r="I121" i="1"/>
  <c r="F122" i="1"/>
  <c r="I122" i="1"/>
  <c r="F123" i="1"/>
  <c r="I123" i="1"/>
  <c r="F124" i="1"/>
  <c r="I124" i="1"/>
  <c r="I125" i="1"/>
  <c r="C159" i="1"/>
  <c r="J45" i="1"/>
  <c r="F167" i="1"/>
  <c r="I167" i="1"/>
  <c r="G167" i="1"/>
  <c r="J167" i="1"/>
  <c r="H167" i="1"/>
  <c r="K167" i="1"/>
  <c r="L167" i="1"/>
  <c r="J46" i="1"/>
  <c r="C180" i="1"/>
  <c r="D180" i="1"/>
  <c r="E180" i="1"/>
  <c r="J47" i="1"/>
  <c r="C207" i="1"/>
  <c r="C213" i="1"/>
  <c r="C209" i="1"/>
  <c r="C208" i="1"/>
  <c r="C210" i="1"/>
  <c r="C211" i="1"/>
  <c r="C212" i="1"/>
  <c r="C214" i="1"/>
  <c r="C215" i="1"/>
  <c r="C216" i="1"/>
  <c r="C50" i="1"/>
  <c r="G50" i="1"/>
  <c r="J50" i="1"/>
  <c r="C226" i="1"/>
  <c r="C227" i="1"/>
  <c r="C228" i="1"/>
  <c r="C51" i="1"/>
  <c r="G51" i="1"/>
  <c r="J51" i="1"/>
  <c r="J61" i="1"/>
  <c r="E312" i="1"/>
  <c r="E313" i="1"/>
  <c r="F313" i="1"/>
  <c r="C313" i="1"/>
  <c r="D313" i="1"/>
  <c r="L313" i="1"/>
  <c r="S312" i="1"/>
  <c r="T312" i="1"/>
  <c r="C308" i="1"/>
  <c r="C309" i="1"/>
  <c r="U312" i="1"/>
  <c r="X312" i="1"/>
  <c r="H313" i="1"/>
  <c r="J313" i="1"/>
  <c r="K313" i="1"/>
  <c r="M313" i="1"/>
  <c r="V313" i="1"/>
  <c r="N313" i="1"/>
  <c r="Q313" i="1"/>
  <c r="R313" i="1"/>
  <c r="E314" i="1"/>
  <c r="F314" i="1"/>
  <c r="C314" i="1"/>
  <c r="D314" i="1"/>
  <c r="L314" i="1"/>
  <c r="S313" i="1"/>
  <c r="T313" i="1"/>
  <c r="X313" i="1"/>
  <c r="H314" i="1"/>
  <c r="J314" i="1"/>
  <c r="K314" i="1"/>
  <c r="M314" i="1"/>
  <c r="V314" i="1"/>
  <c r="N314" i="1"/>
  <c r="O313" i="1"/>
  <c r="P313" i="1"/>
  <c r="Q314" i="1"/>
  <c r="R314" i="1"/>
  <c r="E315" i="1"/>
  <c r="F315" i="1"/>
  <c r="C315" i="1"/>
  <c r="D315" i="1"/>
  <c r="L315" i="1"/>
  <c r="S314" i="1"/>
  <c r="T314" i="1"/>
  <c r="X314" i="1"/>
  <c r="H315" i="1"/>
  <c r="J315" i="1"/>
  <c r="K315" i="1"/>
  <c r="M315" i="1"/>
  <c r="V315" i="1"/>
  <c r="N315" i="1"/>
  <c r="O314" i="1"/>
  <c r="P314" i="1"/>
  <c r="Q315" i="1"/>
  <c r="R315" i="1"/>
  <c r="E316" i="1"/>
  <c r="F316" i="1"/>
  <c r="C316" i="1"/>
  <c r="D316" i="1"/>
  <c r="L316" i="1"/>
  <c r="S315" i="1"/>
  <c r="T315" i="1"/>
  <c r="X315" i="1"/>
  <c r="H316" i="1"/>
  <c r="J316" i="1"/>
  <c r="K316" i="1"/>
  <c r="M316" i="1"/>
  <c r="V316" i="1"/>
  <c r="N316" i="1"/>
  <c r="O315" i="1"/>
  <c r="P315" i="1"/>
  <c r="Q316" i="1"/>
  <c r="R316" i="1"/>
  <c r="E317" i="1"/>
  <c r="F317" i="1"/>
  <c r="C317" i="1"/>
  <c r="D317" i="1"/>
  <c r="L317" i="1"/>
  <c r="S316" i="1"/>
  <c r="T316" i="1"/>
  <c r="X316" i="1"/>
  <c r="H317" i="1"/>
  <c r="J317" i="1"/>
  <c r="K317" i="1"/>
  <c r="M317" i="1"/>
  <c r="V317" i="1"/>
  <c r="N317" i="1"/>
  <c r="O316" i="1"/>
  <c r="P316" i="1"/>
  <c r="Q317" i="1"/>
  <c r="R317" i="1"/>
  <c r="E318" i="1"/>
  <c r="F318" i="1"/>
  <c r="C318" i="1"/>
  <c r="D318" i="1"/>
  <c r="L318" i="1"/>
  <c r="S317" i="1"/>
  <c r="T317" i="1"/>
  <c r="X317" i="1"/>
  <c r="H318" i="1"/>
  <c r="J318" i="1"/>
  <c r="K318" i="1"/>
  <c r="M318" i="1"/>
  <c r="V318" i="1"/>
  <c r="N318" i="1"/>
  <c r="O317" i="1"/>
  <c r="P317" i="1"/>
  <c r="Q318" i="1"/>
  <c r="R318" i="1"/>
  <c r="E319" i="1"/>
  <c r="F319" i="1"/>
  <c r="C319" i="1"/>
  <c r="D319" i="1"/>
  <c r="L319" i="1"/>
  <c r="S318" i="1"/>
  <c r="T318" i="1"/>
  <c r="X318" i="1"/>
  <c r="H319" i="1"/>
  <c r="J319" i="1"/>
  <c r="K319" i="1"/>
  <c r="M319" i="1"/>
  <c r="V319" i="1"/>
  <c r="W319" i="1"/>
  <c r="N319" i="1"/>
  <c r="O318" i="1"/>
  <c r="P318" i="1"/>
  <c r="Q319" i="1"/>
  <c r="R319" i="1"/>
  <c r="S319" i="1"/>
  <c r="T319" i="1"/>
  <c r="X319" i="1"/>
  <c r="C320" i="1"/>
  <c r="D320" i="1"/>
  <c r="E320" i="1"/>
  <c r="F320" i="1"/>
  <c r="H320" i="1"/>
  <c r="J320" i="1"/>
  <c r="K320" i="1"/>
  <c r="L320" i="1"/>
  <c r="M320" i="1"/>
  <c r="R320" i="1"/>
  <c r="E321" i="1"/>
  <c r="F321" i="1"/>
  <c r="L321" i="1"/>
  <c r="S320" i="1"/>
  <c r="T320" i="1"/>
  <c r="V320" i="1"/>
  <c r="X320" i="1"/>
  <c r="C321" i="1"/>
  <c r="D321" i="1"/>
  <c r="H321" i="1"/>
  <c r="J321" i="1"/>
  <c r="K321" i="1"/>
  <c r="M321" i="1"/>
  <c r="R321" i="1"/>
  <c r="E322" i="1"/>
  <c r="F322" i="1"/>
  <c r="L322" i="1"/>
  <c r="S321" i="1"/>
  <c r="T321" i="1"/>
  <c r="V321" i="1"/>
  <c r="X321" i="1"/>
  <c r="C322" i="1"/>
  <c r="D322" i="1"/>
  <c r="H322" i="1"/>
  <c r="J322" i="1"/>
  <c r="K322" i="1"/>
  <c r="M322" i="1"/>
  <c r="R322" i="1"/>
  <c r="E323" i="1"/>
  <c r="F323" i="1"/>
  <c r="L323" i="1"/>
  <c r="S322" i="1"/>
  <c r="T322" i="1"/>
  <c r="V322" i="1"/>
  <c r="X322" i="1"/>
  <c r="C323" i="1"/>
  <c r="D323" i="1"/>
  <c r="H323" i="1"/>
  <c r="J323" i="1"/>
  <c r="K323" i="1"/>
  <c r="M323" i="1"/>
  <c r="R323" i="1"/>
  <c r="E324" i="1"/>
  <c r="F324" i="1"/>
  <c r="L324" i="1"/>
  <c r="S323" i="1"/>
  <c r="T323" i="1"/>
  <c r="V323" i="1"/>
  <c r="X323" i="1"/>
  <c r="C324" i="1"/>
  <c r="D324" i="1"/>
  <c r="H324" i="1"/>
  <c r="J324" i="1"/>
  <c r="K324" i="1"/>
  <c r="M324" i="1"/>
  <c r="R324" i="1"/>
  <c r="E325" i="1"/>
  <c r="F325" i="1"/>
  <c r="L325" i="1"/>
  <c r="S324" i="1"/>
  <c r="T324" i="1"/>
  <c r="V324" i="1"/>
  <c r="X324" i="1"/>
  <c r="C325" i="1"/>
  <c r="D325" i="1"/>
  <c r="H325" i="1"/>
  <c r="J325" i="1"/>
  <c r="K325" i="1"/>
  <c r="M325" i="1"/>
  <c r="R325" i="1"/>
  <c r="E326" i="1"/>
  <c r="F326" i="1"/>
  <c r="L326" i="1"/>
  <c r="S325" i="1"/>
  <c r="T325" i="1"/>
  <c r="V325" i="1"/>
  <c r="X325" i="1"/>
  <c r="C326" i="1"/>
  <c r="D326" i="1"/>
  <c r="H326" i="1"/>
  <c r="J326" i="1"/>
  <c r="K326" i="1"/>
  <c r="M326" i="1"/>
  <c r="R326" i="1"/>
  <c r="E327" i="1"/>
  <c r="F327" i="1"/>
  <c r="L327" i="1"/>
  <c r="S326" i="1"/>
  <c r="T326" i="1"/>
  <c r="V326" i="1"/>
  <c r="X326" i="1"/>
  <c r="C327" i="1"/>
  <c r="D327" i="1"/>
  <c r="H327" i="1"/>
  <c r="J327" i="1"/>
  <c r="K327" i="1"/>
  <c r="M327" i="1"/>
  <c r="R327" i="1"/>
  <c r="E328" i="1"/>
  <c r="F328" i="1"/>
  <c r="L328" i="1"/>
  <c r="S327" i="1"/>
  <c r="T327" i="1"/>
  <c r="V327" i="1"/>
  <c r="X327" i="1"/>
  <c r="C328" i="1"/>
  <c r="D328" i="1"/>
  <c r="H328" i="1"/>
  <c r="J328" i="1"/>
  <c r="K328" i="1"/>
  <c r="M328" i="1"/>
  <c r="R328" i="1"/>
  <c r="E329" i="1"/>
  <c r="F329" i="1"/>
  <c r="L329" i="1"/>
  <c r="S328" i="1"/>
  <c r="T328" i="1"/>
  <c r="V328" i="1"/>
  <c r="X328" i="1"/>
  <c r="C329" i="1"/>
  <c r="D329" i="1"/>
  <c r="H329" i="1"/>
  <c r="J329" i="1"/>
  <c r="K329" i="1"/>
  <c r="M329" i="1"/>
  <c r="R329" i="1"/>
  <c r="E330" i="1"/>
  <c r="F330" i="1"/>
  <c r="L330" i="1"/>
  <c r="S329" i="1"/>
  <c r="T329" i="1"/>
  <c r="V329" i="1"/>
  <c r="X329" i="1"/>
  <c r="C330" i="1"/>
  <c r="D330" i="1"/>
  <c r="H330" i="1"/>
  <c r="J330" i="1"/>
  <c r="K330" i="1"/>
  <c r="M330" i="1"/>
  <c r="R330" i="1"/>
  <c r="E331" i="1"/>
  <c r="F331" i="1"/>
  <c r="L331" i="1"/>
  <c r="S330" i="1"/>
  <c r="T330" i="1"/>
  <c r="V330" i="1"/>
  <c r="X330" i="1"/>
  <c r="C331" i="1"/>
  <c r="D331" i="1"/>
  <c r="H331" i="1"/>
  <c r="J331" i="1"/>
  <c r="K331" i="1"/>
  <c r="M331" i="1"/>
  <c r="R331" i="1"/>
  <c r="E332" i="1"/>
  <c r="F332" i="1"/>
  <c r="L332" i="1"/>
  <c r="S331" i="1"/>
  <c r="T331" i="1"/>
  <c r="V331" i="1"/>
  <c r="X331" i="1"/>
  <c r="C332" i="1"/>
  <c r="D332" i="1"/>
  <c r="H332" i="1"/>
  <c r="J332" i="1"/>
  <c r="K332" i="1"/>
  <c r="M332" i="1"/>
  <c r="R332" i="1"/>
  <c r="S332" i="1"/>
  <c r="T332" i="1"/>
  <c r="V332" i="1"/>
  <c r="X332" i="1"/>
  <c r="X334" i="1"/>
  <c r="X333" i="1"/>
  <c r="W332" i="1"/>
  <c r="O319" i="1"/>
  <c r="P319" i="1"/>
  <c r="O320" i="1"/>
  <c r="Q320" i="1"/>
  <c r="P320" i="1"/>
  <c r="O321" i="1"/>
  <c r="Q321" i="1"/>
  <c r="P321" i="1"/>
  <c r="O322" i="1"/>
  <c r="Q322" i="1"/>
  <c r="P322" i="1"/>
  <c r="O323" i="1"/>
  <c r="Q323" i="1"/>
  <c r="P323" i="1"/>
  <c r="O324" i="1"/>
  <c r="Q324" i="1"/>
  <c r="P324" i="1"/>
  <c r="O325" i="1"/>
  <c r="Q325" i="1"/>
  <c r="P325" i="1"/>
  <c r="O326" i="1"/>
  <c r="Q326" i="1"/>
  <c r="P326" i="1"/>
  <c r="O327" i="1"/>
  <c r="Q327" i="1"/>
  <c r="P327" i="1"/>
  <c r="O328" i="1"/>
  <c r="Q328" i="1"/>
  <c r="P328" i="1"/>
  <c r="O329" i="1"/>
  <c r="Q329" i="1"/>
  <c r="P329" i="1"/>
  <c r="O330" i="1"/>
  <c r="Q330" i="1"/>
  <c r="P330" i="1"/>
  <c r="O331" i="1"/>
  <c r="Q331" i="1"/>
  <c r="P331" i="1"/>
  <c r="Q332" i="1"/>
  <c r="O332" i="1"/>
  <c r="P332" i="1"/>
  <c r="N332" i="1"/>
  <c r="W331" i="1"/>
  <c r="N331" i="1"/>
  <c r="W330" i="1"/>
  <c r="N330" i="1"/>
  <c r="W329" i="1"/>
  <c r="N329" i="1"/>
  <c r="W328" i="1"/>
  <c r="N328" i="1"/>
  <c r="W327" i="1"/>
  <c r="N327" i="1"/>
  <c r="W326" i="1"/>
  <c r="N326" i="1"/>
  <c r="W325" i="1"/>
  <c r="N325" i="1"/>
  <c r="W324" i="1"/>
  <c r="N324" i="1"/>
  <c r="W323" i="1"/>
  <c r="N323" i="1"/>
  <c r="W322" i="1"/>
  <c r="N322" i="1"/>
  <c r="W321" i="1"/>
  <c r="N321" i="1"/>
  <c r="W320" i="1"/>
  <c r="N320" i="1"/>
  <c r="W318" i="1"/>
  <c r="W317" i="1"/>
  <c r="W316" i="1"/>
  <c r="W315" i="1"/>
  <c r="W314" i="1"/>
  <c r="W313" i="1"/>
  <c r="W312" i="1"/>
  <c r="H312" i="1"/>
  <c r="K312" i="1"/>
  <c r="L312" i="1"/>
  <c r="M312" i="1"/>
  <c r="R312" i="1"/>
  <c r="N312" i="1"/>
  <c r="C80" i="1"/>
  <c r="C81" i="1"/>
  <c r="C82" i="1"/>
  <c r="C83" i="1"/>
  <c r="C84" i="1"/>
  <c r="C44" i="1"/>
  <c r="G44" i="1"/>
  <c r="I44" i="1"/>
  <c r="C85" i="1"/>
  <c r="C86" i="1"/>
  <c r="E105" i="1"/>
  <c r="H105" i="1"/>
  <c r="E106" i="1"/>
  <c r="H106" i="1"/>
  <c r="E107" i="1"/>
  <c r="H107" i="1"/>
  <c r="E108" i="1"/>
  <c r="H108" i="1"/>
  <c r="E109" i="1"/>
  <c r="H109" i="1"/>
  <c r="E110" i="1"/>
  <c r="H110" i="1"/>
  <c r="E111" i="1"/>
  <c r="H111" i="1"/>
  <c r="E112" i="1"/>
  <c r="H112" i="1"/>
  <c r="E113" i="1"/>
  <c r="H113" i="1"/>
  <c r="H114" i="1"/>
  <c r="F105" i="1"/>
  <c r="I105" i="1"/>
  <c r="F106" i="1"/>
  <c r="I106" i="1"/>
  <c r="F107" i="1"/>
  <c r="I107" i="1"/>
  <c r="F108" i="1"/>
  <c r="I108" i="1"/>
  <c r="F109" i="1"/>
  <c r="I109" i="1"/>
  <c r="F110" i="1"/>
  <c r="I110" i="1"/>
  <c r="F111" i="1"/>
  <c r="I111" i="1"/>
  <c r="F112" i="1"/>
  <c r="I112" i="1"/>
  <c r="F113" i="1"/>
  <c r="I113" i="1"/>
  <c r="I114" i="1"/>
  <c r="C158" i="1"/>
  <c r="I45" i="1"/>
  <c r="F166" i="1"/>
  <c r="I166" i="1"/>
  <c r="G166" i="1"/>
  <c r="J166" i="1"/>
  <c r="H166" i="1"/>
  <c r="K166" i="1"/>
  <c r="L166" i="1"/>
  <c r="I46" i="1"/>
  <c r="C190" i="1"/>
  <c r="C37" i="1"/>
  <c r="C179" i="1"/>
  <c r="D179" i="1"/>
  <c r="E179" i="1"/>
  <c r="I47" i="1"/>
  <c r="C197" i="1"/>
  <c r="C198" i="1"/>
  <c r="C199" i="1"/>
  <c r="G49" i="1"/>
  <c r="I49" i="1"/>
  <c r="I61" i="1"/>
  <c r="E283" i="1"/>
  <c r="E284" i="1"/>
  <c r="F284" i="1"/>
  <c r="C284" i="1"/>
  <c r="D284" i="1"/>
  <c r="L284" i="1"/>
  <c r="S283" i="1"/>
  <c r="T283" i="1"/>
  <c r="C279" i="1"/>
  <c r="C280" i="1"/>
  <c r="U283" i="1"/>
  <c r="X283" i="1"/>
  <c r="H284" i="1"/>
  <c r="J284" i="1"/>
  <c r="K284" i="1"/>
  <c r="M284" i="1"/>
  <c r="V284" i="1"/>
  <c r="N284" i="1"/>
  <c r="Q284" i="1"/>
  <c r="R284" i="1"/>
  <c r="E285" i="1"/>
  <c r="F285" i="1"/>
  <c r="C285" i="1"/>
  <c r="D285" i="1"/>
  <c r="L285" i="1"/>
  <c r="S284" i="1"/>
  <c r="T284" i="1"/>
  <c r="X284" i="1"/>
  <c r="H285" i="1"/>
  <c r="J285" i="1"/>
  <c r="K285" i="1"/>
  <c r="M285" i="1"/>
  <c r="V285" i="1"/>
  <c r="N285" i="1"/>
  <c r="O284" i="1"/>
  <c r="P284" i="1"/>
  <c r="Q285" i="1"/>
  <c r="R285" i="1"/>
  <c r="E286" i="1"/>
  <c r="F286" i="1"/>
  <c r="C286" i="1"/>
  <c r="D286" i="1"/>
  <c r="L286" i="1"/>
  <c r="S285" i="1"/>
  <c r="T285" i="1"/>
  <c r="X285" i="1"/>
  <c r="H286" i="1"/>
  <c r="J286" i="1"/>
  <c r="K286" i="1"/>
  <c r="M286" i="1"/>
  <c r="V286" i="1"/>
  <c r="N286" i="1"/>
  <c r="O285" i="1"/>
  <c r="P285" i="1"/>
  <c r="Q286" i="1"/>
  <c r="R286" i="1"/>
  <c r="E287" i="1"/>
  <c r="F287" i="1"/>
  <c r="C287" i="1"/>
  <c r="D287" i="1"/>
  <c r="L287" i="1"/>
  <c r="S286" i="1"/>
  <c r="T286" i="1"/>
  <c r="X286" i="1"/>
  <c r="H287" i="1"/>
  <c r="J287" i="1"/>
  <c r="K287" i="1"/>
  <c r="M287" i="1"/>
  <c r="V287" i="1"/>
  <c r="N287" i="1"/>
  <c r="O286" i="1"/>
  <c r="P286" i="1"/>
  <c r="Q287" i="1"/>
  <c r="R287" i="1"/>
  <c r="E288" i="1"/>
  <c r="F288" i="1"/>
  <c r="C288" i="1"/>
  <c r="D288" i="1"/>
  <c r="L288" i="1"/>
  <c r="S287" i="1"/>
  <c r="T287" i="1"/>
  <c r="X287" i="1"/>
  <c r="H288" i="1"/>
  <c r="J288" i="1"/>
  <c r="K288" i="1"/>
  <c r="M288" i="1"/>
  <c r="V288" i="1"/>
  <c r="N288" i="1"/>
  <c r="O287" i="1"/>
  <c r="P287" i="1"/>
  <c r="Q288" i="1"/>
  <c r="R288" i="1"/>
  <c r="E289" i="1"/>
  <c r="F289" i="1"/>
  <c r="C289" i="1"/>
  <c r="D289" i="1"/>
  <c r="L289" i="1"/>
  <c r="S288" i="1"/>
  <c r="T288" i="1"/>
  <c r="X288" i="1"/>
  <c r="H289" i="1"/>
  <c r="J289" i="1"/>
  <c r="K289" i="1"/>
  <c r="M289" i="1"/>
  <c r="V289" i="1"/>
  <c r="N289" i="1"/>
  <c r="O288" i="1"/>
  <c r="P288" i="1"/>
  <c r="Q289" i="1"/>
  <c r="R289" i="1"/>
  <c r="E290" i="1"/>
  <c r="F290" i="1"/>
  <c r="C290" i="1"/>
  <c r="D290" i="1"/>
  <c r="L290" i="1"/>
  <c r="S289" i="1"/>
  <c r="T289" i="1"/>
  <c r="X289" i="1"/>
  <c r="H290" i="1"/>
  <c r="J290" i="1"/>
  <c r="K290" i="1"/>
  <c r="M290" i="1"/>
  <c r="V290" i="1"/>
  <c r="W290" i="1"/>
  <c r="N290" i="1"/>
  <c r="O289" i="1"/>
  <c r="P289" i="1"/>
  <c r="Q290" i="1"/>
  <c r="R290" i="1"/>
  <c r="S290" i="1"/>
  <c r="T290" i="1"/>
  <c r="X290" i="1"/>
  <c r="C291" i="1"/>
  <c r="D291" i="1"/>
  <c r="E291" i="1"/>
  <c r="F291" i="1"/>
  <c r="H291" i="1"/>
  <c r="J291" i="1"/>
  <c r="K291" i="1"/>
  <c r="L291" i="1"/>
  <c r="M291" i="1"/>
  <c r="R291" i="1"/>
  <c r="E292" i="1"/>
  <c r="F292" i="1"/>
  <c r="L292" i="1"/>
  <c r="S291" i="1"/>
  <c r="T291" i="1"/>
  <c r="V291" i="1"/>
  <c r="X291" i="1"/>
  <c r="C292" i="1"/>
  <c r="D292" i="1"/>
  <c r="H292" i="1"/>
  <c r="J292" i="1"/>
  <c r="K292" i="1"/>
  <c r="M292" i="1"/>
  <c r="R292" i="1"/>
  <c r="E293" i="1"/>
  <c r="F293" i="1"/>
  <c r="L293" i="1"/>
  <c r="S292" i="1"/>
  <c r="T292" i="1"/>
  <c r="V292" i="1"/>
  <c r="X292" i="1"/>
  <c r="C293" i="1"/>
  <c r="D293" i="1"/>
  <c r="H293" i="1"/>
  <c r="J293" i="1"/>
  <c r="K293" i="1"/>
  <c r="M293" i="1"/>
  <c r="R293" i="1"/>
  <c r="E294" i="1"/>
  <c r="F294" i="1"/>
  <c r="L294" i="1"/>
  <c r="S293" i="1"/>
  <c r="T293" i="1"/>
  <c r="V293" i="1"/>
  <c r="X293" i="1"/>
  <c r="C294" i="1"/>
  <c r="D294" i="1"/>
  <c r="H294" i="1"/>
  <c r="J294" i="1"/>
  <c r="K294" i="1"/>
  <c r="M294" i="1"/>
  <c r="R294" i="1"/>
  <c r="E295" i="1"/>
  <c r="F295" i="1"/>
  <c r="L295" i="1"/>
  <c r="S294" i="1"/>
  <c r="T294" i="1"/>
  <c r="V294" i="1"/>
  <c r="X294" i="1"/>
  <c r="C295" i="1"/>
  <c r="D295" i="1"/>
  <c r="H295" i="1"/>
  <c r="J295" i="1"/>
  <c r="K295" i="1"/>
  <c r="M295" i="1"/>
  <c r="R295" i="1"/>
  <c r="E296" i="1"/>
  <c r="F296" i="1"/>
  <c r="L296" i="1"/>
  <c r="S295" i="1"/>
  <c r="T295" i="1"/>
  <c r="V295" i="1"/>
  <c r="X295" i="1"/>
  <c r="C296" i="1"/>
  <c r="D296" i="1"/>
  <c r="H296" i="1"/>
  <c r="J296" i="1"/>
  <c r="K296" i="1"/>
  <c r="M296" i="1"/>
  <c r="R296" i="1"/>
  <c r="E297" i="1"/>
  <c r="F297" i="1"/>
  <c r="L297" i="1"/>
  <c r="S296" i="1"/>
  <c r="T296" i="1"/>
  <c r="V296" i="1"/>
  <c r="X296" i="1"/>
  <c r="C297" i="1"/>
  <c r="D297" i="1"/>
  <c r="H297" i="1"/>
  <c r="J297" i="1"/>
  <c r="K297" i="1"/>
  <c r="M297" i="1"/>
  <c r="R297" i="1"/>
  <c r="E298" i="1"/>
  <c r="F298" i="1"/>
  <c r="L298" i="1"/>
  <c r="S297" i="1"/>
  <c r="T297" i="1"/>
  <c r="V297" i="1"/>
  <c r="X297" i="1"/>
  <c r="C298" i="1"/>
  <c r="D298" i="1"/>
  <c r="H298" i="1"/>
  <c r="J298" i="1"/>
  <c r="K298" i="1"/>
  <c r="M298" i="1"/>
  <c r="R298" i="1"/>
  <c r="E299" i="1"/>
  <c r="F299" i="1"/>
  <c r="L299" i="1"/>
  <c r="S298" i="1"/>
  <c r="T298" i="1"/>
  <c r="V298" i="1"/>
  <c r="X298" i="1"/>
  <c r="C299" i="1"/>
  <c r="D299" i="1"/>
  <c r="H299" i="1"/>
  <c r="J299" i="1"/>
  <c r="K299" i="1"/>
  <c r="M299" i="1"/>
  <c r="R299" i="1"/>
  <c r="E300" i="1"/>
  <c r="F300" i="1"/>
  <c r="L300" i="1"/>
  <c r="S299" i="1"/>
  <c r="T299" i="1"/>
  <c r="V299" i="1"/>
  <c r="X299" i="1"/>
  <c r="C300" i="1"/>
  <c r="D300" i="1"/>
  <c r="H300" i="1"/>
  <c r="J300" i="1"/>
  <c r="K300" i="1"/>
  <c r="M300" i="1"/>
  <c r="R300" i="1"/>
  <c r="E301" i="1"/>
  <c r="F301" i="1"/>
  <c r="L301" i="1"/>
  <c r="S300" i="1"/>
  <c r="T300" i="1"/>
  <c r="V300" i="1"/>
  <c r="X300" i="1"/>
  <c r="C301" i="1"/>
  <c r="D301" i="1"/>
  <c r="H301" i="1"/>
  <c r="J301" i="1"/>
  <c r="K301" i="1"/>
  <c r="M301" i="1"/>
  <c r="R301" i="1"/>
  <c r="E302" i="1"/>
  <c r="F302" i="1"/>
  <c r="L302" i="1"/>
  <c r="S301" i="1"/>
  <c r="T301" i="1"/>
  <c r="V301" i="1"/>
  <c r="X301" i="1"/>
  <c r="C302" i="1"/>
  <c r="D302" i="1"/>
  <c r="H302" i="1"/>
  <c r="J302" i="1"/>
  <c r="K302" i="1"/>
  <c r="M302" i="1"/>
  <c r="R302" i="1"/>
  <c r="E303" i="1"/>
  <c r="F303" i="1"/>
  <c r="L303" i="1"/>
  <c r="S302" i="1"/>
  <c r="T302" i="1"/>
  <c r="V302" i="1"/>
  <c r="X302" i="1"/>
  <c r="C303" i="1"/>
  <c r="D303" i="1"/>
  <c r="H303" i="1"/>
  <c r="J303" i="1"/>
  <c r="K303" i="1"/>
  <c r="M303" i="1"/>
  <c r="R303" i="1"/>
  <c r="S303" i="1"/>
  <c r="T303" i="1"/>
  <c r="V303" i="1"/>
  <c r="X303" i="1"/>
  <c r="X305" i="1"/>
  <c r="X304" i="1"/>
  <c r="W303" i="1"/>
  <c r="O290" i="1"/>
  <c r="P290" i="1"/>
  <c r="O291" i="1"/>
  <c r="Q291" i="1"/>
  <c r="P291" i="1"/>
  <c r="O292" i="1"/>
  <c r="Q292" i="1"/>
  <c r="P292" i="1"/>
  <c r="O293" i="1"/>
  <c r="Q293" i="1"/>
  <c r="P293" i="1"/>
  <c r="O294" i="1"/>
  <c r="Q294" i="1"/>
  <c r="P294" i="1"/>
  <c r="O295" i="1"/>
  <c r="Q295" i="1"/>
  <c r="P295" i="1"/>
  <c r="O296" i="1"/>
  <c r="Q296" i="1"/>
  <c r="P296" i="1"/>
  <c r="O297" i="1"/>
  <c r="Q297" i="1"/>
  <c r="P297" i="1"/>
  <c r="O298" i="1"/>
  <c r="Q298" i="1"/>
  <c r="P298" i="1"/>
  <c r="O299" i="1"/>
  <c r="Q299" i="1"/>
  <c r="P299" i="1"/>
  <c r="O300" i="1"/>
  <c r="Q300" i="1"/>
  <c r="P300" i="1"/>
  <c r="O301" i="1"/>
  <c r="Q301" i="1"/>
  <c r="P301" i="1"/>
  <c r="O302" i="1"/>
  <c r="Q302" i="1"/>
  <c r="P302" i="1"/>
  <c r="Q303" i="1"/>
  <c r="O303" i="1"/>
  <c r="P303" i="1"/>
  <c r="N303" i="1"/>
  <c r="W302" i="1"/>
  <c r="N302" i="1"/>
  <c r="W301" i="1"/>
  <c r="N301" i="1"/>
  <c r="W300" i="1"/>
  <c r="N300" i="1"/>
  <c r="W299" i="1"/>
  <c r="N299" i="1"/>
  <c r="W298" i="1"/>
  <c r="N298" i="1"/>
  <c r="W297" i="1"/>
  <c r="N297" i="1"/>
  <c r="W296" i="1"/>
  <c r="N296" i="1"/>
  <c r="W295" i="1"/>
  <c r="N295" i="1"/>
  <c r="W294" i="1"/>
  <c r="N294" i="1"/>
  <c r="W293" i="1"/>
  <c r="N293" i="1"/>
  <c r="W292" i="1"/>
  <c r="N292" i="1"/>
  <c r="W291" i="1"/>
  <c r="N291" i="1"/>
  <c r="W289" i="1"/>
  <c r="W288" i="1"/>
  <c r="W287" i="1"/>
  <c r="W286" i="1"/>
  <c r="W285" i="1"/>
  <c r="W284" i="1"/>
  <c r="W283" i="1"/>
  <c r="H283" i="1"/>
  <c r="K283" i="1"/>
  <c r="L283" i="1"/>
  <c r="M283" i="1"/>
  <c r="R283" i="1"/>
  <c r="N283" i="1"/>
  <c r="C276" i="1"/>
  <c r="C275" i="1"/>
  <c r="C274" i="1"/>
  <c r="C273" i="1"/>
  <c r="C219" i="1"/>
  <c r="C220" i="1"/>
  <c r="C217" i="1"/>
  <c r="C218" i="1"/>
  <c r="E183" i="1"/>
  <c r="L170" i="1"/>
  <c r="C162" i="1"/>
  <c r="K142" i="1"/>
  <c r="K143" i="1"/>
  <c r="K144" i="1"/>
  <c r="K145" i="1"/>
  <c r="K146" i="1"/>
  <c r="K147" i="1"/>
  <c r="K148" i="1"/>
  <c r="K149" i="1"/>
  <c r="K150" i="1"/>
  <c r="K151" i="1"/>
  <c r="K127" i="1"/>
  <c r="K128" i="1"/>
  <c r="K129" i="1"/>
  <c r="K130" i="1"/>
  <c r="K131" i="1"/>
  <c r="K132" i="1"/>
  <c r="K133" i="1"/>
  <c r="K134" i="1"/>
  <c r="K135" i="1"/>
  <c r="K136" i="1"/>
  <c r="K137" i="1"/>
  <c r="K138" i="1"/>
  <c r="K139" i="1"/>
  <c r="K140" i="1"/>
  <c r="K116" i="1"/>
  <c r="K117" i="1"/>
  <c r="K118" i="1"/>
  <c r="K119" i="1"/>
  <c r="K120" i="1"/>
  <c r="K121" i="1"/>
  <c r="K122" i="1"/>
  <c r="K123" i="1"/>
  <c r="K124" i="1"/>
  <c r="K125" i="1"/>
  <c r="K105" i="1"/>
  <c r="K106" i="1"/>
  <c r="K107" i="1"/>
  <c r="K108" i="1"/>
  <c r="K109" i="1"/>
  <c r="K110" i="1"/>
  <c r="K111" i="1"/>
  <c r="K112" i="1"/>
  <c r="K113" i="1"/>
  <c r="K114" i="1"/>
  <c r="K152" i="1"/>
  <c r="J142" i="1"/>
  <c r="J143" i="1"/>
  <c r="J144" i="1"/>
  <c r="J145" i="1"/>
  <c r="J146" i="1"/>
  <c r="J147" i="1"/>
  <c r="J148" i="1"/>
  <c r="J149" i="1"/>
  <c r="J150" i="1"/>
  <c r="J151" i="1"/>
  <c r="J127" i="1"/>
  <c r="J128" i="1"/>
  <c r="J129" i="1"/>
  <c r="J130" i="1"/>
  <c r="J131" i="1"/>
  <c r="J132" i="1"/>
  <c r="J133" i="1"/>
  <c r="J134" i="1"/>
  <c r="J135" i="1"/>
  <c r="J136" i="1"/>
  <c r="J137" i="1"/>
  <c r="J138" i="1"/>
  <c r="J139" i="1"/>
  <c r="J140" i="1"/>
  <c r="J116" i="1"/>
  <c r="J117" i="1"/>
  <c r="J118" i="1"/>
  <c r="J119" i="1"/>
  <c r="J120" i="1"/>
  <c r="J121" i="1"/>
  <c r="J122" i="1"/>
  <c r="J123" i="1"/>
  <c r="J124" i="1"/>
  <c r="J125" i="1"/>
  <c r="J105" i="1"/>
  <c r="J106" i="1"/>
  <c r="J107" i="1"/>
  <c r="J108" i="1"/>
  <c r="J109" i="1"/>
  <c r="J110" i="1"/>
  <c r="J111" i="1"/>
  <c r="J112" i="1"/>
  <c r="J113" i="1"/>
  <c r="J114" i="1"/>
  <c r="J152" i="1"/>
  <c r="I152" i="1"/>
  <c r="H152" i="1"/>
  <c r="G142" i="1"/>
  <c r="G143" i="1"/>
  <c r="G144" i="1"/>
  <c r="G145" i="1"/>
  <c r="G146" i="1"/>
  <c r="G147" i="1"/>
  <c r="G148" i="1"/>
  <c r="G149" i="1"/>
  <c r="G150" i="1"/>
  <c r="G151" i="1"/>
  <c r="G127" i="1"/>
  <c r="G128" i="1"/>
  <c r="G129" i="1"/>
  <c r="G130" i="1"/>
  <c r="G131" i="1"/>
  <c r="G132" i="1"/>
  <c r="G133" i="1"/>
  <c r="G134" i="1"/>
  <c r="G135" i="1"/>
  <c r="G136" i="1"/>
  <c r="G137" i="1"/>
  <c r="G138" i="1"/>
  <c r="G139" i="1"/>
  <c r="G140" i="1"/>
  <c r="G116" i="1"/>
  <c r="G117" i="1"/>
  <c r="G118" i="1"/>
  <c r="G119" i="1"/>
  <c r="G120" i="1"/>
  <c r="G121" i="1"/>
  <c r="G122" i="1"/>
  <c r="G123" i="1"/>
  <c r="G124" i="1"/>
  <c r="G125" i="1"/>
  <c r="G105" i="1"/>
  <c r="G106" i="1"/>
  <c r="G107" i="1"/>
  <c r="G108" i="1"/>
  <c r="G109" i="1"/>
  <c r="G110" i="1"/>
  <c r="G111" i="1"/>
  <c r="G112" i="1"/>
  <c r="G113" i="1"/>
  <c r="G114" i="1"/>
  <c r="G152" i="1"/>
  <c r="F151" i="1"/>
  <c r="F140" i="1"/>
  <c r="F125" i="1"/>
  <c r="F114" i="1"/>
  <c r="F152" i="1"/>
  <c r="E151" i="1"/>
  <c r="E140" i="1"/>
  <c r="E125" i="1"/>
  <c r="E114" i="1"/>
  <c r="E152" i="1"/>
  <c r="D151" i="1"/>
  <c r="C151" i="1"/>
  <c r="C140" i="1"/>
  <c r="C125" i="1"/>
  <c r="C114" i="1"/>
  <c r="C91" i="1"/>
  <c r="C92" i="1"/>
  <c r="C93" i="1"/>
  <c r="C94" i="1"/>
  <c r="C95" i="1"/>
  <c r="C96" i="1"/>
  <c r="C79" i="1"/>
  <c r="C33" i="1"/>
  <c r="G66" i="1"/>
  <c r="C34" i="1"/>
  <c r="F66" i="1"/>
  <c r="I62" i="1"/>
  <c r="J62" i="1"/>
  <c r="K62" i="1"/>
  <c r="L62" i="1"/>
  <c r="G62" i="1"/>
  <c r="G63" i="1"/>
  <c r="G64" i="1"/>
  <c r="G65" i="1"/>
  <c r="F62" i="1"/>
  <c r="F63" i="1"/>
  <c r="F64" i="1"/>
  <c r="F65" i="1"/>
  <c r="G45" i="1"/>
  <c r="G46" i="1"/>
  <c r="G47" i="1"/>
  <c r="G61" i="1"/>
  <c r="H44" i="1"/>
  <c r="H45" i="1"/>
  <c r="H46" i="1"/>
  <c r="H47" i="1"/>
  <c r="H48" i="1"/>
  <c r="H49" i="1"/>
  <c r="H50" i="1"/>
  <c r="H51" i="1"/>
  <c r="H52" i="1"/>
  <c r="H53" i="1"/>
  <c r="H54" i="1"/>
  <c r="H55" i="1"/>
  <c r="H56" i="1"/>
  <c r="H57" i="1"/>
  <c r="H58" i="1"/>
  <c r="H59" i="1"/>
  <c r="H60" i="1"/>
  <c r="H61" i="1"/>
  <c r="F44" i="1"/>
  <c r="F45" i="1"/>
  <c r="F46" i="1"/>
  <c r="F47" i="1"/>
  <c r="F48" i="1"/>
  <c r="F49" i="1"/>
  <c r="F50" i="1"/>
  <c r="F51" i="1"/>
  <c r="F52" i="1"/>
  <c r="F53" i="1"/>
  <c r="F54" i="1"/>
  <c r="F55" i="1"/>
  <c r="F56" i="1"/>
  <c r="F57" i="1"/>
  <c r="F58" i="1"/>
  <c r="F59" i="1"/>
  <c r="F60" i="1"/>
  <c r="F61" i="1"/>
  <c r="C39" i="1"/>
  <c r="C31" i="1"/>
  <c r="C38" i="1"/>
  <c r="C35" i="1"/>
  <c r="C36" i="1"/>
  <c r="C32" i="1"/>
</calcChain>
</file>

<file path=xl/sharedStrings.xml><?xml version="1.0" encoding="utf-8"?>
<sst xmlns="http://schemas.openxmlformats.org/spreadsheetml/2006/main" count="539" uniqueCount="308">
  <si>
    <t>Estimate for Standard mono Si with U.S. Manufacturing</t>
  </si>
  <si>
    <t>Doug Powell</t>
  </si>
  <si>
    <t>MIT Photovoltaic Research Laboratory</t>
  </si>
  <si>
    <t>Item</t>
  </si>
  <si>
    <t>Value</t>
  </si>
  <si>
    <t>Unit</t>
  </si>
  <si>
    <t>Module Efficiency</t>
  </si>
  <si>
    <t>[%]</t>
  </si>
  <si>
    <t>Cell Thickness</t>
  </si>
  <si>
    <t>[um]</t>
  </si>
  <si>
    <t>Ingot Recycled before brick stage</t>
  </si>
  <si>
    <t>Ingot Not-Recycled before brick stage</t>
  </si>
  <si>
    <t>Wire Sawing Cut Width</t>
  </si>
  <si>
    <t>Virgin Silicon Price</t>
  </si>
  <si>
    <t>[$/kg]</t>
  </si>
  <si>
    <t>Operator Wage</t>
  </si>
  <si>
    <t>[$/hr]</t>
  </si>
  <si>
    <t>Technician Wage</t>
  </si>
  <si>
    <t>Supervisor Wage</t>
  </si>
  <si>
    <t>Employee Cost Multiplier</t>
  </si>
  <si>
    <t>[-]</t>
  </si>
  <si>
    <t>Electricity Cost</t>
  </si>
  <si>
    <t>[$/kWh]</t>
  </si>
  <si>
    <t>Shipping Costs</t>
  </si>
  <si>
    <t>[$/container]</t>
  </si>
  <si>
    <t>Uptime</t>
  </si>
  <si>
    <t>Nominal WACC</t>
  </si>
  <si>
    <t>Expected Price Inflation</t>
  </si>
  <si>
    <t>Expected Cost Inflation</t>
  </si>
  <si>
    <t>Effective Tax Rate</t>
  </si>
  <si>
    <t>SG&amp;A</t>
  </si>
  <si>
    <t>[% of Revenue]</t>
  </si>
  <si>
    <t>R&amp;D</t>
  </si>
  <si>
    <t>Net Working Capital Period</t>
  </si>
  <si>
    <t>[months]</t>
  </si>
  <si>
    <t>Variable Cost (w/o depreciation)</t>
  </si>
  <si>
    <t>[$/W]</t>
  </si>
  <si>
    <t>[$/m2]</t>
  </si>
  <si>
    <t>Minimum Sustainable Price</t>
  </si>
  <si>
    <t>Capex</t>
  </si>
  <si>
    <t>[$/WaCap]</t>
  </si>
  <si>
    <t>PP&amp;E Ratio</t>
  </si>
  <si>
    <t>Silicon Use</t>
  </si>
  <si>
    <t>[g/W]</t>
  </si>
  <si>
    <t>Gross Margin</t>
  </si>
  <si>
    <t>Operating Margin (EBIT)</t>
  </si>
  <si>
    <t>Cost Breakdown</t>
  </si>
  <si>
    <t>Allotment [$/W]</t>
  </si>
  <si>
    <t>Allotment Specific Adder [$/W]</t>
  </si>
  <si>
    <t>Cost [$/cell]</t>
  </si>
  <si>
    <t>Adder [$/W]</t>
  </si>
  <si>
    <t>Multiplier</t>
  </si>
  <si>
    <t>Cost [$/m2]</t>
  </si>
  <si>
    <t>Cost [$/W]</t>
  </si>
  <si>
    <t>Percentage</t>
  </si>
  <si>
    <t>Ingot</t>
  </si>
  <si>
    <t>Wafer</t>
  </si>
  <si>
    <t xml:space="preserve">Cell </t>
  </si>
  <si>
    <t>Module</t>
  </si>
  <si>
    <t>Silicon Feedstock</t>
  </si>
  <si>
    <t>Maintenance</t>
  </si>
  <si>
    <t>NA</t>
  </si>
  <si>
    <t>Labor</t>
  </si>
  <si>
    <t>Input Electricity</t>
  </si>
  <si>
    <t>Metal Paste</t>
  </si>
  <si>
    <t>Crucible</t>
  </si>
  <si>
    <t>Wire</t>
  </si>
  <si>
    <t>Slurry</t>
  </si>
  <si>
    <t>Glass</t>
  </si>
  <si>
    <t>Frame</t>
  </si>
  <si>
    <t>Encapsulant</t>
  </si>
  <si>
    <t>JB and Cable</t>
  </si>
  <si>
    <t>Chemicals</t>
  </si>
  <si>
    <t>Backsheet</t>
  </si>
  <si>
    <t>Ribbon</t>
  </si>
  <si>
    <t>Screens</t>
  </si>
  <si>
    <t>Shipping costs</t>
  </si>
  <si>
    <t>Sum of Variable Costs</t>
  </si>
  <si>
    <t>Depreciation</t>
  </si>
  <si>
    <t>Sum of Fixed Costs</t>
  </si>
  <si>
    <t>Manufacturing Cost Calculations</t>
  </si>
  <si>
    <t>Module Power</t>
  </si>
  <si>
    <t>Number of Cells per Module</t>
  </si>
  <si>
    <t>[cells/module]</t>
  </si>
  <si>
    <t>Area Utilization</t>
  </si>
  <si>
    <t>Area of module</t>
  </si>
  <si>
    <t>[m^2/module]</t>
  </si>
  <si>
    <t>Power Out Per Module</t>
  </si>
  <si>
    <t>[W/module]</t>
  </si>
  <si>
    <t>Silicon Density</t>
  </si>
  <si>
    <t>[kg/m^3]</t>
  </si>
  <si>
    <t>Wafer Area</t>
  </si>
  <si>
    <t>[cm^2]</t>
  </si>
  <si>
    <t xml:space="preserve">Mass of Cell </t>
  </si>
  <si>
    <t>[g]</t>
  </si>
  <si>
    <t>Total Virgin Si Utilization</t>
  </si>
  <si>
    <t>Mass of Virgin Si Consumed per Cell at 100% yield</t>
  </si>
  <si>
    <t>[kg/cell]</t>
  </si>
  <si>
    <t>Dollars per Cell at 100% yield</t>
  </si>
  <si>
    <t>[$/cell]</t>
  </si>
  <si>
    <t>Yield from this step on</t>
  </si>
  <si>
    <t>Dollars per Cell</t>
  </si>
  <si>
    <t>Total Crystallized Si Utilization</t>
  </si>
  <si>
    <t>Total Mass of Silicon Crystallized per Cell at 100% Yield</t>
  </si>
  <si>
    <t>Capital Cost</t>
  </si>
  <si>
    <t>Reference Plant Output</t>
  </si>
  <si>
    <t>[MW/yr]</t>
  </si>
  <si>
    <t>Reference Module Efficiency</t>
  </si>
  <si>
    <t>Maximum Module Output per hour</t>
  </si>
  <si>
    <t>[m^2/hr]</t>
  </si>
  <si>
    <t>Module output per m^2</t>
  </si>
  <si>
    <t>[W/m^2]</t>
  </si>
  <si>
    <t>[W/hr]</t>
  </si>
  <si>
    <t>Adjusted Module Output per hour</t>
  </si>
  <si>
    <t>Adjusted Module Output per year</t>
  </si>
  <si>
    <t>Ingot Equipment Depreciation Period</t>
  </si>
  <si>
    <t>[yr]</t>
  </si>
  <si>
    <t>Wafer Equipment Depreciation Period</t>
  </si>
  <si>
    <t>Cell Equipment Depreciation Period</t>
  </si>
  <si>
    <t>Module Equipment Depreciation Period</t>
  </si>
  <si>
    <t>Facility Depreciation Period</t>
  </si>
  <si>
    <t>[yrs]</t>
  </si>
  <si>
    <t>Capex Multiplier</t>
  </si>
  <si>
    <t>Capex At 100% Yield and Uptime</t>
  </si>
  <si>
    <t>Capex At Actual Yield and Uptime</t>
  </si>
  <si>
    <t>Equipment Cost at 100% yield &amp; uptime [$/kg/hr]</t>
  </si>
  <si>
    <t>Facility Cost at 100% yield &amp; uptime [$/kg/hr]</t>
  </si>
  <si>
    <t>Equipment [$/WaCap]</t>
  </si>
  <si>
    <t>Facility [$/WaCap]</t>
  </si>
  <si>
    <t>Total [$/WaCap]</t>
  </si>
  <si>
    <t>Equipment [$/(W/yr)]</t>
  </si>
  <si>
    <t>Facility [$/(W/yr)]</t>
  </si>
  <si>
    <t>Total [$/(W/yr)]</t>
  </si>
  <si>
    <t>Straight-Line Depreciation Payment [$/W]</t>
  </si>
  <si>
    <t xml:space="preserve">Czochralski Growth </t>
  </si>
  <si>
    <t>List additional as needed</t>
  </si>
  <si>
    <t>Ingot Sum</t>
  </si>
  <si>
    <t>Equipment Cost at 100% yield &amp; uptime [$/wafer/hr]</t>
  </si>
  <si>
    <t>Facility Cost at 100% yield &amp; uptime [$/wafer/hr]</t>
  </si>
  <si>
    <t>Brick Preparation</t>
  </si>
  <si>
    <t>Wire Sawing</t>
  </si>
  <si>
    <t>Slurry &amp; Scrap Collection</t>
  </si>
  <si>
    <t>Inspect and Sort, Package</t>
  </si>
  <si>
    <t>Wafer Sum</t>
  </si>
  <si>
    <t>Cell</t>
  </si>
  <si>
    <t>Wafer Testing</t>
  </si>
  <si>
    <t>Texture &amp; Damage Etch</t>
  </si>
  <si>
    <t>Emitter Diffusion</t>
  </si>
  <si>
    <t>PSG Removal &amp; Edge Isolate</t>
  </si>
  <si>
    <t>PECVD of SiNx:H</t>
  </si>
  <si>
    <t>Screen Print</t>
  </si>
  <si>
    <t>Co-fire</t>
  </si>
  <si>
    <t>Inspect, Sort, Package</t>
  </si>
  <si>
    <t>Cell Sum</t>
  </si>
  <si>
    <t>Equipment Cost at 100% yield &amp; uptime [$/module/hr]</t>
  </si>
  <si>
    <t>Facility Cost at 100% yield &amp; uptime [$/module/hr]</t>
  </si>
  <si>
    <t>Cell Testing</t>
  </si>
  <si>
    <t>String, Tab, and Interconnect</t>
  </si>
  <si>
    <t>Front Glass Load &amp; Wash</t>
  </si>
  <si>
    <t>Encapsulate &amp; Laminate</t>
  </si>
  <si>
    <t>Frame and Seal</t>
  </si>
  <si>
    <t>J-Box and Potting</t>
  </si>
  <si>
    <t>Test, Sort, Package</t>
  </si>
  <si>
    <t>Module Sum</t>
  </si>
  <si>
    <t>Total Sum</t>
  </si>
  <si>
    <t>Equipment percentage of initial investment</t>
  </si>
  <si>
    <t>Building percentage of initial investment</t>
  </si>
  <si>
    <t>Maintenance Cost [$/W]</t>
  </si>
  <si>
    <t>Total [$/W]</t>
  </si>
  <si>
    <t>Operator</t>
  </si>
  <si>
    <t>Technician</t>
  </si>
  <si>
    <t>Supervisor</t>
  </si>
  <si>
    <t>Operator [person/shift/MWaCap]</t>
  </si>
  <si>
    <t>Technician [person/shift/MWaCap]</t>
  </si>
  <si>
    <t>Supervisor [person/shift/MWaCap]</t>
  </si>
  <si>
    <t>Operator [person/shift/(MW/yr)]</t>
  </si>
  <si>
    <t>Technician [person/shift/(MW/yr)]</t>
  </si>
  <si>
    <t>Supervisor [person/shift/(MW/yr)]</t>
  </si>
  <si>
    <t>Labor Cost [$/W]</t>
  </si>
  <si>
    <t xml:space="preserve">Ingot [person/shift/(kg/hr)] at 100% yield &amp; uptime </t>
  </si>
  <si>
    <t xml:space="preserve">Wafer [person/shift/(wafer/hr)] at 100% yield &amp; uptime </t>
  </si>
  <si>
    <t xml:space="preserve">Cell [person/shift/(wafer/hr)] at 100% yield &amp; uptime </t>
  </si>
  <si>
    <t xml:space="preserve">Module [person/shift/(module/hr)] at 100% yield &amp; uptime </t>
  </si>
  <si>
    <t>Ingot Solidification Need</t>
  </si>
  <si>
    <t>[kWh/kg]</t>
  </si>
  <si>
    <t>Wafering Need at Ref Efficiency</t>
  </si>
  <si>
    <t>[kWh/W]</t>
  </si>
  <si>
    <t>Cell Need at Ref Efficiency</t>
  </si>
  <si>
    <t>Module Need at Ref Efficiency</t>
  </si>
  <si>
    <t>At 100% yield [$/W]</t>
  </si>
  <si>
    <t>Yield from Step</t>
  </si>
  <si>
    <t>Ingot Solidification Electricity Cost</t>
  </si>
  <si>
    <t>Wafer Electricity Cost</t>
  </si>
  <si>
    <t>Cell Electricity Cost</t>
  </si>
  <si>
    <t>Module Electricity Cost</t>
  </si>
  <si>
    <t>Total Energy Cost</t>
  </si>
  <si>
    <t>Yield Loss</t>
  </si>
  <si>
    <t>Ingot Yield</t>
  </si>
  <si>
    <t>Wafering Yield</t>
  </si>
  <si>
    <t>Cell Process Yield</t>
  </si>
  <si>
    <t>Module Process Yield</t>
  </si>
  <si>
    <t>Total Yield</t>
  </si>
  <si>
    <t>Ingot Mass</t>
  </si>
  <si>
    <t>[kg]</t>
  </si>
  <si>
    <t>Crucible Cost</t>
  </si>
  <si>
    <t>[$/ingot]</t>
  </si>
  <si>
    <t>Crucible Uses</t>
  </si>
  <si>
    <t>Crucibles Cost at 100% yield</t>
  </si>
  <si>
    <t>Wire Cost</t>
  </si>
  <si>
    <t>[$/km]</t>
  </si>
  <si>
    <t>Wire Speed</t>
  </si>
  <si>
    <t>[m/s]</t>
  </si>
  <si>
    <t>Table Speed</t>
  </si>
  <si>
    <t>[?m/min]</t>
  </si>
  <si>
    <t>Load Length</t>
  </si>
  <si>
    <t>[m]</t>
  </si>
  <si>
    <t>Kerf Loss per Wire</t>
  </si>
  <si>
    <t>[?m]</t>
  </si>
  <si>
    <t>Length of wire around each wafer in Load [m]</t>
  </si>
  <si>
    <t>Time to Cut</t>
  </si>
  <si>
    <t>[hr]</t>
  </si>
  <si>
    <t>Wire Used Refreshing Web Before Cut</t>
  </si>
  <si>
    <t>[km]</t>
  </si>
  <si>
    <t>Wire Consumed While Cutting</t>
  </si>
  <si>
    <t>Total Wire Used per Run</t>
  </si>
  <si>
    <t>Wire Cost per Run</t>
  </si>
  <si>
    <t>[$]</t>
  </si>
  <si>
    <t>Wafers Per Run</t>
  </si>
  <si>
    <t>[wafers]</t>
  </si>
  <si>
    <t>Cost per Wafer at 100% yield</t>
  </si>
  <si>
    <t>[$/wafer]</t>
  </si>
  <si>
    <t>Wire Cost per wafer</t>
  </si>
  <si>
    <t>Wire consumed per Wafer at 100% yield</t>
  </si>
  <si>
    <t>[m/wafer]</t>
  </si>
  <si>
    <t>Wire consumed per Wafer</t>
  </si>
  <si>
    <t>[km/m2 wafer]</t>
  </si>
  <si>
    <t>Slurry Consumption</t>
  </si>
  <si>
    <t>[kg/wafer]</t>
  </si>
  <si>
    <t>Slurry Cost</t>
  </si>
  <si>
    <t>Slurry Recovery</t>
  </si>
  <si>
    <t>Slurry Cost per wafer</t>
  </si>
  <si>
    <t>Cost of Front Silver Paste</t>
  </si>
  <si>
    <t>Front Silver Paste utilization</t>
  </si>
  <si>
    <t>[g/cell]</t>
  </si>
  <si>
    <t>Cost of Rear Silver Paste</t>
  </si>
  <si>
    <t>Rear Silver Paste utilization</t>
  </si>
  <si>
    <t>Cost of Al Paste</t>
  </si>
  <si>
    <t>Al Paste utilization</t>
  </si>
  <si>
    <t>Cost of Metal Paste at 100% yield</t>
  </si>
  <si>
    <t>Cost of Metal Paste</t>
  </si>
  <si>
    <t>Screen Printing</t>
  </si>
  <si>
    <t>Screen Prints per cell</t>
  </si>
  <si>
    <t>[prints/cell]</t>
  </si>
  <si>
    <t>Lifetime of Screen</t>
  </si>
  <si>
    <t>[prints]</t>
  </si>
  <si>
    <t>Cost of Screen</t>
  </si>
  <si>
    <t>Cost of Screen at 100% yield</t>
  </si>
  <si>
    <t>Module Materials</t>
  </si>
  <si>
    <t>Cost [$/m]</t>
  </si>
  <si>
    <t>At 100% Yield Cost [$/W]</t>
  </si>
  <si>
    <t>Cost [$/m^2]</t>
  </si>
  <si>
    <t>Cost [$/module]</t>
  </si>
  <si>
    <t>JB, Cable, Potting agent, and sticker</t>
  </si>
  <si>
    <t>Watts in container</t>
  </si>
  <si>
    <t>[W/container]</t>
  </si>
  <si>
    <t>Shipping Cost</t>
  </si>
  <si>
    <t>Minimum Sustainable Price Calculations</t>
  </si>
  <si>
    <t>Shipment</t>
  </si>
  <si>
    <t>MSP in Year 0</t>
  </si>
  <si>
    <t>IRR</t>
  </si>
  <si>
    <t>Total Capex</t>
  </si>
  <si>
    <t>Total NWC</t>
  </si>
  <si>
    <t>Ingot Equipment Investment</t>
  </si>
  <si>
    <t>Ingot Facility Investment</t>
  </si>
  <si>
    <t>Year</t>
  </si>
  <si>
    <t>MSP [$/W]</t>
  </si>
  <si>
    <t>Revenue [$]</t>
  </si>
  <si>
    <t>Variable Cost [$/W]</t>
  </si>
  <si>
    <t>Variable Cost [$]</t>
  </si>
  <si>
    <t>Equipment MACRS Depreciation Factor</t>
  </si>
  <si>
    <t>Equipment Depreciation [$]</t>
  </si>
  <si>
    <t>Facility Depreciation Factor</t>
  </si>
  <si>
    <t>Facility Depreciation [$]</t>
  </si>
  <si>
    <t>Gross Profit [$]</t>
  </si>
  <si>
    <t>Operating Expenses [$]</t>
  </si>
  <si>
    <t>Operating Income [$]</t>
  </si>
  <si>
    <t>Gain on Salvage [$]</t>
  </si>
  <si>
    <t>NOL [$]</t>
  </si>
  <si>
    <t>NOL Remaining [$]</t>
  </si>
  <si>
    <t>NOL Used [$]</t>
  </si>
  <si>
    <t>Tax [$]</t>
  </si>
  <si>
    <t>NWC [$]</t>
  </si>
  <si>
    <t>Change in NWC [$]</t>
  </si>
  <si>
    <t>Capital Investment [$]</t>
  </si>
  <si>
    <t>Salvage of Facility [$]</t>
  </si>
  <si>
    <t>Salvage Book Value [$]</t>
  </si>
  <si>
    <t>Incremental Cash Flow [$]</t>
  </si>
  <si>
    <t>NPV for Firm</t>
  </si>
  <si>
    <t>Wafer Equipment Investment</t>
  </si>
  <si>
    <t>Wafer Facility Investment</t>
  </si>
  <si>
    <t>Cell Equipment Investment</t>
  </si>
  <si>
    <t>Cell Facility Investment</t>
  </si>
  <si>
    <t>Module Equipment Investment</t>
  </si>
  <si>
    <t>Module Facility Investment</t>
  </si>
  <si>
    <t>Top-Level Inputs</t>
  </si>
  <si>
    <t>Top-Level Outputs</t>
  </si>
  <si>
    <t>Notes by Tonio Buonassisi:
• To use this spreadsheet, alter one of the boxes in "Top-Level Inputs." Then, open the Solver and click "Solve."
• NB: You may first need to "add" Excel Solver before you can use it; instructions for Mac https://support.microsoft.com/en-us/kb/2431349 and PC https://support.office.com/en-us/article/load-the-solver-add-in-612926fc-d53b-46b4-872c-e24772f078ca
• The Solver uses a GRG Nonlinear solving method to solve for the minimum sustainable price (defined as when the rate of return equals the weighted average cost of capital). For more on the MSP methodology, see http://dx.doi.org/10.1109/JPHOTOV.2012.2230056. For more on the GRG Nonlinear solving method, see http://www.solver.com/excel-solver-grg-nonlinear-solving-method-stopping-conditions .
• Note the Solver solves the IRR = WACC condition for wafer, ingot, cell, and module simultaneously. Solving four constrained equations is not trivial for any algorithm, and certain initial conditions will cause the Solver to not converge. If you have problems with non-convergence, please re-open the original version of the spreadsheet, and try your inputs again.
• We welcome your feedback to improve this tool: buonassisi@mit.edu</t>
  </si>
  <si>
    <t>&lt;- To update MSP, use built in Excel Solver. For help, see "Notes"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</si>
</sst>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quot;$&quot;* #,##0.00_-;\-&quot;$&quot;* #,##0.00_-;_-&quot;$&quot;* &quot;-&quot;??_-;_-@_-"/>
    <numFmt numFmtId="165" formatCode="0.000"/>
    <numFmt numFmtId="166" formatCode="0.0000"/>
    <numFmt numFmtId="167" formatCode="0.0%"/>
    <numFmt numFmtId="168" formatCode="0.0"/>
    <numFmt numFmtId="169" formatCode="0.0000000000000000"/>
    <numFmt numFmtId="170" formatCode="0.00000000000000"/>
    <numFmt numFmtId="171" formatCode="0.00000"/>
    <numFmt numFmtId="172" formatCode="#,##0.0"/>
    <numFmt numFmtId="173" formatCode="#,##0.000"/>
  </numFmts>
  <fonts count="20" x14ac:knownFonts="1">
    <font>
      <sz val="12"/>
      <color theme="1"/>
      <name val="Calibri"/>
      <family val="2"/>
      <scheme val="minor"/>
    </font>
    <font>
      <sz val="12"/>
      <color theme="1"/>
      <name val="Calibri"/>
      <family val="2"/>
      <scheme val="minor"/>
    </font>
    <font>
      <b/>
      <sz val="24"/>
      <color indexed="8"/>
      <name val="Calibri"/>
      <family val="2"/>
    </font>
    <font>
      <b/>
      <sz val="11"/>
      <color indexed="8"/>
      <name val="Calibri"/>
      <family val="2"/>
    </font>
    <font>
      <sz val="12"/>
      <color indexed="8"/>
      <name val="Times New Roman"/>
      <family val="1"/>
    </font>
    <font>
      <b/>
      <sz val="22"/>
      <color indexed="8"/>
      <name val="Calibri"/>
      <family val="2"/>
    </font>
    <font>
      <u/>
      <sz val="11"/>
      <color indexed="12"/>
      <name val="Calibri"/>
      <family val="2"/>
    </font>
    <font>
      <b/>
      <sz val="11"/>
      <name val="Calibri"/>
      <family val="2"/>
    </font>
    <font>
      <sz val="11"/>
      <color indexed="55"/>
      <name val="Calibri"/>
      <family val="2"/>
    </font>
    <font>
      <sz val="11"/>
      <name val="Calibri"/>
      <family val="2"/>
    </font>
    <font>
      <b/>
      <sz val="14"/>
      <color indexed="8"/>
      <name val="Calibri"/>
      <family val="2"/>
    </font>
    <font>
      <sz val="11"/>
      <color indexed="9"/>
      <name val="Calibri"/>
      <family val="2"/>
    </font>
    <font>
      <sz val="11"/>
      <color indexed="23"/>
      <name val="Calibri"/>
      <family val="2"/>
    </font>
    <font>
      <sz val="11"/>
      <color indexed="10"/>
      <name val="Calibri"/>
      <family val="2"/>
    </font>
    <font>
      <sz val="10"/>
      <name val="Verdana"/>
      <family val="2"/>
    </font>
    <font>
      <sz val="8"/>
      <color indexed="8"/>
      <name val="Arial"/>
      <family val="2"/>
    </font>
    <font>
      <sz val="11"/>
      <color indexed="60"/>
      <name val="Calibri"/>
      <family val="2"/>
    </font>
    <font>
      <b/>
      <sz val="11"/>
      <color indexed="9"/>
      <name val="Calibri"/>
      <family val="2"/>
    </font>
    <font>
      <b/>
      <sz val="12"/>
      <color theme="1"/>
      <name val="Calibri"/>
      <family val="2"/>
      <scheme val="minor"/>
    </font>
    <font>
      <b/>
      <sz val="12"/>
      <color indexed="8"/>
      <name val="Times New Roman"/>
      <family val="1"/>
    </font>
  </fonts>
  <fills count="17">
    <fill>
      <patternFill patternType="none"/>
    </fill>
    <fill>
      <patternFill patternType="gray125"/>
    </fill>
    <fill>
      <patternFill patternType="solid">
        <fgColor indexed="22"/>
        <bgColor indexed="43"/>
      </patternFill>
    </fill>
    <fill>
      <patternFill patternType="solid">
        <fgColor indexed="44"/>
        <bgColor indexed="22"/>
      </patternFill>
    </fill>
    <fill>
      <patternFill patternType="solid">
        <fgColor indexed="26"/>
        <bgColor indexed="43"/>
      </patternFill>
    </fill>
    <fill>
      <patternFill patternType="solid">
        <fgColor indexed="45"/>
        <bgColor indexed="29"/>
      </patternFill>
    </fill>
    <fill>
      <patternFill patternType="solid">
        <fgColor indexed="24"/>
        <bgColor indexed="46"/>
      </patternFill>
    </fill>
    <fill>
      <patternFill patternType="solid">
        <fgColor indexed="46"/>
        <bgColor indexed="24"/>
      </patternFill>
    </fill>
    <fill>
      <patternFill patternType="solid">
        <fgColor indexed="42"/>
        <bgColor indexed="9"/>
      </patternFill>
    </fill>
    <fill>
      <patternFill patternType="solid">
        <fgColor indexed="13"/>
        <bgColor indexed="34"/>
      </patternFill>
    </fill>
    <fill>
      <patternFill patternType="solid">
        <fgColor indexed="22"/>
        <bgColor indexed="27"/>
      </patternFill>
    </fill>
    <fill>
      <patternFill patternType="solid">
        <fgColor indexed="31"/>
        <bgColor indexed="24"/>
      </patternFill>
    </fill>
    <fill>
      <patternFill patternType="solid">
        <fgColor indexed="27"/>
        <bgColor indexed="22"/>
      </patternFill>
    </fill>
    <fill>
      <patternFill patternType="solid">
        <fgColor indexed="54"/>
        <bgColor indexed="48"/>
      </patternFill>
    </fill>
    <fill>
      <patternFill patternType="solid">
        <fgColor indexed="11"/>
        <bgColor indexed="49"/>
      </patternFill>
    </fill>
    <fill>
      <patternFill patternType="solid">
        <fgColor indexed="49"/>
        <bgColor indexed="40"/>
      </patternFill>
    </fill>
    <fill>
      <patternFill patternType="solid">
        <fgColor indexed="43"/>
        <bgColor indexed="26"/>
      </patternFill>
    </fill>
  </fills>
  <borders count="44">
    <border>
      <left/>
      <right/>
      <top/>
      <bottom/>
      <diagonal/>
    </border>
    <border>
      <left style="thin">
        <color indexed="8"/>
      </left>
      <right/>
      <top/>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bottom/>
      <diagonal/>
    </border>
    <border>
      <left style="thin">
        <color indexed="8"/>
      </left>
      <right style="medium">
        <color indexed="8"/>
      </right>
      <top/>
      <bottom/>
      <diagonal/>
    </border>
    <border>
      <left style="thin">
        <color auto="1"/>
      </left>
      <right style="medium">
        <color indexed="8"/>
      </right>
      <top/>
      <bottom/>
      <diagonal/>
    </border>
    <border>
      <left style="thin">
        <color indexed="8"/>
      </left>
      <right style="thin">
        <color indexed="8"/>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right/>
      <top style="medium">
        <color indexed="8"/>
      </top>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style="medium">
        <color indexed="8"/>
      </top>
      <bottom/>
      <diagonal/>
    </border>
    <border>
      <left/>
      <right style="medium">
        <color indexed="8"/>
      </right>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right/>
      <top/>
      <bottom style="medium">
        <color indexed="8"/>
      </bottom>
      <diagonal/>
    </border>
    <border>
      <left style="thin">
        <color indexed="8"/>
      </left>
      <right style="thin">
        <color indexed="8"/>
      </right>
      <top/>
      <bottom style="medium">
        <color indexed="8"/>
      </bottom>
      <diagonal/>
    </border>
    <border>
      <left style="thin">
        <color indexed="8"/>
      </left>
      <right/>
      <top/>
      <bottom style="thin">
        <color indexed="8"/>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4">
    <xf numFmtId="0" fontId="0" fillId="0" borderId="0"/>
    <xf numFmtId="164" fontId="1" fillId="0" borderId="0" applyFont="0" applyFill="0" applyBorder="0" applyAlignment="0" applyProtection="0"/>
    <xf numFmtId="0" fontId="6" fillId="0" borderId="0" applyNumberFormat="0" applyFill="0" applyBorder="0" applyAlignment="0" applyProtection="0"/>
    <xf numFmtId="0" fontId="16" fillId="16" borderId="0" applyNumberFormat="0" applyBorder="0" applyAlignment="0" applyProtection="0"/>
  </cellStyleXfs>
  <cellXfs count="539">
    <xf numFmtId="0" fontId="0" fillId="0" borderId="0" xfId="0"/>
    <xf numFmtId="0" fontId="2" fillId="0" borderId="0" xfId="0" applyFont="1"/>
    <xf numFmtId="0" fontId="0" fillId="0" borderId="0" xfId="0" applyFill="1"/>
    <xf numFmtId="0" fontId="0" fillId="0" borderId="0" xfId="0" applyFont="1"/>
    <xf numFmtId="0" fontId="0" fillId="0" borderId="0" xfId="0" applyFont="1" applyFill="1"/>
    <xf numFmtId="0" fontId="3" fillId="0" borderId="0" xfId="0" applyFont="1" applyFill="1"/>
    <xf numFmtId="0" fontId="4" fillId="0" borderId="0" xfId="0" applyFont="1" applyFill="1" applyAlignment="1">
      <alignment horizontal="left"/>
    </xf>
    <xf numFmtId="0" fontId="0" fillId="0" borderId="0" xfId="0" applyFill="1" applyBorder="1"/>
    <xf numFmtId="0" fontId="0" fillId="0" borderId="1" xfId="0" applyFill="1" applyBorder="1"/>
    <xf numFmtId="0" fontId="5" fillId="0" borderId="0" xfId="0" applyFont="1"/>
    <xf numFmtId="165" fontId="0" fillId="0" borderId="0" xfId="0" applyNumberFormat="1" applyFill="1"/>
    <xf numFmtId="165" fontId="3" fillId="0" borderId="0" xfId="0" applyNumberFormat="1" applyFont="1" applyFill="1" applyBorder="1"/>
    <xf numFmtId="0" fontId="3" fillId="0" borderId="2" xfId="0" applyFont="1" applyBorder="1"/>
    <xf numFmtId="0" fontId="3" fillId="0" borderId="3" xfId="0" applyFont="1" applyBorder="1" applyAlignment="1">
      <alignment horizontal="center"/>
    </xf>
    <xf numFmtId="0" fontId="3" fillId="0" borderId="4" xfId="0" applyFont="1" applyBorder="1" applyAlignment="1">
      <alignment horizontal="center"/>
    </xf>
    <xf numFmtId="2" fontId="0" fillId="0" borderId="0" xfId="0" applyNumberFormat="1" applyBorder="1"/>
    <xf numFmtId="166" fontId="0" fillId="0" borderId="0" xfId="0" applyNumberFormat="1" applyFill="1" applyBorder="1"/>
    <xf numFmtId="0" fontId="0" fillId="0" borderId="5" xfId="0" applyFont="1" applyBorder="1"/>
    <xf numFmtId="0" fontId="0" fillId="0" borderId="6" xfId="0" applyFill="1" applyBorder="1"/>
    <xf numFmtId="0" fontId="0" fillId="0" borderId="7" xfId="0" applyFont="1" applyBorder="1"/>
    <xf numFmtId="0" fontId="0" fillId="0" borderId="8" xfId="0" applyFont="1" applyBorder="1"/>
    <xf numFmtId="0" fontId="0" fillId="0" borderId="9" xfId="0" applyFont="1" applyBorder="1"/>
    <xf numFmtId="0" fontId="0" fillId="0" borderId="0" xfId="0" applyBorder="1"/>
    <xf numFmtId="0" fontId="0" fillId="0" borderId="8" xfId="0" applyFont="1" applyFill="1" applyBorder="1"/>
    <xf numFmtId="167" fontId="0" fillId="0" borderId="1" xfId="0" applyNumberFormat="1" applyFill="1" applyBorder="1"/>
    <xf numFmtId="0" fontId="0" fillId="0" borderId="10" xfId="0" applyFont="1" applyFill="1" applyBorder="1"/>
    <xf numFmtId="0" fontId="0" fillId="0" borderId="9" xfId="0" applyFont="1" applyFill="1" applyBorder="1"/>
    <xf numFmtId="0" fontId="0" fillId="0" borderId="0" xfId="0" applyFont="1" applyFill="1" applyBorder="1" applyAlignment="1">
      <alignment horizontal="left"/>
    </xf>
    <xf numFmtId="165" fontId="0" fillId="0" borderId="0" xfId="0" applyNumberFormat="1" applyFill="1" applyBorder="1"/>
    <xf numFmtId="165" fontId="0" fillId="0" borderId="0" xfId="0" applyNumberFormat="1" applyFont="1" applyFill="1" applyBorder="1"/>
    <xf numFmtId="0" fontId="0" fillId="0" borderId="0" xfId="0" applyFont="1" applyFill="1" applyBorder="1"/>
    <xf numFmtId="168" fontId="0" fillId="0" borderId="11" xfId="0" applyNumberFormat="1" applyBorder="1"/>
    <xf numFmtId="0" fontId="6" fillId="0" borderId="0" xfId="2" applyNumberFormat="1" applyFill="1" applyBorder="1" applyAlignment="1" applyProtection="1"/>
    <xf numFmtId="0" fontId="0" fillId="0" borderId="0" xfId="0" applyFill="1" applyBorder="1" applyAlignment="1">
      <alignment horizontal="left"/>
    </xf>
    <xf numFmtId="2" fontId="0" fillId="0" borderId="11" xfId="0" applyNumberFormat="1" applyBorder="1"/>
    <xf numFmtId="165" fontId="0" fillId="0" borderId="11" xfId="0" applyNumberFormat="1" applyFont="1" applyFill="1" applyBorder="1"/>
    <xf numFmtId="9" fontId="0" fillId="0" borderId="0" xfId="0" applyNumberFormat="1"/>
    <xf numFmtId="1" fontId="0" fillId="0" borderId="1" xfId="0" applyNumberFormat="1" applyBorder="1"/>
    <xf numFmtId="0" fontId="0" fillId="0" borderId="1" xfId="0" applyBorder="1"/>
    <xf numFmtId="10" fontId="0" fillId="0" borderId="1" xfId="0" applyNumberFormat="1" applyFill="1" applyBorder="1"/>
    <xf numFmtId="0" fontId="0" fillId="0" borderId="12" xfId="0" applyFont="1" applyFill="1" applyBorder="1"/>
    <xf numFmtId="3" fontId="0" fillId="0" borderId="13" xfId="0" applyNumberFormat="1" applyFill="1" applyBorder="1"/>
    <xf numFmtId="0" fontId="0" fillId="0" borderId="14" xfId="0" applyFont="1" applyFill="1" applyBorder="1"/>
    <xf numFmtId="0" fontId="6" fillId="0" borderId="0" xfId="2" applyNumberFormat="1" applyFont="1" applyFill="1" applyBorder="1" applyAlignment="1" applyProtection="1"/>
    <xf numFmtId="165" fontId="7" fillId="0" borderId="0" xfId="0" applyNumberFormat="1" applyFont="1" applyFill="1" applyBorder="1"/>
    <xf numFmtId="165" fontId="0" fillId="0" borderId="0" xfId="0" applyNumberFormat="1"/>
    <xf numFmtId="0" fontId="0" fillId="0" borderId="5" xfId="0" applyFont="1" applyFill="1" applyBorder="1"/>
    <xf numFmtId="2" fontId="0" fillId="0" borderId="6" xfId="0" applyNumberFormat="1" applyBorder="1"/>
    <xf numFmtId="2" fontId="0" fillId="0" borderId="0" xfId="0" applyNumberFormat="1"/>
    <xf numFmtId="2" fontId="0" fillId="0" borderId="1" xfId="0" applyNumberFormat="1" applyBorder="1"/>
    <xf numFmtId="0" fontId="3" fillId="0" borderId="0" xfId="0" applyFont="1" applyFill="1" applyBorder="1"/>
    <xf numFmtId="2" fontId="0" fillId="0" borderId="11" xfId="0" applyNumberFormat="1" applyFont="1" applyBorder="1"/>
    <xf numFmtId="0" fontId="0" fillId="0" borderId="1" xfId="0" applyFont="1" applyFill="1" applyBorder="1"/>
    <xf numFmtId="2" fontId="0" fillId="0" borderId="13" xfId="0" applyNumberFormat="1" applyBorder="1"/>
    <xf numFmtId="0" fontId="3" fillId="0" borderId="15" xfId="0" applyFont="1" applyBorder="1" applyAlignment="1">
      <alignment horizontal="center"/>
    </xf>
    <xf numFmtId="0" fontId="3" fillId="0" borderId="16" xfId="0" applyFont="1" applyBorder="1"/>
    <xf numFmtId="0" fontId="3" fillId="0" borderId="17" xfId="0" applyFont="1" applyBorder="1" applyAlignment="1">
      <alignment horizontal="center"/>
    </xf>
    <xf numFmtId="0" fontId="3" fillId="0" borderId="18" xfId="0" applyFont="1" applyBorder="1" applyAlignment="1">
      <alignment horizontal="center"/>
    </xf>
    <xf numFmtId="0" fontId="3" fillId="0" borderId="6" xfId="0" applyFont="1" applyBorder="1" applyAlignment="1">
      <alignment horizontal="center"/>
    </xf>
    <xf numFmtId="0" fontId="3" fillId="0" borderId="15" xfId="0" applyFont="1" applyFill="1" applyBorder="1" applyAlignment="1">
      <alignment horizontal="center"/>
    </xf>
    <xf numFmtId="0" fontId="3" fillId="0" borderId="16" xfId="0" applyFont="1" applyBorder="1" applyAlignment="1">
      <alignment horizontal="center"/>
    </xf>
    <xf numFmtId="0" fontId="3" fillId="0" borderId="8" xfId="0" applyFont="1" applyFill="1" applyBorder="1" applyAlignment="1">
      <alignment horizontal="center"/>
    </xf>
    <xf numFmtId="0" fontId="3" fillId="0" borderId="18"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2" xfId="0" applyFont="1" applyFill="1" applyBorder="1" applyAlignment="1">
      <alignment horizontal="center"/>
    </xf>
    <xf numFmtId="0" fontId="3" fillId="0" borderId="19"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0" fillId="2" borderId="16" xfId="0" applyFont="1" applyFill="1" applyBorder="1"/>
    <xf numFmtId="2" fontId="0" fillId="2" borderId="17" xfId="0" applyNumberFormat="1" applyFill="1" applyBorder="1"/>
    <xf numFmtId="0" fontId="0" fillId="2" borderId="18" xfId="0" applyFill="1" applyBorder="1"/>
    <xf numFmtId="2" fontId="0" fillId="2" borderId="6" xfId="0" applyNumberFormat="1" applyFill="1" applyBorder="1"/>
    <xf numFmtId="2" fontId="3" fillId="2" borderId="16" xfId="0" applyNumberFormat="1" applyFont="1" applyFill="1" applyBorder="1"/>
    <xf numFmtId="165" fontId="3" fillId="2" borderId="16" xfId="0" applyNumberFormat="1" applyFont="1" applyFill="1" applyBorder="1"/>
    <xf numFmtId="10" fontId="0" fillId="2" borderId="17" xfId="0" applyNumberFormat="1" applyFill="1" applyBorder="1"/>
    <xf numFmtId="165" fontId="0" fillId="2" borderId="5" xfId="0" applyNumberFormat="1" applyFill="1" applyBorder="1"/>
    <xf numFmtId="165" fontId="0" fillId="2" borderId="18" xfId="0" applyNumberFormat="1" applyFill="1" applyBorder="1"/>
    <xf numFmtId="165" fontId="0" fillId="2" borderId="6" xfId="0" applyNumberFormat="1" applyFill="1" applyBorder="1"/>
    <xf numFmtId="165" fontId="0" fillId="2" borderId="7" xfId="0" applyNumberFormat="1" applyFill="1" applyBorder="1"/>
    <xf numFmtId="165" fontId="8" fillId="0" borderId="11" xfId="0" applyNumberFormat="1" applyFont="1" applyFill="1" applyBorder="1"/>
    <xf numFmtId="0" fontId="8" fillId="0" borderId="1" xfId="0" applyFont="1" applyFill="1" applyBorder="1"/>
    <xf numFmtId="0" fontId="8" fillId="0" borderId="9" xfId="0" applyFont="1" applyFill="1" applyBorder="1"/>
    <xf numFmtId="0" fontId="9" fillId="3" borderId="20" xfId="0" applyFont="1" applyFill="1" applyBorder="1"/>
    <xf numFmtId="0" fontId="9" fillId="3" borderId="0" xfId="0" applyFont="1" applyFill="1" applyBorder="1"/>
    <xf numFmtId="0" fontId="8" fillId="0" borderId="11" xfId="0" applyFont="1" applyFill="1" applyBorder="1"/>
    <xf numFmtId="2" fontId="9" fillId="3" borderId="1" xfId="0" applyNumberFormat="1" applyFont="1" applyFill="1" applyBorder="1"/>
    <xf numFmtId="2" fontId="7" fillId="3" borderId="20" xfId="0" applyNumberFormat="1" applyFont="1" applyFill="1" applyBorder="1"/>
    <xf numFmtId="165" fontId="7" fillId="3" borderId="20" xfId="0" applyNumberFormat="1" applyFont="1" applyFill="1" applyBorder="1"/>
    <xf numFmtId="10" fontId="9" fillId="3" borderId="0" xfId="0" applyNumberFormat="1" applyFont="1" applyFill="1" applyBorder="1"/>
    <xf numFmtId="165" fontId="9" fillId="3" borderId="8" xfId="0" applyNumberFormat="1" applyFont="1" applyFill="1" applyBorder="1"/>
    <xf numFmtId="165" fontId="9" fillId="3" borderId="11" xfId="0" applyNumberFormat="1" applyFont="1" applyFill="1" applyBorder="1"/>
    <xf numFmtId="165" fontId="9" fillId="3" borderId="1" xfId="0" applyNumberFormat="1" applyFont="1" applyFill="1" applyBorder="1"/>
    <xf numFmtId="165" fontId="9" fillId="3" borderId="9" xfId="0" applyNumberFormat="1" applyFont="1" applyFill="1" applyBorder="1"/>
    <xf numFmtId="0" fontId="9" fillId="3" borderId="11" xfId="0" applyFont="1" applyFill="1" applyBorder="1"/>
    <xf numFmtId="0" fontId="9" fillId="3" borderId="1" xfId="0" applyFont="1" applyFill="1" applyBorder="1"/>
    <xf numFmtId="0" fontId="9" fillId="3" borderId="9" xfId="0" applyFont="1" applyFill="1" applyBorder="1"/>
    <xf numFmtId="0" fontId="0" fillId="4" borderId="20" xfId="0" applyFont="1" applyFill="1" applyBorder="1"/>
    <xf numFmtId="0" fontId="0" fillId="4" borderId="0" xfId="0" applyFill="1" applyBorder="1"/>
    <xf numFmtId="2" fontId="0" fillId="4" borderId="1" xfId="0" applyNumberFormat="1" applyFill="1" applyBorder="1"/>
    <xf numFmtId="2" fontId="3" fillId="4" borderId="20" xfId="0" applyNumberFormat="1" applyFont="1" applyFill="1" applyBorder="1"/>
    <xf numFmtId="165" fontId="3" fillId="4" borderId="20" xfId="0" applyNumberFormat="1" applyFont="1" applyFill="1" applyBorder="1"/>
    <xf numFmtId="10" fontId="0" fillId="4" borderId="0" xfId="0" applyNumberFormat="1" applyFill="1" applyBorder="1"/>
    <xf numFmtId="165" fontId="0" fillId="4" borderId="8" xfId="0" applyNumberFormat="1" applyFill="1" applyBorder="1"/>
    <xf numFmtId="165" fontId="0" fillId="4" borderId="11" xfId="0" applyNumberFormat="1" applyFill="1" applyBorder="1"/>
    <xf numFmtId="165" fontId="0" fillId="4" borderId="1" xfId="0" applyNumberFormat="1" applyFill="1" applyBorder="1"/>
    <xf numFmtId="165" fontId="0" fillId="4" borderId="9" xfId="0" applyNumberFormat="1" applyFill="1" applyBorder="1"/>
    <xf numFmtId="165" fontId="0" fillId="4" borderId="0" xfId="0" applyNumberFormat="1" applyFill="1" applyBorder="1"/>
    <xf numFmtId="0" fontId="0" fillId="5" borderId="20" xfId="0" applyFont="1" applyFill="1" applyBorder="1"/>
    <xf numFmtId="0" fontId="0" fillId="5" borderId="0" xfId="0" applyFill="1" applyBorder="1"/>
    <xf numFmtId="2" fontId="0" fillId="5" borderId="1" xfId="0" applyNumberFormat="1" applyFill="1" applyBorder="1"/>
    <xf numFmtId="2" fontId="3" fillId="5" borderId="20" xfId="0" applyNumberFormat="1" applyFont="1" applyFill="1" applyBorder="1"/>
    <xf numFmtId="165" fontId="3" fillId="5" borderId="20" xfId="0" applyNumberFormat="1" applyFont="1" applyFill="1" applyBorder="1"/>
    <xf numFmtId="10" fontId="0" fillId="5" borderId="0" xfId="0" applyNumberFormat="1" applyFill="1" applyBorder="1"/>
    <xf numFmtId="165" fontId="0" fillId="5" borderId="8" xfId="0" applyNumberFormat="1" applyFill="1" applyBorder="1"/>
    <xf numFmtId="165" fontId="0" fillId="5" borderId="11" xfId="0" applyNumberFormat="1" applyFill="1" applyBorder="1"/>
    <xf numFmtId="165" fontId="0" fillId="5" borderId="1" xfId="0" applyNumberFormat="1" applyFill="1" applyBorder="1"/>
    <xf numFmtId="165" fontId="0" fillId="5" borderId="9" xfId="0" applyNumberFormat="1" applyFill="1" applyBorder="1"/>
    <xf numFmtId="165" fontId="0" fillId="5" borderId="0" xfId="0" applyNumberFormat="1" applyFill="1" applyBorder="1"/>
    <xf numFmtId="0" fontId="0" fillId="6" borderId="20" xfId="0" applyFont="1" applyFill="1" applyBorder="1"/>
    <xf numFmtId="165" fontId="0" fillId="6" borderId="0" xfId="0" applyNumberFormat="1" applyFill="1" applyBorder="1"/>
    <xf numFmtId="0" fontId="0" fillId="6" borderId="11" xfId="0" applyFill="1" applyBorder="1"/>
    <xf numFmtId="2" fontId="0" fillId="6" borderId="1" xfId="0" applyNumberFormat="1" applyFill="1" applyBorder="1"/>
    <xf numFmtId="2" fontId="3" fillId="6" borderId="20" xfId="0" applyNumberFormat="1" applyFont="1" applyFill="1" applyBorder="1"/>
    <xf numFmtId="165" fontId="3" fillId="6" borderId="20" xfId="0" applyNumberFormat="1" applyFont="1" applyFill="1" applyBorder="1"/>
    <xf numFmtId="10" fontId="0" fillId="6" borderId="0" xfId="0" applyNumberFormat="1" applyFill="1" applyBorder="1"/>
    <xf numFmtId="165" fontId="0" fillId="6" borderId="8" xfId="0" applyNumberFormat="1" applyFill="1" applyBorder="1"/>
    <xf numFmtId="165" fontId="0" fillId="6" borderId="11" xfId="0" applyNumberFormat="1" applyFill="1" applyBorder="1"/>
    <xf numFmtId="165" fontId="0" fillId="6" borderId="1" xfId="0" applyNumberFormat="1" applyFill="1" applyBorder="1"/>
    <xf numFmtId="165" fontId="0" fillId="6" borderId="9" xfId="0" applyNumberFormat="1" applyFill="1" applyBorder="1"/>
    <xf numFmtId="165" fontId="8" fillId="0" borderId="1" xfId="0" applyNumberFormat="1" applyFont="1" applyFill="1" applyBorder="1"/>
    <xf numFmtId="0" fontId="0" fillId="7" borderId="20" xfId="0" applyFont="1" applyFill="1" applyBorder="1"/>
    <xf numFmtId="165" fontId="0" fillId="7" borderId="0" xfId="0" applyNumberFormat="1" applyFill="1" applyBorder="1"/>
    <xf numFmtId="0" fontId="0" fillId="7" borderId="11" xfId="0" applyFill="1" applyBorder="1"/>
    <xf numFmtId="2" fontId="0" fillId="7" borderId="1" xfId="0" applyNumberFormat="1" applyFill="1" applyBorder="1"/>
    <xf numFmtId="2" fontId="3" fillId="7" borderId="20" xfId="0" applyNumberFormat="1" applyFont="1" applyFill="1" applyBorder="1"/>
    <xf numFmtId="165" fontId="3" fillId="7" borderId="20" xfId="0" applyNumberFormat="1" applyFont="1" applyFill="1" applyBorder="1"/>
    <xf numFmtId="10" fontId="0" fillId="7" borderId="0" xfId="0" applyNumberFormat="1" applyFill="1" applyBorder="1"/>
    <xf numFmtId="165" fontId="0" fillId="7" borderId="8" xfId="0" applyNumberFormat="1" applyFill="1" applyBorder="1"/>
    <xf numFmtId="165" fontId="0" fillId="7" borderId="11" xfId="0" applyNumberFormat="1" applyFill="1" applyBorder="1"/>
    <xf numFmtId="165" fontId="0" fillId="7" borderId="1" xfId="0" applyNumberFormat="1" applyFill="1" applyBorder="1"/>
    <xf numFmtId="165" fontId="0" fillId="7" borderId="9" xfId="0" applyNumberFormat="1" applyFill="1" applyBorder="1"/>
    <xf numFmtId="0" fontId="0" fillId="8" borderId="20" xfId="0" applyFont="1" applyFill="1" applyBorder="1"/>
    <xf numFmtId="165" fontId="0" fillId="8" borderId="0" xfId="0" applyNumberFormat="1" applyFill="1" applyBorder="1"/>
    <xf numFmtId="0" fontId="0" fillId="8" borderId="11" xfId="0" applyFill="1" applyBorder="1"/>
    <xf numFmtId="2" fontId="0" fillId="8" borderId="1" xfId="0" applyNumberFormat="1" applyFill="1" applyBorder="1"/>
    <xf numFmtId="2" fontId="3" fillId="8" borderId="20" xfId="0" applyNumberFormat="1" applyFont="1" applyFill="1" applyBorder="1"/>
    <xf numFmtId="165" fontId="3" fillId="8" borderId="20" xfId="0" applyNumberFormat="1" applyFont="1" applyFill="1" applyBorder="1"/>
    <xf numFmtId="10" fontId="0" fillId="8" borderId="0" xfId="0" applyNumberFormat="1" applyFill="1" applyBorder="1"/>
    <xf numFmtId="165" fontId="0" fillId="8" borderId="8" xfId="0" applyNumberFormat="1" applyFill="1" applyBorder="1"/>
    <xf numFmtId="165" fontId="0" fillId="8" borderId="11" xfId="0" applyNumberFormat="1" applyFill="1" applyBorder="1"/>
    <xf numFmtId="165" fontId="0" fillId="8" borderId="1" xfId="0" applyNumberFormat="1" applyFill="1" applyBorder="1"/>
    <xf numFmtId="165" fontId="0" fillId="8" borderId="9" xfId="0" applyNumberFormat="1" applyFill="1" applyBorder="1"/>
    <xf numFmtId="0" fontId="0" fillId="9" borderId="20" xfId="0" applyFont="1" applyFill="1" applyBorder="1"/>
    <xf numFmtId="165" fontId="0" fillId="9" borderId="0" xfId="0" applyNumberFormat="1" applyFill="1" applyBorder="1"/>
    <xf numFmtId="0" fontId="0" fillId="9" borderId="11" xfId="0" applyFill="1" applyBorder="1"/>
    <xf numFmtId="2" fontId="0" fillId="9" borderId="1" xfId="0" applyNumberFormat="1" applyFill="1" applyBorder="1"/>
    <xf numFmtId="2" fontId="3" fillId="9" borderId="20" xfId="0" applyNumberFormat="1" applyFont="1" applyFill="1" applyBorder="1"/>
    <xf numFmtId="165" fontId="3" fillId="9" borderId="20" xfId="0" applyNumberFormat="1" applyFont="1" applyFill="1" applyBorder="1"/>
    <xf numFmtId="10" fontId="0" fillId="9" borderId="0" xfId="0" applyNumberFormat="1" applyFill="1" applyBorder="1"/>
    <xf numFmtId="165" fontId="0" fillId="9" borderId="8" xfId="0" applyNumberFormat="1" applyFill="1" applyBorder="1"/>
    <xf numFmtId="165" fontId="0" fillId="9" borderId="11" xfId="0" applyNumberFormat="1" applyFill="1" applyBorder="1"/>
    <xf numFmtId="165" fontId="0" fillId="9" borderId="1" xfId="0" applyNumberFormat="1" applyFill="1" applyBorder="1"/>
    <xf numFmtId="165" fontId="0" fillId="9" borderId="9" xfId="0" applyNumberFormat="1" applyFill="1" applyBorder="1"/>
    <xf numFmtId="0" fontId="0" fillId="10" borderId="20" xfId="0" applyFont="1" applyFill="1" applyBorder="1"/>
    <xf numFmtId="165" fontId="0" fillId="10" borderId="0" xfId="0" applyNumberFormat="1" applyFill="1" applyBorder="1"/>
    <xf numFmtId="0" fontId="0" fillId="10" borderId="11" xfId="0" applyFill="1" applyBorder="1"/>
    <xf numFmtId="2" fontId="0" fillId="10" borderId="1" xfId="0" applyNumberFormat="1" applyFill="1" applyBorder="1"/>
    <xf numFmtId="2" fontId="3" fillId="10" borderId="20" xfId="0" applyNumberFormat="1" applyFont="1" applyFill="1" applyBorder="1"/>
    <xf numFmtId="165" fontId="3" fillId="10" borderId="20" xfId="0" applyNumberFormat="1" applyFont="1" applyFill="1" applyBorder="1"/>
    <xf numFmtId="10" fontId="0" fillId="10" borderId="0" xfId="0" applyNumberFormat="1" applyFill="1" applyBorder="1"/>
    <xf numFmtId="165" fontId="0" fillId="10" borderId="8" xfId="0" applyNumberFormat="1" applyFill="1" applyBorder="1"/>
    <xf numFmtId="165" fontId="0" fillId="10" borderId="11" xfId="0" applyNumberFormat="1" applyFill="1" applyBorder="1"/>
    <xf numFmtId="165" fontId="0" fillId="10" borderId="1" xfId="0" applyNumberFormat="1" applyFill="1" applyBorder="1"/>
    <xf numFmtId="165" fontId="0" fillId="10" borderId="9" xfId="0" applyNumberFormat="1" applyFill="1" applyBorder="1"/>
    <xf numFmtId="165" fontId="8" fillId="0" borderId="9" xfId="0" applyNumberFormat="1" applyFont="1" applyFill="1" applyBorder="1"/>
    <xf numFmtId="0" fontId="0" fillId="10" borderId="1" xfId="0" applyFill="1" applyBorder="1"/>
    <xf numFmtId="0" fontId="0" fillId="11" borderId="20" xfId="0" applyFont="1" applyFill="1" applyBorder="1"/>
    <xf numFmtId="165" fontId="0" fillId="11" borderId="0" xfId="0" applyNumberFormat="1" applyFill="1" applyBorder="1"/>
    <xf numFmtId="0" fontId="0" fillId="11" borderId="1" xfId="0" applyFill="1" applyBorder="1"/>
    <xf numFmtId="2" fontId="0" fillId="11" borderId="1" xfId="0" applyNumberFormat="1" applyFill="1" applyBorder="1"/>
    <xf numFmtId="2" fontId="3" fillId="11" borderId="20" xfId="0" applyNumberFormat="1" applyFont="1" applyFill="1" applyBorder="1"/>
    <xf numFmtId="165" fontId="3" fillId="11" borderId="20" xfId="0" applyNumberFormat="1" applyFont="1" applyFill="1" applyBorder="1"/>
    <xf numFmtId="10" fontId="0" fillId="11" borderId="0" xfId="0" applyNumberFormat="1" applyFill="1" applyBorder="1"/>
    <xf numFmtId="165" fontId="0" fillId="11" borderId="8" xfId="0" applyNumberFormat="1" applyFill="1" applyBorder="1"/>
    <xf numFmtId="165" fontId="0" fillId="11" borderId="11" xfId="0" applyNumberFormat="1" applyFill="1" applyBorder="1"/>
    <xf numFmtId="165" fontId="0" fillId="11" borderId="1" xfId="0" applyNumberFormat="1" applyFill="1" applyBorder="1"/>
    <xf numFmtId="165" fontId="0" fillId="11" borderId="9" xfId="0" applyNumberFormat="1" applyFill="1" applyBorder="1"/>
    <xf numFmtId="0" fontId="10" fillId="0" borderId="2" xfId="0" applyFont="1" applyBorder="1"/>
    <xf numFmtId="0" fontId="0" fillId="0" borderId="21" xfId="0" applyFont="1" applyBorder="1"/>
    <xf numFmtId="0" fontId="0" fillId="0" borderId="21" xfId="0" applyBorder="1"/>
    <xf numFmtId="0" fontId="0" fillId="0" borderId="22" xfId="0" applyBorder="1"/>
    <xf numFmtId="2" fontId="3" fillId="0" borderId="16" xfId="0" applyNumberFormat="1" applyFont="1" applyBorder="1"/>
    <xf numFmtId="165" fontId="3" fillId="0" borderId="15" xfId="0" applyNumberFormat="1" applyFont="1" applyBorder="1"/>
    <xf numFmtId="10" fontId="0" fillId="0" borderId="21" xfId="0" applyNumberFormat="1" applyBorder="1"/>
    <xf numFmtId="165" fontId="0" fillId="0" borderId="2" xfId="0" applyNumberFormat="1" applyBorder="1"/>
    <xf numFmtId="165" fontId="0" fillId="0" borderId="19" xfId="0" applyNumberFormat="1" applyBorder="1"/>
    <xf numFmtId="165" fontId="0" fillId="0" borderId="3" xfId="0" applyNumberFormat="1" applyBorder="1"/>
    <xf numFmtId="165" fontId="0" fillId="0" borderId="4" xfId="0" applyNumberFormat="1" applyBorder="1"/>
    <xf numFmtId="0" fontId="0" fillId="0" borderId="2" xfId="0" applyBorder="1"/>
    <xf numFmtId="0" fontId="0" fillId="12" borderId="20" xfId="0" applyFont="1" applyFill="1" applyBorder="1"/>
    <xf numFmtId="0" fontId="0" fillId="12" borderId="0" xfId="0" applyFill="1" applyBorder="1"/>
    <xf numFmtId="2" fontId="3" fillId="12" borderId="16" xfId="0" applyNumberFormat="1" applyFont="1" applyFill="1" applyBorder="1"/>
    <xf numFmtId="165" fontId="3" fillId="12" borderId="23" xfId="0" applyNumberFormat="1" applyFont="1" applyFill="1" applyBorder="1"/>
    <xf numFmtId="10" fontId="0" fillId="12" borderId="17" xfId="0" applyNumberFormat="1" applyFill="1" applyBorder="1"/>
    <xf numFmtId="165" fontId="0" fillId="12" borderId="5" xfId="0" applyNumberFormat="1" applyFill="1" applyBorder="1"/>
    <xf numFmtId="165" fontId="0" fillId="12" borderId="18" xfId="0" applyNumberFormat="1" applyFill="1" applyBorder="1"/>
    <xf numFmtId="165" fontId="0" fillId="12" borderId="6" xfId="0" applyNumberFormat="1" applyFill="1" applyBorder="1"/>
    <xf numFmtId="165" fontId="0" fillId="12" borderId="7" xfId="0" applyNumberFormat="1" applyFill="1" applyBorder="1"/>
    <xf numFmtId="0" fontId="0" fillId="0" borderId="20" xfId="0" applyFont="1" applyBorder="1"/>
    <xf numFmtId="2" fontId="3" fillId="0" borderId="20" xfId="0" applyNumberFormat="1" applyFont="1" applyFill="1" applyBorder="1"/>
    <xf numFmtId="165" fontId="3" fillId="0" borderId="24" xfId="0" applyNumberFormat="1" applyFont="1" applyBorder="1"/>
    <xf numFmtId="0" fontId="0" fillId="0" borderId="11" xfId="0" applyBorder="1"/>
    <xf numFmtId="2" fontId="3" fillId="0" borderId="25" xfId="0" applyNumberFormat="1" applyFont="1" applyFill="1" applyBorder="1"/>
    <xf numFmtId="165" fontId="3" fillId="0" borderId="26" xfId="0" applyNumberFormat="1" applyFont="1" applyBorder="1"/>
    <xf numFmtId="165" fontId="0" fillId="0" borderId="27" xfId="0" applyNumberFormat="1" applyBorder="1"/>
    <xf numFmtId="2" fontId="0" fillId="0" borderId="9" xfId="0" applyNumberFormat="1" applyBorder="1"/>
    <xf numFmtId="2" fontId="3" fillId="0" borderId="25" xfId="0" applyNumberFormat="1" applyFont="1" applyBorder="1"/>
    <xf numFmtId="165" fontId="0" fillId="0" borderId="21" xfId="0" applyNumberFormat="1" applyBorder="1"/>
    <xf numFmtId="0" fontId="0" fillId="0" borderId="19" xfId="0" applyBorder="1"/>
    <xf numFmtId="2" fontId="0" fillId="0" borderId="3" xfId="0" applyNumberFormat="1" applyBorder="1"/>
    <xf numFmtId="2" fontId="0" fillId="0" borderId="4" xfId="0" applyNumberFormat="1" applyBorder="1"/>
    <xf numFmtId="0" fontId="0" fillId="0" borderId="3" xfId="0" applyBorder="1"/>
    <xf numFmtId="0" fontId="0" fillId="0" borderId="4" xfId="0" applyBorder="1"/>
    <xf numFmtId="0" fontId="0" fillId="0" borderId="12" xfId="0" applyBorder="1"/>
    <xf numFmtId="0" fontId="0" fillId="0" borderId="28" xfId="0" applyBorder="1"/>
    <xf numFmtId="2" fontId="0" fillId="0" borderId="14" xfId="0" applyNumberFormat="1" applyBorder="1"/>
    <xf numFmtId="0" fontId="0" fillId="0" borderId="29" xfId="0" applyFill="1" applyBorder="1"/>
    <xf numFmtId="0" fontId="5" fillId="0" borderId="30" xfId="0" applyFont="1" applyBorder="1"/>
    <xf numFmtId="0" fontId="0" fillId="0" borderId="30" xfId="0" applyBorder="1"/>
    <xf numFmtId="165" fontId="0" fillId="0" borderId="30" xfId="0" applyNumberFormat="1" applyBorder="1"/>
    <xf numFmtId="165" fontId="0" fillId="0" borderId="30" xfId="0" applyNumberFormat="1" applyFill="1" applyBorder="1"/>
    <xf numFmtId="0" fontId="0" fillId="0" borderId="30" xfId="0" applyFill="1" applyBorder="1"/>
    <xf numFmtId="0" fontId="3" fillId="0" borderId="30" xfId="0" applyFont="1" applyFill="1" applyBorder="1"/>
    <xf numFmtId="0" fontId="3" fillId="13" borderId="31" xfId="0" applyFont="1" applyFill="1" applyBorder="1"/>
    <xf numFmtId="165" fontId="0" fillId="13" borderId="32" xfId="0" applyNumberFormat="1" applyFont="1" applyFill="1" applyBorder="1"/>
    <xf numFmtId="0" fontId="0" fillId="13" borderId="33" xfId="0" applyFont="1" applyFill="1" applyBorder="1"/>
    <xf numFmtId="0" fontId="0" fillId="13" borderId="31" xfId="0" applyFont="1" applyFill="1" applyBorder="1"/>
    <xf numFmtId="2" fontId="0" fillId="13" borderId="32" xfId="0" applyNumberFormat="1" applyFill="1" applyBorder="1"/>
    <xf numFmtId="169" fontId="0" fillId="0" borderId="0" xfId="0" applyNumberFormat="1"/>
    <xf numFmtId="0" fontId="0" fillId="13" borderId="1" xfId="0" applyFont="1" applyFill="1" applyBorder="1"/>
    <xf numFmtId="0" fontId="0" fillId="13" borderId="0" xfId="0" applyFill="1" applyBorder="1"/>
    <xf numFmtId="0" fontId="0" fillId="13" borderId="34" xfId="0" applyFont="1" applyFill="1" applyBorder="1"/>
    <xf numFmtId="2" fontId="0" fillId="13" borderId="0" xfId="0" applyNumberFormat="1" applyFill="1" applyBorder="1"/>
    <xf numFmtId="170" fontId="0" fillId="0" borderId="0" xfId="0" applyNumberFormat="1"/>
    <xf numFmtId="2" fontId="3" fillId="0" borderId="0" xfId="0" applyNumberFormat="1" applyFont="1" applyFill="1" applyBorder="1"/>
    <xf numFmtId="0" fontId="0" fillId="13" borderId="29" xfId="0" applyFont="1" applyFill="1" applyBorder="1"/>
    <xf numFmtId="2" fontId="0" fillId="13" borderId="30" xfId="0" applyNumberFormat="1" applyFill="1" applyBorder="1"/>
    <xf numFmtId="0" fontId="0" fillId="13" borderId="35" xfId="0" applyFont="1" applyFill="1" applyBorder="1"/>
    <xf numFmtId="10" fontId="0" fillId="0" borderId="0" xfId="0" applyNumberFormat="1"/>
    <xf numFmtId="0" fontId="3" fillId="2" borderId="36" xfId="0" applyFont="1" applyFill="1" applyBorder="1"/>
    <xf numFmtId="0" fontId="0" fillId="2" borderId="37" xfId="0" applyFill="1" applyBorder="1"/>
    <xf numFmtId="0" fontId="0" fillId="2" borderId="38" xfId="0" applyFill="1" applyBorder="1"/>
    <xf numFmtId="0" fontId="0" fillId="2" borderId="31" xfId="0" applyFont="1" applyFill="1" applyBorder="1"/>
    <xf numFmtId="0" fontId="0" fillId="2" borderId="32" xfId="0" applyNumberFormat="1" applyFill="1" applyBorder="1"/>
    <xf numFmtId="0" fontId="0" fillId="2" borderId="33" xfId="0" applyFont="1" applyFill="1" applyBorder="1"/>
    <xf numFmtId="2" fontId="0" fillId="0" borderId="0" xfId="0" applyNumberFormat="1" applyFill="1"/>
    <xf numFmtId="2" fontId="0" fillId="0" borderId="0" xfId="0" applyNumberFormat="1" applyFill="1" applyBorder="1"/>
    <xf numFmtId="0" fontId="0" fillId="2" borderId="1" xfId="0" applyFont="1" applyFill="1" applyBorder="1"/>
    <xf numFmtId="0" fontId="0" fillId="2" borderId="0" xfId="0" applyNumberFormat="1" applyFill="1" applyBorder="1"/>
    <xf numFmtId="0" fontId="0" fillId="2" borderId="34" xfId="0" applyFont="1" applyFill="1" applyBorder="1"/>
    <xf numFmtId="168" fontId="0" fillId="2" borderId="0" xfId="0" applyNumberFormat="1" applyFill="1" applyBorder="1"/>
    <xf numFmtId="2" fontId="0" fillId="2" borderId="0" xfId="0" applyNumberFormat="1" applyFill="1" applyBorder="1"/>
    <xf numFmtId="165" fontId="0" fillId="2" borderId="0" xfId="0" applyNumberFormat="1" applyFill="1" applyBorder="1"/>
    <xf numFmtId="0" fontId="3" fillId="2" borderId="1" xfId="0" applyFont="1" applyFill="1" applyBorder="1"/>
    <xf numFmtId="2" fontId="3" fillId="2" borderId="0" xfId="0" applyNumberFormat="1" applyFont="1" applyFill="1" applyBorder="1"/>
    <xf numFmtId="0" fontId="3" fillId="2" borderId="34" xfId="0" applyFont="1" applyFill="1" applyBorder="1"/>
    <xf numFmtId="0" fontId="0" fillId="2" borderId="29" xfId="0" applyFont="1" applyFill="1" applyBorder="1"/>
    <xf numFmtId="2" fontId="0" fillId="2" borderId="30" xfId="0" applyNumberFormat="1" applyFont="1" applyFill="1" applyBorder="1"/>
    <xf numFmtId="0" fontId="0" fillId="2" borderId="35" xfId="0" applyFont="1" applyFill="1" applyBorder="1"/>
    <xf numFmtId="0" fontId="3" fillId="12" borderId="36" xfId="0" applyFont="1" applyFill="1" applyBorder="1"/>
    <xf numFmtId="2" fontId="0" fillId="12" borderId="37" xfId="0" applyNumberFormat="1" applyFill="1" applyBorder="1"/>
    <xf numFmtId="0" fontId="0" fillId="12" borderId="37" xfId="0" applyFill="1" applyBorder="1"/>
    <xf numFmtId="0" fontId="0" fillId="12" borderId="1" xfId="0" applyFont="1" applyFill="1" applyBorder="1"/>
    <xf numFmtId="2" fontId="0" fillId="12" borderId="0" xfId="0" applyNumberFormat="1" applyFill="1" applyBorder="1"/>
    <xf numFmtId="3" fontId="0" fillId="12" borderId="0" xfId="0" applyNumberFormat="1" applyFill="1" applyBorder="1"/>
    <xf numFmtId="9" fontId="0" fillId="0" borderId="0" xfId="0" applyNumberFormat="1" applyFill="1" applyBorder="1"/>
    <xf numFmtId="0" fontId="11" fillId="0" borderId="1" xfId="0" applyFont="1" applyFill="1" applyBorder="1"/>
    <xf numFmtId="0" fontId="0" fillId="12" borderId="0" xfId="0" applyFont="1" applyFill="1" applyBorder="1"/>
    <xf numFmtId="0" fontId="0" fillId="12" borderId="34" xfId="0" applyFill="1" applyBorder="1"/>
    <xf numFmtId="0" fontId="3" fillId="12" borderId="1" xfId="0" applyFont="1" applyFill="1" applyBorder="1"/>
    <xf numFmtId="0" fontId="0" fillId="12" borderId="39" xfId="0" applyFont="1" applyFill="1" applyBorder="1" applyAlignment="1">
      <alignment horizontal="center"/>
    </xf>
    <xf numFmtId="0" fontId="0" fillId="12" borderId="40" xfId="0" applyFill="1" applyBorder="1" applyAlignment="1">
      <alignment horizontal="center"/>
    </xf>
    <xf numFmtId="0" fontId="0" fillId="12" borderId="41" xfId="0" applyFont="1" applyFill="1" applyBorder="1" applyAlignment="1">
      <alignment horizontal="center"/>
    </xf>
    <xf numFmtId="0" fontId="0" fillId="12" borderId="40" xfId="0" applyFont="1" applyFill="1" applyBorder="1" applyAlignment="1">
      <alignment horizontal="center"/>
    </xf>
    <xf numFmtId="0" fontId="3" fillId="12" borderId="29" xfId="0" applyFont="1" applyFill="1" applyBorder="1"/>
    <xf numFmtId="0" fontId="0" fillId="12" borderId="30" xfId="0" applyFont="1" applyFill="1" applyBorder="1"/>
    <xf numFmtId="0" fontId="0" fillId="12" borderId="29" xfId="0" applyFont="1" applyFill="1" applyBorder="1" applyAlignment="1">
      <alignment horizontal="center"/>
    </xf>
    <xf numFmtId="0" fontId="0" fillId="12" borderId="30" xfId="0" applyFont="1" applyFill="1" applyBorder="1" applyAlignment="1">
      <alignment horizontal="center"/>
    </xf>
    <xf numFmtId="0" fontId="3" fillId="12" borderId="42" xfId="0" applyFont="1" applyFill="1" applyBorder="1"/>
    <xf numFmtId="165" fontId="0" fillId="12" borderId="1" xfId="0" applyNumberFormat="1" applyFill="1" applyBorder="1"/>
    <xf numFmtId="165" fontId="0" fillId="12" borderId="0" xfId="0" applyNumberFormat="1" applyFill="1" applyBorder="1"/>
    <xf numFmtId="165" fontId="0" fillId="12" borderId="11" xfId="0" applyNumberFormat="1" applyFill="1" applyBorder="1"/>
    <xf numFmtId="0" fontId="12" fillId="12" borderId="1" xfId="0" applyFont="1" applyFill="1" applyBorder="1" applyAlignment="1">
      <alignment horizontal="right"/>
    </xf>
    <xf numFmtId="0" fontId="0" fillId="12" borderId="1" xfId="0" applyFont="1" applyFill="1" applyBorder="1" applyAlignment="1">
      <alignment horizontal="right"/>
    </xf>
    <xf numFmtId="165" fontId="3" fillId="12" borderId="0" xfId="0" applyNumberFormat="1" applyFont="1" applyFill="1" applyBorder="1"/>
    <xf numFmtId="165" fontId="3" fillId="12" borderId="11" xfId="0" applyNumberFormat="1" applyFont="1" applyFill="1" applyBorder="1"/>
    <xf numFmtId="165" fontId="0" fillId="12" borderId="36" xfId="0" applyNumberFormat="1" applyFill="1" applyBorder="1"/>
    <xf numFmtId="165" fontId="0" fillId="12" borderId="37" xfId="0" applyNumberFormat="1" applyFill="1" applyBorder="1"/>
    <xf numFmtId="165" fontId="0" fillId="12" borderId="42" xfId="0" applyNumberFormat="1" applyFill="1" applyBorder="1"/>
    <xf numFmtId="167" fontId="0" fillId="0" borderId="0" xfId="0" applyNumberFormat="1" applyFill="1" applyBorder="1"/>
    <xf numFmtId="0" fontId="4" fillId="0" borderId="0" xfId="0" applyFont="1" applyFill="1" applyBorder="1" applyAlignment="1">
      <alignment horizontal="left"/>
    </xf>
    <xf numFmtId="0" fontId="0" fillId="12" borderId="36" xfId="0" applyFont="1" applyFill="1" applyBorder="1" applyAlignment="1">
      <alignment horizontal="right"/>
    </xf>
    <xf numFmtId="3" fontId="0" fillId="12" borderId="37" xfId="0" applyNumberFormat="1" applyFill="1" applyBorder="1"/>
    <xf numFmtId="165" fontId="3" fillId="12" borderId="37" xfId="0" applyNumberFormat="1" applyFont="1" applyFill="1" applyBorder="1"/>
    <xf numFmtId="165" fontId="3" fillId="12" borderId="42" xfId="0" applyNumberFormat="1" applyFont="1" applyFill="1" applyBorder="1"/>
    <xf numFmtId="0" fontId="0" fillId="12" borderId="29" xfId="0" applyFill="1" applyBorder="1"/>
    <xf numFmtId="3" fontId="0" fillId="12" borderId="30" xfId="0" applyNumberFormat="1" applyFill="1" applyBorder="1"/>
    <xf numFmtId="3" fontId="3" fillId="12" borderId="30" xfId="0" applyNumberFormat="1" applyFont="1" applyFill="1" applyBorder="1" applyAlignment="1">
      <alignment horizontal="right"/>
    </xf>
    <xf numFmtId="165" fontId="0" fillId="12" borderId="29" xfId="0" applyNumberFormat="1" applyFill="1" applyBorder="1"/>
    <xf numFmtId="165" fontId="0" fillId="12" borderId="30" xfId="0" applyNumberFormat="1" applyFill="1" applyBorder="1"/>
    <xf numFmtId="165" fontId="3" fillId="12" borderId="30" xfId="0" applyNumberFormat="1" applyFont="1" applyFill="1" applyBorder="1"/>
    <xf numFmtId="165" fontId="3" fillId="12" borderId="43" xfId="0" applyNumberFormat="1" applyFont="1" applyFill="1" applyBorder="1"/>
    <xf numFmtId="3" fontId="0" fillId="0" borderId="0" xfId="0" applyNumberFormat="1" applyFill="1" applyBorder="1"/>
    <xf numFmtId="0" fontId="7" fillId="3" borderId="36" xfId="0" applyFont="1" applyFill="1" applyBorder="1"/>
    <xf numFmtId="0" fontId="0" fillId="3" borderId="37" xfId="0" applyFill="1" applyBorder="1"/>
    <xf numFmtId="0" fontId="0" fillId="3" borderId="38" xfId="0" applyFill="1" applyBorder="1"/>
    <xf numFmtId="0" fontId="0" fillId="3" borderId="1" xfId="0" applyFont="1" applyFill="1" applyBorder="1"/>
    <xf numFmtId="167" fontId="0" fillId="3" borderId="0" xfId="0" applyNumberFormat="1" applyFill="1" applyBorder="1"/>
    <xf numFmtId="0" fontId="0" fillId="3" borderId="34" xfId="0" applyNumberFormat="1" applyFont="1" applyFill="1" applyBorder="1"/>
    <xf numFmtId="0" fontId="0" fillId="0" borderId="0" xfId="0" applyNumberFormat="1" applyFill="1" applyBorder="1"/>
    <xf numFmtId="3" fontId="0" fillId="0" borderId="0" xfId="0" applyNumberFormat="1"/>
    <xf numFmtId="171" fontId="0" fillId="0" borderId="0" xfId="0" applyNumberFormat="1" applyFill="1" applyBorder="1"/>
    <xf numFmtId="0" fontId="3" fillId="3" borderId="0" xfId="0" applyFont="1" applyFill="1" applyBorder="1" applyAlignment="1">
      <alignment horizontal="center"/>
    </xf>
    <xf numFmtId="0" fontId="0" fillId="3" borderId="34" xfId="0" applyFill="1" applyBorder="1"/>
    <xf numFmtId="4" fontId="3" fillId="3" borderId="0" xfId="0" applyNumberFormat="1" applyFont="1" applyFill="1" applyBorder="1"/>
    <xf numFmtId="3" fontId="0" fillId="3" borderId="34" xfId="0" applyNumberFormat="1" applyFill="1" applyBorder="1"/>
    <xf numFmtId="172" fontId="0" fillId="0" borderId="0" xfId="0" applyNumberFormat="1" applyFill="1"/>
    <xf numFmtId="165" fontId="0" fillId="0" borderId="0" xfId="0" applyNumberFormat="1" applyFont="1" applyFill="1" applyBorder="1" applyAlignment="1">
      <alignment horizontal="left"/>
    </xf>
    <xf numFmtId="10" fontId="0" fillId="0" borderId="0" xfId="0" applyNumberFormat="1" applyFill="1" applyBorder="1"/>
    <xf numFmtId="165" fontId="0" fillId="0" borderId="0" xfId="0" applyNumberFormat="1" applyFill="1" applyBorder="1" applyAlignment="1">
      <alignment horizontal="left"/>
    </xf>
    <xf numFmtId="0" fontId="3" fillId="3" borderId="29" xfId="0" applyFont="1" applyFill="1" applyBorder="1"/>
    <xf numFmtId="4" fontId="3" fillId="3" borderId="30" xfId="0" applyNumberFormat="1" applyFont="1" applyFill="1" applyBorder="1"/>
    <xf numFmtId="3" fontId="0" fillId="3" borderId="35" xfId="0" applyNumberFormat="1" applyFill="1" applyBorder="1"/>
    <xf numFmtId="0" fontId="3" fillId="4" borderId="31" xfId="0" applyFont="1" applyFill="1" applyBorder="1"/>
    <xf numFmtId="2" fontId="0" fillId="4" borderId="32" xfId="0" applyNumberFormat="1" applyFill="1" applyBorder="1"/>
    <xf numFmtId="0" fontId="0" fillId="4" borderId="32" xfId="0" applyFill="1" applyBorder="1"/>
    <xf numFmtId="4" fontId="0" fillId="4" borderId="32" xfId="0" applyNumberFormat="1" applyFill="1" applyBorder="1"/>
    <xf numFmtId="0" fontId="0" fillId="4" borderId="33" xfId="0" applyFill="1" applyBorder="1"/>
    <xf numFmtId="0" fontId="0" fillId="4" borderId="1" xfId="0" applyFill="1" applyBorder="1"/>
    <xf numFmtId="3" fontId="0" fillId="4" borderId="30" xfId="0" applyNumberFormat="1" applyFont="1" applyFill="1" applyBorder="1"/>
    <xf numFmtId="0" fontId="0" fillId="4" borderId="30" xfId="0" applyFont="1" applyFill="1" applyBorder="1"/>
    <xf numFmtId="0" fontId="0" fillId="4" borderId="29" xfId="0" applyFont="1" applyFill="1" applyBorder="1" applyAlignment="1">
      <alignment horizontal="center"/>
    </xf>
    <xf numFmtId="0" fontId="0" fillId="4" borderId="30" xfId="0" applyFont="1" applyFill="1" applyBorder="1" applyAlignment="1">
      <alignment horizontal="center"/>
    </xf>
    <xf numFmtId="0" fontId="0" fillId="4" borderId="43" xfId="0" applyFont="1" applyFill="1" applyBorder="1" applyAlignment="1">
      <alignment horizontal="center"/>
    </xf>
    <xf numFmtId="166" fontId="0" fillId="4" borderId="0" xfId="0" applyNumberFormat="1" applyFill="1" applyBorder="1"/>
    <xf numFmtId="165" fontId="3" fillId="4" borderId="11" xfId="0" applyNumberFormat="1" applyFont="1" applyFill="1" applyBorder="1"/>
    <xf numFmtId="0" fontId="0" fillId="4" borderId="29" xfId="0" applyFill="1" applyBorder="1"/>
    <xf numFmtId="1" fontId="0" fillId="4" borderId="30" xfId="0" applyNumberFormat="1" applyFill="1" applyBorder="1"/>
    <xf numFmtId="165" fontId="3" fillId="4" borderId="30" xfId="0" applyNumberFormat="1" applyFont="1" applyFill="1" applyBorder="1"/>
    <xf numFmtId="2" fontId="0" fillId="4" borderId="30" xfId="0" applyNumberFormat="1" applyFill="1" applyBorder="1"/>
    <xf numFmtId="165" fontId="3" fillId="4" borderId="35" xfId="0" applyNumberFormat="1" applyFont="1" applyFill="1" applyBorder="1"/>
    <xf numFmtId="3" fontId="0" fillId="0" borderId="0" xfId="0" applyNumberFormat="1" applyFont="1" applyFill="1" applyBorder="1"/>
    <xf numFmtId="2" fontId="0" fillId="0" borderId="0" xfId="0" applyNumberFormat="1" applyFont="1" applyFill="1" applyBorder="1"/>
    <xf numFmtId="0" fontId="3" fillId="5" borderId="36" xfId="0" applyFont="1" applyFill="1" applyBorder="1"/>
    <xf numFmtId="2" fontId="0" fillId="5" borderId="37" xfId="0" applyNumberFormat="1" applyFill="1" applyBorder="1"/>
    <xf numFmtId="0" fontId="0" fillId="5" borderId="37" xfId="0" applyFill="1" applyBorder="1"/>
    <xf numFmtId="0" fontId="0" fillId="5" borderId="38" xfId="0" applyFill="1" applyBorder="1"/>
    <xf numFmtId="0" fontId="0" fillId="5" borderId="31" xfId="0" applyFont="1" applyFill="1" applyBorder="1"/>
    <xf numFmtId="2" fontId="0" fillId="5" borderId="32" xfId="0" applyNumberFormat="1" applyFill="1" applyBorder="1"/>
    <xf numFmtId="0" fontId="0" fillId="5" borderId="32" xfId="0" applyFont="1" applyFill="1" applyBorder="1"/>
    <xf numFmtId="0" fontId="0" fillId="5" borderId="34" xfId="0" applyFill="1" applyBorder="1"/>
    <xf numFmtId="166" fontId="3" fillId="0" borderId="0" xfId="0" applyNumberFormat="1" applyFont="1" applyFill="1" applyBorder="1"/>
    <xf numFmtId="0" fontId="0" fillId="5" borderId="1" xfId="0" applyFont="1" applyFill="1" applyBorder="1"/>
    <xf numFmtId="2" fontId="0" fillId="5" borderId="0" xfId="0" applyNumberFormat="1" applyFill="1" applyBorder="1"/>
    <xf numFmtId="0" fontId="6" fillId="5" borderId="34" xfId="2" applyNumberFormat="1" applyFill="1" applyBorder="1" applyAlignment="1" applyProtection="1"/>
    <xf numFmtId="0" fontId="3" fillId="5" borderId="34" xfId="0" applyFont="1" applyFill="1" applyBorder="1"/>
    <xf numFmtId="0" fontId="3" fillId="5" borderId="1" xfId="0" applyFont="1" applyFill="1" applyBorder="1"/>
    <xf numFmtId="165" fontId="0" fillId="5" borderId="0" xfId="0" applyNumberFormat="1" applyFont="1" applyFill="1" applyBorder="1"/>
    <xf numFmtId="165" fontId="3" fillId="5" borderId="34" xfId="0" applyNumberFormat="1" applyFont="1" applyFill="1" applyBorder="1"/>
    <xf numFmtId="0" fontId="3" fillId="5" borderId="29" xfId="0" applyFont="1" applyFill="1" applyBorder="1"/>
    <xf numFmtId="165" fontId="0" fillId="5" borderId="30" xfId="0" applyNumberFormat="1" applyFont="1" applyFill="1" applyBorder="1"/>
    <xf numFmtId="2" fontId="0" fillId="5" borderId="30" xfId="0" applyNumberFormat="1" applyFont="1" applyFill="1" applyBorder="1"/>
    <xf numFmtId="165" fontId="3" fillId="5" borderId="35" xfId="0" applyNumberFormat="1" applyFont="1" applyFill="1" applyBorder="1"/>
    <xf numFmtId="165" fontId="9" fillId="0" borderId="0" xfId="0" applyNumberFormat="1" applyFont="1"/>
    <xf numFmtId="0" fontId="3" fillId="14" borderId="36" xfId="0" applyFont="1" applyFill="1" applyBorder="1"/>
    <xf numFmtId="0" fontId="0" fillId="14" borderId="37" xfId="0" applyFill="1" applyBorder="1"/>
    <xf numFmtId="0" fontId="0" fillId="14" borderId="38" xfId="0" applyFill="1" applyBorder="1"/>
    <xf numFmtId="0" fontId="9" fillId="0" borderId="0" xfId="0" applyFont="1"/>
    <xf numFmtId="0" fontId="3" fillId="14" borderId="31" xfId="0" applyFont="1" applyFill="1" applyBorder="1"/>
    <xf numFmtId="0" fontId="0" fillId="14" borderId="32" xfId="0" applyFont="1" applyFill="1" applyBorder="1"/>
    <xf numFmtId="0" fontId="0" fillId="14" borderId="33" xfId="0" applyFont="1" applyFill="1" applyBorder="1"/>
    <xf numFmtId="0" fontId="0" fillId="14" borderId="1" xfId="0" applyFont="1" applyFill="1" applyBorder="1"/>
    <xf numFmtId="165" fontId="0" fillId="14" borderId="0" xfId="0" applyNumberFormat="1" applyFill="1" applyBorder="1"/>
    <xf numFmtId="0" fontId="0" fillId="14" borderId="34" xfId="0" applyFont="1" applyFill="1" applyBorder="1"/>
    <xf numFmtId="0" fontId="0" fillId="14" borderId="29" xfId="0" applyFont="1" applyFill="1" applyBorder="1"/>
    <xf numFmtId="165" fontId="0" fillId="14" borderId="30" xfId="0" applyNumberFormat="1" applyFill="1" applyBorder="1"/>
    <xf numFmtId="0" fontId="0" fillId="14" borderId="35" xfId="0" applyFont="1" applyFill="1" applyBorder="1"/>
    <xf numFmtId="0" fontId="3" fillId="7" borderId="31" xfId="0" applyFont="1" applyFill="1" applyBorder="1"/>
    <xf numFmtId="2" fontId="0" fillId="7" borderId="32" xfId="0" applyNumberFormat="1" applyFill="1" applyBorder="1"/>
    <xf numFmtId="0" fontId="0" fillId="7" borderId="33" xfId="0" applyFill="1" applyBorder="1"/>
    <xf numFmtId="0" fontId="0" fillId="7" borderId="31" xfId="0" applyFont="1" applyFill="1" applyBorder="1"/>
    <xf numFmtId="0" fontId="0" fillId="7" borderId="32" xfId="0" applyFill="1" applyBorder="1"/>
    <xf numFmtId="0" fontId="0" fillId="7" borderId="1" xfId="0" applyFont="1" applyFill="1" applyBorder="1"/>
    <xf numFmtId="2" fontId="0" fillId="7" borderId="0" xfId="0" applyNumberFormat="1" applyFill="1" applyBorder="1"/>
    <xf numFmtId="0" fontId="0" fillId="7" borderId="34" xfId="0" applyFont="1" applyFill="1" applyBorder="1"/>
    <xf numFmtId="165" fontId="0" fillId="7" borderId="0" xfId="0" applyNumberFormat="1" applyFont="1" applyFill="1" applyBorder="1"/>
    <xf numFmtId="0" fontId="3" fillId="7" borderId="29" xfId="0" applyFont="1" applyFill="1" applyBorder="1"/>
    <xf numFmtId="165" fontId="3" fillId="7" borderId="30" xfId="0" applyNumberFormat="1" applyFont="1" applyFill="1" applyBorder="1"/>
    <xf numFmtId="0" fontId="3" fillId="7" borderId="35" xfId="0" applyFont="1" applyFill="1" applyBorder="1"/>
    <xf numFmtId="0" fontId="3" fillId="8" borderId="31" xfId="0" applyFont="1" applyFill="1" applyBorder="1"/>
    <xf numFmtId="2" fontId="0" fillId="8" borderId="32" xfId="0" applyNumberFormat="1" applyFill="1" applyBorder="1"/>
    <xf numFmtId="0" fontId="0" fillId="8" borderId="33" xfId="0" applyFill="1" applyBorder="1"/>
    <xf numFmtId="0" fontId="0" fillId="8" borderId="31" xfId="0" applyFont="1" applyFill="1" applyBorder="1"/>
    <xf numFmtId="3" fontId="13" fillId="0" borderId="0" xfId="0" applyNumberFormat="1" applyFont="1" applyFill="1" applyBorder="1"/>
    <xf numFmtId="0" fontId="0" fillId="8" borderId="1" xfId="0" applyFont="1" applyFill="1" applyBorder="1"/>
    <xf numFmtId="2" fontId="0" fillId="8" borderId="0" xfId="0" applyNumberFormat="1" applyFill="1" applyBorder="1"/>
    <xf numFmtId="0" fontId="0" fillId="8" borderId="34" xfId="0" applyFont="1" applyFill="1" applyBorder="1"/>
    <xf numFmtId="0" fontId="12" fillId="0" borderId="0" xfId="0" applyFont="1" applyFill="1" applyBorder="1"/>
    <xf numFmtId="3" fontId="0" fillId="8" borderId="1" xfId="0" applyNumberFormat="1" applyFont="1" applyFill="1" applyBorder="1"/>
    <xf numFmtId="165" fontId="0" fillId="8" borderId="0" xfId="0" applyNumberFormat="1" applyFont="1" applyFill="1" applyBorder="1"/>
    <xf numFmtId="168" fontId="0" fillId="8" borderId="0" xfId="0" applyNumberFormat="1" applyFont="1" applyFill="1" applyBorder="1"/>
    <xf numFmtId="168" fontId="0" fillId="8" borderId="0" xfId="0" applyNumberFormat="1" applyFill="1" applyBorder="1"/>
    <xf numFmtId="1" fontId="0" fillId="8" borderId="0" xfId="0" applyNumberFormat="1" applyFont="1" applyFill="1" applyBorder="1"/>
    <xf numFmtId="0" fontId="3" fillId="8" borderId="1" xfId="0" applyFont="1" applyFill="1" applyBorder="1"/>
    <xf numFmtId="165" fontId="3" fillId="8" borderId="0" xfId="0" applyNumberFormat="1" applyFont="1" applyFill="1" applyBorder="1"/>
    <xf numFmtId="0" fontId="3" fillId="8" borderId="34" xfId="0" applyFont="1" applyFill="1" applyBorder="1"/>
    <xf numFmtId="1" fontId="0" fillId="8" borderId="0" xfId="0" applyNumberFormat="1" applyFill="1" applyBorder="1"/>
    <xf numFmtId="0" fontId="0" fillId="8" borderId="29" xfId="0" applyFont="1" applyFill="1" applyBorder="1"/>
    <xf numFmtId="168" fontId="0" fillId="8" borderId="30" xfId="0" applyNumberFormat="1" applyFill="1" applyBorder="1"/>
    <xf numFmtId="0" fontId="0" fillId="8" borderId="35" xfId="0" applyFont="1" applyFill="1" applyBorder="1"/>
    <xf numFmtId="1" fontId="0" fillId="0" borderId="0" xfId="0" applyNumberFormat="1" applyFill="1" applyBorder="1"/>
    <xf numFmtId="0" fontId="3" fillId="9" borderId="31" xfId="0" applyFont="1" applyFill="1" applyBorder="1"/>
    <xf numFmtId="0" fontId="0" fillId="9" borderId="32" xfId="0" applyFill="1" applyBorder="1"/>
    <xf numFmtId="0" fontId="0" fillId="9" borderId="33" xfId="0" applyFill="1" applyBorder="1"/>
    <xf numFmtId="3" fontId="0" fillId="9" borderId="31" xfId="0" applyNumberFormat="1" applyFont="1" applyFill="1" applyBorder="1"/>
    <xf numFmtId="165" fontId="0" fillId="9" borderId="32" xfId="0" applyNumberFormat="1" applyFont="1" applyFill="1" applyBorder="1"/>
    <xf numFmtId="2" fontId="0" fillId="9" borderId="33" xfId="0" applyNumberFormat="1" applyFont="1" applyFill="1" applyBorder="1"/>
    <xf numFmtId="3" fontId="0" fillId="9" borderId="1" xfId="0" applyNumberFormat="1" applyFont="1" applyFill="1" applyBorder="1"/>
    <xf numFmtId="165" fontId="0" fillId="9" borderId="0" xfId="0" applyNumberFormat="1" applyFont="1" applyFill="1" applyBorder="1"/>
    <xf numFmtId="2" fontId="0" fillId="9" borderId="34" xfId="0" applyNumberFormat="1" applyFont="1" applyFill="1" applyBorder="1"/>
    <xf numFmtId="1" fontId="0" fillId="9" borderId="0" xfId="0" applyNumberFormat="1" applyFont="1" applyFill="1" applyBorder="1"/>
    <xf numFmtId="0" fontId="0" fillId="9" borderId="1" xfId="0" applyFont="1" applyFill="1" applyBorder="1"/>
    <xf numFmtId="0" fontId="0" fillId="9" borderId="34" xfId="0" applyFont="1" applyFill="1" applyBorder="1"/>
    <xf numFmtId="173" fontId="0" fillId="0" borderId="0" xfId="0" applyNumberFormat="1" applyFill="1" applyBorder="1"/>
    <xf numFmtId="0" fontId="3" fillId="9" borderId="29" xfId="0" applyFont="1" applyFill="1" applyBorder="1"/>
    <xf numFmtId="165" fontId="3" fillId="9" borderId="30" xfId="0" applyNumberFormat="1" applyFont="1" applyFill="1" applyBorder="1"/>
    <xf numFmtId="0" fontId="3" fillId="9" borderId="35" xfId="0" applyFont="1" applyFill="1" applyBorder="1"/>
    <xf numFmtId="0" fontId="3" fillId="6" borderId="31" xfId="0" applyFont="1" applyFill="1" applyBorder="1"/>
    <xf numFmtId="165" fontId="3" fillId="6" borderId="32" xfId="0" applyNumberFormat="1" applyFont="1" applyFill="1" applyBorder="1"/>
    <xf numFmtId="0" fontId="3" fillId="6" borderId="33" xfId="0" applyFont="1" applyFill="1" applyBorder="1"/>
    <xf numFmtId="0" fontId="0" fillId="6" borderId="31" xfId="0" applyFont="1" applyFill="1" applyBorder="1"/>
    <xf numFmtId="2" fontId="0" fillId="6" borderId="32" xfId="0" applyNumberFormat="1" applyFont="1" applyFill="1" applyBorder="1"/>
    <xf numFmtId="0" fontId="0" fillId="6" borderId="33" xfId="0" applyFont="1" applyFill="1" applyBorder="1"/>
    <xf numFmtId="0" fontId="0" fillId="6" borderId="1" xfId="0" applyFont="1" applyFill="1" applyBorder="1"/>
    <xf numFmtId="2" fontId="0" fillId="6" borderId="0" xfId="0" applyNumberFormat="1" applyFill="1" applyBorder="1"/>
    <xf numFmtId="0" fontId="0" fillId="6" borderId="34" xfId="0" applyFont="1" applyFill="1" applyBorder="1"/>
    <xf numFmtId="2" fontId="0" fillId="6" borderId="0" xfId="0" applyNumberFormat="1" applyFont="1" applyFill="1" applyBorder="1"/>
    <xf numFmtId="165" fontId="0" fillId="6" borderId="34" xfId="0" applyNumberFormat="1" applyFont="1" applyFill="1" applyBorder="1"/>
    <xf numFmtId="0" fontId="3" fillId="6" borderId="29" xfId="0" applyFont="1" applyFill="1" applyBorder="1"/>
    <xf numFmtId="165" fontId="3" fillId="6" borderId="30" xfId="0" applyNumberFormat="1" applyFont="1" applyFill="1" applyBorder="1"/>
    <xf numFmtId="0" fontId="3" fillId="6" borderId="35" xfId="0" applyFont="1" applyFill="1" applyBorder="1"/>
    <xf numFmtId="0" fontId="3" fillId="10" borderId="31" xfId="0" applyFont="1" applyFill="1" applyBorder="1"/>
    <xf numFmtId="0" fontId="0" fillId="10" borderId="32" xfId="0" applyFill="1" applyBorder="1"/>
    <xf numFmtId="0" fontId="0" fillId="10" borderId="33" xfId="0" applyFill="1" applyBorder="1"/>
    <xf numFmtId="0" fontId="0" fillId="10" borderId="31" xfId="0" applyFont="1" applyFill="1" applyBorder="1"/>
    <xf numFmtId="165" fontId="0" fillId="10" borderId="33" xfId="0" applyNumberFormat="1" applyFont="1" applyFill="1" applyBorder="1"/>
    <xf numFmtId="0" fontId="0" fillId="10" borderId="0" xfId="0" applyFill="1" applyBorder="1"/>
    <xf numFmtId="165" fontId="0" fillId="10" borderId="34" xfId="0" applyNumberFormat="1" applyFont="1" applyFill="1" applyBorder="1"/>
    <xf numFmtId="0" fontId="0" fillId="10" borderId="1" xfId="0" applyFont="1" applyFill="1" applyBorder="1"/>
    <xf numFmtId="0" fontId="3" fillId="10" borderId="29" xfId="0" applyFont="1" applyFill="1" applyBorder="1"/>
    <xf numFmtId="165" fontId="3" fillId="10" borderId="30" xfId="0" applyNumberFormat="1" applyFont="1" applyFill="1" applyBorder="1"/>
    <xf numFmtId="0" fontId="3" fillId="10" borderId="35" xfId="0" applyFont="1" applyFill="1" applyBorder="1"/>
    <xf numFmtId="0" fontId="3" fillId="10" borderId="36" xfId="0" applyFont="1" applyFill="1" applyBorder="1"/>
    <xf numFmtId="0" fontId="0" fillId="10" borderId="37" xfId="0" applyFill="1" applyBorder="1"/>
    <xf numFmtId="0" fontId="0" fillId="10" borderId="38" xfId="0" applyFill="1" applyBorder="1"/>
    <xf numFmtId="0" fontId="0" fillId="10" borderId="32" xfId="0" applyFont="1" applyFill="1" applyBorder="1" applyAlignment="1">
      <alignment horizontal="center"/>
    </xf>
    <xf numFmtId="0" fontId="3" fillId="10" borderId="33" xfId="0" applyFont="1" applyFill="1" applyBorder="1"/>
    <xf numFmtId="164" fontId="14" fillId="0" borderId="0" xfId="1" applyFont="1" applyFill="1" applyBorder="1" applyAlignment="1" applyProtection="1"/>
    <xf numFmtId="0" fontId="14" fillId="0" borderId="0" xfId="0" applyFont="1" applyFill="1" applyBorder="1"/>
    <xf numFmtId="165" fontId="3" fillId="10" borderId="34" xfId="0" applyNumberFormat="1" applyFont="1" applyFill="1" applyBorder="1"/>
    <xf numFmtId="164" fontId="0" fillId="0" borderId="0" xfId="1" applyFont="1" applyFill="1" applyBorder="1" applyAlignment="1" applyProtection="1"/>
    <xf numFmtId="0" fontId="0" fillId="10" borderId="0" xfId="0" applyFont="1" applyFill="1" applyBorder="1" applyAlignment="1">
      <alignment horizontal="center"/>
    </xf>
    <xf numFmtId="0" fontId="0" fillId="10" borderId="29" xfId="0" applyFont="1" applyFill="1" applyBorder="1"/>
    <xf numFmtId="0" fontId="0" fillId="10" borderId="30" xfId="0" applyFill="1" applyBorder="1"/>
    <xf numFmtId="165" fontId="0" fillId="10" borderId="30" xfId="0" applyNumberFormat="1" applyFill="1" applyBorder="1"/>
    <xf numFmtId="165" fontId="3" fillId="10" borderId="35" xfId="0" applyNumberFormat="1" applyFont="1" applyFill="1" applyBorder="1"/>
    <xf numFmtId="0" fontId="3" fillId="11" borderId="36" xfId="0" applyFont="1" applyFill="1" applyBorder="1"/>
    <xf numFmtId="2" fontId="0" fillId="11" borderId="37" xfId="0" applyNumberFormat="1" applyFill="1" applyBorder="1"/>
    <xf numFmtId="0" fontId="0" fillId="11" borderId="38" xfId="0" applyFill="1" applyBorder="1"/>
    <xf numFmtId="1" fontId="0" fillId="11" borderId="0" xfId="0" applyNumberFormat="1" applyFont="1" applyFill="1" applyBorder="1"/>
    <xf numFmtId="0" fontId="0" fillId="11" borderId="34" xfId="0" applyFont="1" applyFill="1" applyBorder="1"/>
    <xf numFmtId="0" fontId="0" fillId="11" borderId="0" xfId="0" applyFill="1" applyBorder="1"/>
    <xf numFmtId="0" fontId="3" fillId="11" borderId="29" xfId="0" applyFont="1" applyFill="1" applyBorder="1"/>
    <xf numFmtId="165" fontId="3" fillId="11" borderId="30" xfId="0" applyNumberFormat="1" applyFont="1" applyFill="1" applyBorder="1"/>
    <xf numFmtId="0" fontId="3" fillId="11" borderId="35" xfId="0" applyFont="1" applyFill="1" applyBorder="1"/>
    <xf numFmtId="0" fontId="3" fillId="15" borderId="36" xfId="0" applyFont="1" applyFill="1" applyBorder="1"/>
    <xf numFmtId="0" fontId="0" fillId="15" borderId="37" xfId="0" applyFill="1" applyBorder="1"/>
    <xf numFmtId="0" fontId="0" fillId="15" borderId="38" xfId="0" applyFill="1" applyBorder="1"/>
    <xf numFmtId="0" fontId="0" fillId="15" borderId="1" xfId="0" applyFont="1" applyFill="1" applyBorder="1"/>
    <xf numFmtId="3" fontId="0" fillId="15" borderId="0" xfId="0" applyNumberFormat="1" applyFill="1" applyBorder="1"/>
    <xf numFmtId="0" fontId="0" fillId="15" borderId="0" xfId="0" applyFont="1" applyFill="1" applyBorder="1"/>
    <xf numFmtId="0" fontId="15" fillId="15" borderId="0" xfId="0" applyFont="1" applyFill="1" applyBorder="1"/>
    <xf numFmtId="0" fontId="0" fillId="15" borderId="34" xfId="0" applyFill="1" applyBorder="1"/>
    <xf numFmtId="165" fontId="0" fillId="15" borderId="0" xfId="0" applyNumberFormat="1" applyFont="1" applyFill="1" applyBorder="1"/>
    <xf numFmtId="10" fontId="0" fillId="15" borderId="0" xfId="0" applyNumberFormat="1" applyFont="1" applyFill="1" applyBorder="1"/>
    <xf numFmtId="3" fontId="0" fillId="15" borderId="0" xfId="0" applyNumberFormat="1" applyFont="1" applyFill="1" applyBorder="1"/>
    <xf numFmtId="0" fontId="3" fillId="15" borderId="1" xfId="0" applyFont="1" applyFill="1" applyBorder="1"/>
    <xf numFmtId="38" fontId="3" fillId="15" borderId="0" xfId="0" applyNumberFormat="1" applyFont="1" applyFill="1" applyBorder="1"/>
    <xf numFmtId="10" fontId="3" fillId="15" borderId="0" xfId="0" applyNumberFormat="1" applyFont="1" applyFill="1" applyBorder="1"/>
    <xf numFmtId="0" fontId="3" fillId="15" borderId="0" xfId="0" applyFont="1" applyFill="1" applyBorder="1"/>
    <xf numFmtId="0" fontId="0" fillId="15" borderId="29" xfId="0" applyFont="1" applyFill="1" applyBorder="1"/>
    <xf numFmtId="165" fontId="0" fillId="15" borderId="30" xfId="0" applyNumberFormat="1" applyFont="1" applyFill="1" applyBorder="1"/>
    <xf numFmtId="0" fontId="0" fillId="15" borderId="30" xfId="0" applyFont="1" applyFill="1" applyBorder="1"/>
    <xf numFmtId="0" fontId="3" fillId="15" borderId="35" xfId="0" applyFont="1" applyFill="1" applyBorder="1"/>
    <xf numFmtId="0" fontId="0" fillId="15" borderId="31" xfId="0" applyFill="1" applyBorder="1"/>
    <xf numFmtId="38" fontId="0" fillId="15" borderId="32" xfId="0" applyNumberFormat="1" applyFill="1" applyBorder="1"/>
    <xf numFmtId="173" fontId="0" fillId="15" borderId="0" xfId="0" applyNumberFormat="1" applyFont="1" applyFill="1" applyBorder="1"/>
    <xf numFmtId="38" fontId="0" fillId="15" borderId="0" xfId="0" applyNumberFormat="1" applyFill="1" applyBorder="1"/>
    <xf numFmtId="38" fontId="9" fillId="15" borderId="32" xfId="0" applyNumberFormat="1" applyFont="1" applyFill="1" applyBorder="1"/>
    <xf numFmtId="38" fontId="3" fillId="15" borderId="33" xfId="0" applyNumberFormat="1" applyFont="1" applyFill="1" applyBorder="1"/>
    <xf numFmtId="165" fontId="0" fillId="15" borderId="0" xfId="0" applyNumberFormat="1" applyFill="1" applyBorder="1"/>
    <xf numFmtId="38" fontId="9" fillId="15" borderId="0" xfId="0" applyNumberFormat="1" applyFont="1" applyFill="1" applyBorder="1"/>
    <xf numFmtId="38" fontId="3" fillId="15" borderId="34" xfId="0" applyNumberFormat="1" applyFont="1" applyFill="1" applyBorder="1"/>
    <xf numFmtId="3" fontId="3" fillId="15" borderId="0" xfId="0" applyNumberFormat="1" applyFont="1" applyFill="1" applyBorder="1"/>
    <xf numFmtId="3" fontId="3" fillId="15" borderId="34" xfId="0" applyNumberFormat="1" applyFont="1" applyFill="1" applyBorder="1"/>
    <xf numFmtId="165" fontId="3" fillId="15" borderId="0" xfId="0" applyNumberFormat="1" applyFont="1" applyFill="1" applyBorder="1"/>
    <xf numFmtId="10" fontId="3" fillId="15" borderId="34" xfId="0" applyNumberFormat="1" applyFont="1" applyFill="1" applyBorder="1"/>
    <xf numFmtId="4" fontId="3" fillId="15" borderId="0" xfId="0" applyNumberFormat="1" applyFont="1" applyFill="1" applyBorder="1"/>
    <xf numFmtId="165" fontId="3" fillId="15" borderId="30" xfId="0" applyNumberFormat="1" applyFont="1" applyFill="1" applyBorder="1"/>
    <xf numFmtId="0" fontId="3" fillId="15" borderId="30" xfId="0" applyFont="1" applyFill="1" applyBorder="1"/>
    <xf numFmtId="10" fontId="3" fillId="15" borderId="35" xfId="0" applyNumberFormat="1" applyFont="1" applyFill="1" applyBorder="1"/>
    <xf numFmtId="0" fontId="3" fillId="0" borderId="0" xfId="0" applyFont="1" applyFill="1" applyBorder="1" applyAlignment="1">
      <alignment horizontal="center"/>
    </xf>
    <xf numFmtId="0" fontId="0" fillId="0" borderId="0" xfId="0" applyFill="1" applyBorder="1" applyAlignment="1">
      <alignment vertical="center" textRotation="90"/>
    </xf>
    <xf numFmtId="0" fontId="0" fillId="0" borderId="0" xfId="0" applyFont="1" applyFill="1" applyBorder="1" applyAlignment="1">
      <alignment vertical="center" textRotation="90"/>
    </xf>
    <xf numFmtId="10" fontId="0" fillId="0" borderId="0" xfId="0" applyNumberFormat="1" applyBorder="1"/>
    <xf numFmtId="0" fontId="16" fillId="0" borderId="0" xfId="3" applyNumberFormat="1" applyFill="1" applyBorder="1" applyAlignment="1" applyProtection="1"/>
    <xf numFmtId="0" fontId="0" fillId="0" borderId="0" xfId="0" applyAlignment="1">
      <alignment wrapText="1"/>
    </xf>
    <xf numFmtId="0" fontId="17" fillId="0" borderId="1" xfId="0" applyFont="1" applyFill="1" applyBorder="1"/>
    <xf numFmtId="0" fontId="18" fillId="12" borderId="1" xfId="0" applyFont="1" applyFill="1" applyBorder="1"/>
    <xf numFmtId="3" fontId="18" fillId="12" borderId="0" xfId="0" applyNumberFormat="1" applyFont="1" applyFill="1" applyBorder="1"/>
    <xf numFmtId="165" fontId="18" fillId="12" borderId="1" xfId="0" applyNumberFormat="1" applyFont="1" applyFill="1" applyBorder="1"/>
    <xf numFmtId="165" fontId="18" fillId="12" borderId="0" xfId="0" applyNumberFormat="1" applyFont="1" applyFill="1" applyBorder="1"/>
    <xf numFmtId="165" fontId="18" fillId="12" borderId="11" xfId="0" applyNumberFormat="1" applyFont="1" applyFill="1" applyBorder="1"/>
    <xf numFmtId="165" fontId="18" fillId="0" borderId="0" xfId="0" applyNumberFormat="1" applyFont="1"/>
    <xf numFmtId="0" fontId="18" fillId="0" borderId="0" xfId="0" applyFont="1"/>
    <xf numFmtId="0" fontId="18" fillId="0" borderId="0" xfId="0" applyFont="1" applyFill="1"/>
    <xf numFmtId="0" fontId="19" fillId="0" borderId="0" xfId="0" applyFont="1" applyFill="1" applyBorder="1" applyAlignment="1">
      <alignment horizontal="left"/>
    </xf>
    <xf numFmtId="0" fontId="18" fillId="0" borderId="0" xfId="0" applyFont="1" applyFill="1" applyBorder="1"/>
  </cellXfs>
  <cellStyles count="4">
    <cellStyle name="Currency" xfId="1" builtinId="4"/>
    <cellStyle name="Excel_BuiltIn_Neutral" xfId="3"/>
    <cellStyle name="Hyperlink" xfId="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49"/>
  <sheetViews>
    <sheetView tabSelected="1" workbookViewId="0"/>
  </sheetViews>
  <sheetFormatPr defaultColWidth="8.8125" defaultRowHeight="15.75" x14ac:dyDescent="0.5"/>
  <cols>
    <col min="1" max="1" width="8.8125" style="38" customWidth="1"/>
    <col min="2" max="2" width="30.6875" customWidth="1"/>
    <col min="3" max="3" width="45.8125" bestFit="1" customWidth="1"/>
    <col min="4" max="4" width="14" customWidth="1"/>
    <col min="5" max="6" width="19" customWidth="1"/>
    <col min="7" max="7" width="24.8125" customWidth="1"/>
    <col min="8" max="8" width="15" customWidth="1"/>
    <col min="9" max="10" width="19" customWidth="1"/>
    <col min="11" max="11" width="19.5" customWidth="1"/>
    <col min="12" max="20" width="19" customWidth="1"/>
    <col min="21" max="21" width="26.3125" customWidth="1"/>
    <col min="22" max="24" width="19" customWidth="1"/>
    <col min="25" max="25" width="21.1875" customWidth="1"/>
    <col min="26" max="26" width="19.1875" customWidth="1"/>
    <col min="27" max="27" width="17.3125" customWidth="1"/>
    <col min="28" max="28" width="16.5" customWidth="1"/>
    <col min="29" max="29" width="13.1875" customWidth="1"/>
    <col min="30" max="30" width="15.5" customWidth="1"/>
    <col min="31" max="31" width="15.8125" customWidth="1"/>
    <col min="32" max="32" width="12.3125" customWidth="1"/>
    <col min="33" max="33" width="8.8125" customWidth="1"/>
    <col min="34" max="34" width="11.1875" customWidth="1"/>
    <col min="35" max="35" width="12.1875" customWidth="1"/>
    <col min="36" max="36" width="11.1875" customWidth="1"/>
    <col min="37" max="37" width="12.1875" customWidth="1"/>
    <col min="38" max="38" width="12" customWidth="1"/>
  </cols>
  <sheetData>
    <row r="1" spans="1:50" ht="30.75" x14ac:dyDescent="0.9">
      <c r="A1" s="1" t="s">
        <v>0</v>
      </c>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spans="1:50" x14ac:dyDescent="0.5">
      <c r="A2" s="2" t="s">
        <v>1</v>
      </c>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spans="1:50" x14ac:dyDescent="0.5">
      <c r="A3" t="s">
        <v>2</v>
      </c>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spans="1:50" s="3" customFormat="1" ht="13.5" customHeight="1" x14ac:dyDescent="0.5">
      <c r="R4" s="4"/>
      <c r="S4" s="4"/>
      <c r="T4" s="5"/>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row>
    <row r="5" spans="1:50" x14ac:dyDescent="0.5">
      <c r="A5"/>
      <c r="R5" s="2"/>
      <c r="S5" s="2"/>
      <c r="T5" s="6"/>
      <c r="U5" s="2"/>
      <c r="V5" s="2"/>
      <c r="W5" s="2"/>
      <c r="X5" s="2"/>
      <c r="Y5" s="2"/>
      <c r="Z5" s="2"/>
      <c r="AA5" s="2"/>
      <c r="AB5" s="2"/>
      <c r="AC5" s="2"/>
      <c r="AD5" s="2"/>
      <c r="AE5" s="2"/>
      <c r="AF5" s="2"/>
      <c r="AG5" s="2"/>
      <c r="AH5" s="2"/>
      <c r="AI5" s="2"/>
      <c r="AJ5" s="2"/>
      <c r="AK5" s="7"/>
      <c r="AL5" s="7"/>
      <c r="AM5" s="7"/>
      <c r="AN5" s="2"/>
      <c r="AO5" s="2"/>
      <c r="AP5" s="2"/>
      <c r="AQ5" s="2"/>
      <c r="AR5" s="2"/>
      <c r="AS5" s="2"/>
      <c r="AT5" s="2"/>
      <c r="AU5" s="2"/>
      <c r="AV5" s="2"/>
      <c r="AW5" s="2"/>
      <c r="AX5" s="2"/>
    </row>
    <row r="6" spans="1:50" ht="28.9" thickBot="1" x14ac:dyDescent="0.9">
      <c r="A6" s="8"/>
      <c r="B6" s="9" t="s">
        <v>304</v>
      </c>
      <c r="F6" s="9"/>
      <c r="R6" s="10"/>
      <c r="S6" s="2"/>
      <c r="T6" s="7"/>
      <c r="U6" s="7"/>
      <c r="V6" s="7"/>
      <c r="W6" s="7"/>
      <c r="X6" s="7"/>
      <c r="Y6" s="7"/>
      <c r="Z6" s="7"/>
      <c r="AA6" s="7"/>
      <c r="AB6" s="7"/>
      <c r="AC6" s="7"/>
      <c r="AD6" s="7"/>
      <c r="AE6" s="7"/>
      <c r="AF6" s="7"/>
      <c r="AG6" s="7"/>
      <c r="AH6" s="7"/>
      <c r="AI6" s="2"/>
      <c r="AJ6" s="2"/>
      <c r="AK6" s="7"/>
      <c r="AL6" s="11"/>
      <c r="AM6" s="7"/>
      <c r="AN6" s="2"/>
      <c r="AO6" s="2"/>
      <c r="AP6" s="2"/>
      <c r="AQ6" s="2"/>
      <c r="AR6" s="2"/>
      <c r="AS6" s="2"/>
      <c r="AT6" s="2"/>
      <c r="AU6" s="2"/>
      <c r="AV6" s="2"/>
      <c r="AW6" s="2"/>
      <c r="AX6" s="2"/>
    </row>
    <row r="7" spans="1:50" ht="16.149999999999999" thickBot="1" x14ac:dyDescent="0.55000000000000004">
      <c r="A7" s="8"/>
      <c r="B7" s="12" t="s">
        <v>3</v>
      </c>
      <c r="C7" s="13" t="s">
        <v>4</v>
      </c>
      <c r="D7" s="14" t="s">
        <v>5</v>
      </c>
      <c r="F7" s="15"/>
      <c r="G7" s="15"/>
      <c r="H7" s="15"/>
      <c r="R7" s="2"/>
      <c r="S7" s="2"/>
      <c r="T7" s="7"/>
      <c r="U7" s="16"/>
      <c r="V7" s="7"/>
      <c r="W7" s="7"/>
      <c r="X7" s="7"/>
      <c r="Y7" s="7"/>
      <c r="Z7" s="7"/>
      <c r="AA7" s="7"/>
      <c r="AB7" s="7"/>
      <c r="AC7" s="7"/>
      <c r="AD7" s="7"/>
      <c r="AE7" s="7"/>
      <c r="AF7" s="7"/>
      <c r="AG7" s="7"/>
      <c r="AH7" s="7"/>
      <c r="AI7" s="2"/>
      <c r="AJ7" s="2"/>
      <c r="AK7" s="7"/>
      <c r="AL7" s="11"/>
      <c r="AM7" s="7"/>
      <c r="AN7" s="2"/>
      <c r="AO7" s="2"/>
      <c r="AP7" s="2"/>
      <c r="AQ7" s="2"/>
      <c r="AR7" s="2"/>
      <c r="AS7" s="2"/>
      <c r="AT7" s="2"/>
      <c r="AU7" s="2"/>
      <c r="AV7" s="2"/>
      <c r="AW7" s="2"/>
      <c r="AX7" s="2"/>
    </row>
    <row r="8" spans="1:50" x14ac:dyDescent="0.5">
      <c r="A8" s="8"/>
      <c r="B8" s="17" t="s">
        <v>6</v>
      </c>
      <c r="C8" s="18">
        <v>16</v>
      </c>
      <c r="D8" s="19" t="s">
        <v>7</v>
      </c>
      <c r="R8" s="2"/>
      <c r="S8" s="2"/>
      <c r="T8" s="7"/>
      <c r="U8" s="7"/>
      <c r="V8" s="7"/>
      <c r="W8" s="7"/>
      <c r="X8" s="7"/>
      <c r="Y8" s="7"/>
      <c r="Z8" s="7"/>
      <c r="AA8" s="7"/>
      <c r="AB8" s="7"/>
      <c r="AC8" s="7"/>
      <c r="AD8" s="7"/>
      <c r="AE8" s="7"/>
      <c r="AF8" s="7"/>
      <c r="AG8" s="7"/>
      <c r="AH8" s="7"/>
      <c r="AI8" s="2"/>
      <c r="AJ8" s="2"/>
      <c r="AK8" s="7"/>
      <c r="AL8" s="11"/>
      <c r="AM8" s="7"/>
      <c r="AN8" s="2"/>
      <c r="AO8" s="2"/>
      <c r="AP8" s="2"/>
      <c r="AQ8" s="2"/>
      <c r="AR8" s="2"/>
      <c r="AS8" s="2"/>
      <c r="AT8" s="2"/>
      <c r="AU8" s="2"/>
      <c r="AV8" s="2"/>
      <c r="AW8" s="2"/>
      <c r="AX8" s="2"/>
    </row>
    <row r="9" spans="1:50" x14ac:dyDescent="0.5">
      <c r="A9" s="2"/>
      <c r="B9" s="20" t="s">
        <v>8</v>
      </c>
      <c r="C9" s="8">
        <v>180</v>
      </c>
      <c r="D9" s="21" t="s">
        <v>9</v>
      </c>
      <c r="J9" s="22"/>
      <c r="K9" s="15"/>
      <c r="R9" s="2"/>
      <c r="S9" s="2"/>
      <c r="T9" s="7"/>
      <c r="U9" s="7"/>
      <c r="V9" s="7"/>
      <c r="W9" s="7"/>
      <c r="X9" s="7"/>
      <c r="Y9" s="7"/>
      <c r="Z9" s="7"/>
      <c r="AA9" s="7"/>
      <c r="AB9" s="7"/>
      <c r="AC9" s="7"/>
      <c r="AD9" s="7"/>
      <c r="AE9" s="7"/>
      <c r="AF9" s="7"/>
      <c r="AG9" s="7"/>
      <c r="AH9" s="7"/>
      <c r="AI9" s="2"/>
      <c r="AJ9" s="2"/>
      <c r="AK9" s="7"/>
      <c r="AL9" s="11"/>
      <c r="AM9" s="7"/>
      <c r="AN9" s="2"/>
      <c r="AO9" s="2"/>
      <c r="AP9" s="2"/>
      <c r="AQ9" s="2"/>
      <c r="AR9" s="2"/>
      <c r="AS9" s="2"/>
      <c r="AT9" s="2"/>
      <c r="AU9" s="2"/>
      <c r="AV9" s="2"/>
      <c r="AW9" s="2"/>
      <c r="AX9" s="2"/>
    </row>
    <row r="10" spans="1:50" x14ac:dyDescent="0.5">
      <c r="A10" s="2"/>
      <c r="B10" s="23" t="s">
        <v>10</v>
      </c>
      <c r="C10" s="24">
        <v>0.33800000000000002</v>
      </c>
      <c r="D10" s="25" t="s">
        <v>7</v>
      </c>
      <c r="J10" s="22"/>
      <c r="K10" s="15"/>
      <c r="R10" s="2"/>
      <c r="S10" s="2"/>
      <c r="T10" s="7"/>
      <c r="U10" s="7"/>
      <c r="V10" s="7"/>
      <c r="W10" s="7"/>
      <c r="X10" s="7"/>
      <c r="Y10" s="7"/>
      <c r="Z10" s="7"/>
      <c r="AA10" s="7"/>
      <c r="AB10" s="7"/>
      <c r="AC10" s="7"/>
      <c r="AD10" s="7"/>
      <c r="AE10" s="7"/>
      <c r="AF10" s="7"/>
      <c r="AG10" s="7"/>
      <c r="AH10" s="7"/>
      <c r="AI10" s="2"/>
      <c r="AJ10" s="2"/>
      <c r="AK10" s="7"/>
      <c r="AL10" s="11"/>
      <c r="AM10" s="7"/>
      <c r="AN10" s="2"/>
      <c r="AO10" s="2"/>
      <c r="AP10" s="2"/>
      <c r="AQ10" s="2"/>
      <c r="AR10" s="2"/>
      <c r="AS10" s="2"/>
      <c r="AT10" s="2"/>
      <c r="AU10" s="2"/>
      <c r="AV10" s="2"/>
      <c r="AW10" s="2"/>
      <c r="AX10" s="2"/>
    </row>
    <row r="11" spans="1:50" x14ac:dyDescent="0.5">
      <c r="A11" s="2"/>
      <c r="B11" s="23" t="s">
        <v>11</v>
      </c>
      <c r="C11" s="24">
        <v>1.4999999999999999E-2</v>
      </c>
      <c r="D11" s="26" t="s">
        <v>7</v>
      </c>
      <c r="J11" s="22"/>
      <c r="K11" s="15"/>
      <c r="R11" s="2"/>
      <c r="S11" s="2"/>
      <c r="T11" s="7"/>
      <c r="U11" s="7"/>
      <c r="V11" s="7"/>
      <c r="W11" s="7"/>
      <c r="X11" s="7"/>
      <c r="Y11" s="7"/>
      <c r="Z11" s="7"/>
      <c r="AA11" s="7"/>
      <c r="AB11" s="7"/>
      <c r="AC11" s="7"/>
      <c r="AD11" s="7"/>
      <c r="AE11" s="7"/>
      <c r="AF11" s="7"/>
      <c r="AG11" s="7"/>
      <c r="AH11" s="7"/>
      <c r="AI11" s="2"/>
      <c r="AJ11" s="2"/>
      <c r="AK11" s="7"/>
      <c r="AL11" s="11"/>
      <c r="AM11" s="7"/>
      <c r="AN11" s="2"/>
      <c r="AO11" s="2"/>
      <c r="AP11" s="2"/>
      <c r="AQ11" s="2"/>
      <c r="AR11" s="2"/>
      <c r="AS11" s="2"/>
      <c r="AT11" s="2"/>
      <c r="AU11" s="2"/>
      <c r="AV11" s="2"/>
      <c r="AW11" s="2"/>
      <c r="AX11" s="2"/>
    </row>
    <row r="12" spans="1:50" x14ac:dyDescent="0.5">
      <c r="A12" s="2"/>
      <c r="B12" s="20" t="s">
        <v>12</v>
      </c>
      <c r="C12" s="8">
        <v>130</v>
      </c>
      <c r="D12" s="21" t="s">
        <v>9</v>
      </c>
      <c r="E12" s="2"/>
      <c r="R12" s="2"/>
      <c r="S12" s="2"/>
      <c r="T12" s="7"/>
      <c r="U12" s="7"/>
      <c r="V12" s="7"/>
      <c r="W12" s="7"/>
      <c r="X12" s="7"/>
      <c r="Y12" s="7"/>
      <c r="Z12" s="7"/>
      <c r="AA12" s="7"/>
      <c r="AB12" s="7"/>
      <c r="AC12" s="7"/>
      <c r="AD12" s="7"/>
      <c r="AE12" s="7"/>
      <c r="AF12" s="7"/>
      <c r="AG12" s="7"/>
      <c r="AH12" s="11"/>
      <c r="AI12" s="7"/>
      <c r="AJ12" s="2"/>
      <c r="AK12" s="2"/>
      <c r="AL12" s="2"/>
      <c r="AM12" s="2"/>
      <c r="AN12" s="2"/>
      <c r="AO12" s="2"/>
      <c r="AP12" s="2"/>
      <c r="AQ12" s="2"/>
      <c r="AR12" s="2"/>
      <c r="AS12" s="2"/>
      <c r="AT12" s="2"/>
      <c r="AU12" s="2"/>
      <c r="AV12" s="2"/>
      <c r="AW12" s="2"/>
      <c r="AX12" s="2"/>
    </row>
    <row r="13" spans="1:50" x14ac:dyDescent="0.5">
      <c r="A13" s="2"/>
      <c r="B13" s="20" t="s">
        <v>13</v>
      </c>
      <c r="C13" s="8">
        <v>23</v>
      </c>
      <c r="D13" s="21" t="s">
        <v>14</v>
      </c>
      <c r="R13" s="2"/>
      <c r="S13" s="2"/>
      <c r="T13" s="27"/>
      <c r="U13" s="28"/>
      <c r="V13" s="28"/>
      <c r="W13" s="29"/>
      <c r="X13" s="28"/>
      <c r="Y13" s="28"/>
      <c r="Z13" s="7"/>
      <c r="AA13" s="7"/>
      <c r="AB13" s="30"/>
      <c r="AC13" s="7"/>
      <c r="AD13" s="30"/>
      <c r="AE13" s="30"/>
      <c r="AF13" s="7"/>
      <c r="AG13" s="7"/>
      <c r="AH13" s="11"/>
      <c r="AI13" s="7"/>
      <c r="AJ13" s="2"/>
      <c r="AK13" s="2"/>
      <c r="AL13" s="2"/>
      <c r="AM13" s="2"/>
      <c r="AN13" s="2"/>
      <c r="AO13" s="2"/>
      <c r="AP13" s="2"/>
      <c r="AQ13" s="2"/>
      <c r="AR13" s="2"/>
      <c r="AS13" s="2"/>
      <c r="AT13" s="2"/>
      <c r="AU13" s="2"/>
      <c r="AV13" s="2"/>
      <c r="AW13" s="2"/>
      <c r="AX13" s="2"/>
    </row>
    <row r="14" spans="1:50" x14ac:dyDescent="0.5">
      <c r="A14" s="2"/>
      <c r="B14" s="20" t="s">
        <v>15</v>
      </c>
      <c r="C14" s="31">
        <v>14.5</v>
      </c>
      <c r="D14" s="21" t="s">
        <v>16</v>
      </c>
      <c r="R14" s="2"/>
      <c r="S14" s="2"/>
      <c r="T14" s="7"/>
      <c r="U14" s="28"/>
      <c r="V14" s="28"/>
      <c r="W14" s="29"/>
      <c r="X14" s="28"/>
      <c r="Y14" s="28"/>
      <c r="Z14" s="7"/>
      <c r="AA14" s="7"/>
      <c r="AB14" s="7"/>
      <c r="AC14" s="7"/>
      <c r="AD14" s="7"/>
      <c r="AE14" s="7"/>
      <c r="AF14" s="7"/>
      <c r="AG14" s="7"/>
      <c r="AH14" s="11"/>
      <c r="AI14" s="7"/>
      <c r="AJ14" s="2"/>
      <c r="AK14" s="2"/>
      <c r="AL14" s="2"/>
      <c r="AM14" s="2"/>
      <c r="AN14" s="2"/>
      <c r="AO14" s="2"/>
      <c r="AP14" s="2"/>
      <c r="AQ14" s="2"/>
      <c r="AR14" s="2"/>
      <c r="AS14" s="2"/>
      <c r="AT14" s="2"/>
      <c r="AU14" s="2"/>
      <c r="AV14" s="2"/>
      <c r="AW14" s="2"/>
      <c r="AX14" s="2"/>
    </row>
    <row r="15" spans="1:50" x14ac:dyDescent="0.5">
      <c r="A15" s="8"/>
      <c r="B15" s="23" t="s">
        <v>17</v>
      </c>
      <c r="C15" s="31">
        <v>20.61</v>
      </c>
      <c r="D15" s="21" t="s">
        <v>16</v>
      </c>
      <c r="R15" s="2"/>
      <c r="S15" s="2"/>
      <c r="T15" s="27"/>
      <c r="U15" s="28"/>
      <c r="V15" s="28"/>
      <c r="W15" s="29"/>
      <c r="X15" s="28"/>
      <c r="Y15" s="28"/>
      <c r="Z15" s="28"/>
      <c r="AA15" s="7"/>
      <c r="AB15" s="7"/>
      <c r="AC15" s="28"/>
      <c r="AD15" s="7"/>
      <c r="AE15" s="7"/>
      <c r="AF15" s="7"/>
      <c r="AG15" s="7"/>
      <c r="AH15" s="11"/>
      <c r="AI15" s="7"/>
      <c r="AJ15" s="7"/>
      <c r="AK15" s="2"/>
      <c r="AL15" s="2"/>
      <c r="AM15" s="2"/>
      <c r="AN15" s="2"/>
      <c r="AO15" s="2"/>
      <c r="AP15" s="2"/>
      <c r="AQ15" s="2"/>
      <c r="AR15" s="2"/>
      <c r="AS15" s="2"/>
      <c r="AT15" s="2"/>
      <c r="AU15" s="2"/>
      <c r="AV15" s="2"/>
      <c r="AW15" s="2"/>
      <c r="AX15" s="2"/>
    </row>
    <row r="16" spans="1:50" x14ac:dyDescent="0.5">
      <c r="A16" s="8"/>
      <c r="B16" s="23" t="s">
        <v>18</v>
      </c>
      <c r="C16" s="31">
        <v>27.27</v>
      </c>
      <c r="D16" s="21" t="s">
        <v>16</v>
      </c>
      <c r="E16" s="32"/>
      <c r="R16" s="2"/>
      <c r="S16" s="2"/>
      <c r="T16" s="33"/>
      <c r="U16" s="28"/>
      <c r="V16" s="28"/>
      <c r="W16" s="29"/>
      <c r="X16" s="28"/>
      <c r="Y16" s="28"/>
      <c r="Z16" s="28"/>
      <c r="AA16" s="7"/>
      <c r="AB16" s="7"/>
      <c r="AC16" s="28"/>
      <c r="AD16" s="7"/>
      <c r="AE16" s="7"/>
      <c r="AF16" s="30"/>
      <c r="AG16" s="7"/>
      <c r="AH16" s="11"/>
      <c r="AI16" s="7"/>
      <c r="AJ16" s="7"/>
      <c r="AK16" s="2"/>
      <c r="AL16" s="2"/>
      <c r="AM16" s="2"/>
      <c r="AN16" s="2"/>
      <c r="AO16" s="2"/>
      <c r="AP16" s="2"/>
      <c r="AQ16" s="2"/>
      <c r="AR16" s="2"/>
      <c r="AS16" s="2"/>
      <c r="AT16" s="2"/>
      <c r="AU16" s="2"/>
      <c r="AV16" s="2"/>
      <c r="AW16" s="2"/>
      <c r="AX16" s="2"/>
    </row>
    <row r="17" spans="1:50" x14ac:dyDescent="0.5">
      <c r="A17" s="8"/>
      <c r="B17" s="23" t="s">
        <v>19</v>
      </c>
      <c r="C17" s="34">
        <v>1.325</v>
      </c>
      <c r="D17" s="26" t="s">
        <v>20</v>
      </c>
      <c r="N17" s="32"/>
      <c r="R17" s="2"/>
      <c r="S17" s="2"/>
      <c r="T17" s="27"/>
      <c r="U17" s="28"/>
      <c r="V17" s="28"/>
      <c r="W17" s="29"/>
      <c r="X17" s="28"/>
      <c r="Y17" s="28"/>
      <c r="Z17" s="28"/>
      <c r="AA17" s="7"/>
      <c r="AB17" s="7"/>
      <c r="AC17" s="28"/>
      <c r="AD17" s="7"/>
      <c r="AE17" s="7"/>
      <c r="AF17" s="7"/>
      <c r="AG17" s="7"/>
      <c r="AH17" s="11"/>
      <c r="AI17" s="7"/>
      <c r="AJ17" s="7"/>
      <c r="AK17" s="2"/>
      <c r="AL17" s="2"/>
      <c r="AM17" s="2"/>
      <c r="AN17" s="2"/>
      <c r="AO17" s="2"/>
      <c r="AP17" s="2"/>
      <c r="AQ17" s="2"/>
      <c r="AR17" s="2"/>
      <c r="AS17" s="2"/>
      <c r="AT17" s="2"/>
      <c r="AU17" s="2"/>
      <c r="AV17" s="2"/>
      <c r="AW17" s="2"/>
      <c r="AX17" s="2"/>
    </row>
    <row r="18" spans="1:50" x14ac:dyDescent="0.5">
      <c r="A18" s="8"/>
      <c r="B18" s="20" t="s">
        <v>21</v>
      </c>
      <c r="C18" s="35">
        <v>6.8699999999999997E-2</v>
      </c>
      <c r="D18" s="21" t="s">
        <v>22</v>
      </c>
      <c r="J18" s="3"/>
      <c r="K18" s="36"/>
      <c r="L18" s="3"/>
      <c r="M18" s="3"/>
      <c r="R18" s="2"/>
      <c r="S18" s="2"/>
      <c r="T18" s="27"/>
      <c r="U18" s="28"/>
      <c r="V18" s="28"/>
      <c r="W18" s="29"/>
      <c r="X18" s="28"/>
      <c r="Y18" s="28"/>
      <c r="Z18" s="28"/>
      <c r="AA18" s="7"/>
      <c r="AB18" s="7"/>
      <c r="AC18" s="28"/>
      <c r="AD18" s="7"/>
      <c r="AE18" s="7"/>
      <c r="AF18" s="7"/>
      <c r="AG18" s="7"/>
      <c r="AH18" s="11"/>
      <c r="AI18" s="7"/>
      <c r="AJ18" s="7"/>
      <c r="AK18" s="2"/>
      <c r="AL18" s="2"/>
      <c r="AM18" s="2"/>
      <c r="AN18" s="2"/>
      <c r="AO18" s="2"/>
      <c r="AP18" s="2"/>
      <c r="AQ18" s="2"/>
      <c r="AR18" s="2"/>
      <c r="AS18" s="2"/>
      <c r="AT18" s="2"/>
      <c r="AU18" s="2"/>
      <c r="AV18" s="2"/>
      <c r="AW18" s="2"/>
      <c r="AX18" s="2"/>
    </row>
    <row r="19" spans="1:50" x14ac:dyDescent="0.5">
      <c r="A19" s="8"/>
      <c r="B19" s="23" t="s">
        <v>23</v>
      </c>
      <c r="C19" s="37">
        <v>0</v>
      </c>
      <c r="D19" s="26" t="s">
        <v>24</v>
      </c>
      <c r="F19" s="32"/>
      <c r="R19" s="2"/>
      <c r="S19" s="2"/>
      <c r="T19" s="27"/>
      <c r="U19" s="28"/>
      <c r="V19" s="28"/>
      <c r="W19" s="29"/>
      <c r="X19" s="28"/>
      <c r="Y19" s="28"/>
      <c r="Z19" s="28"/>
      <c r="AA19" s="7"/>
      <c r="AB19" s="7"/>
      <c r="AC19" s="28"/>
      <c r="AD19" s="7"/>
      <c r="AE19" s="7"/>
      <c r="AF19" s="7"/>
      <c r="AG19" s="7"/>
      <c r="AH19" s="11"/>
      <c r="AI19" s="7"/>
      <c r="AJ19" s="7"/>
      <c r="AK19" s="2"/>
      <c r="AL19" s="2"/>
      <c r="AM19" s="2"/>
      <c r="AN19" s="2"/>
      <c r="AO19" s="2"/>
      <c r="AP19" s="2"/>
      <c r="AQ19" s="2"/>
      <c r="AR19" s="2"/>
      <c r="AS19" s="2"/>
      <c r="AT19" s="2"/>
      <c r="AU19" s="2"/>
      <c r="AV19" s="2"/>
      <c r="AW19" s="2"/>
      <c r="AX19" s="2"/>
    </row>
    <row r="20" spans="1:50" x14ac:dyDescent="0.5">
      <c r="A20" s="8"/>
      <c r="B20" s="23" t="s">
        <v>25</v>
      </c>
      <c r="C20" s="38">
        <f>96*1</f>
        <v>96</v>
      </c>
      <c r="D20" s="26" t="s">
        <v>7</v>
      </c>
      <c r="R20" s="4"/>
      <c r="S20" s="2"/>
      <c r="T20" s="27"/>
      <c r="U20" s="28"/>
      <c r="V20" s="28"/>
      <c r="W20" s="29"/>
      <c r="X20" s="28"/>
      <c r="Y20" s="28"/>
      <c r="Z20" s="28"/>
      <c r="AA20" s="7"/>
      <c r="AB20" s="7"/>
      <c r="AC20" s="28"/>
      <c r="AD20" s="7"/>
      <c r="AE20" s="7"/>
      <c r="AF20" s="7"/>
      <c r="AG20" s="7"/>
      <c r="AH20" s="11"/>
      <c r="AI20" s="7"/>
      <c r="AJ20" s="7"/>
      <c r="AK20" s="2"/>
      <c r="AL20" s="2"/>
      <c r="AM20" s="2"/>
      <c r="AN20" s="2"/>
      <c r="AO20" s="2"/>
      <c r="AP20" s="2"/>
      <c r="AQ20" s="2"/>
      <c r="AR20" s="2"/>
      <c r="AS20" s="2"/>
      <c r="AT20" s="2"/>
      <c r="AU20" s="2"/>
      <c r="AV20" s="2"/>
      <c r="AW20" s="2"/>
      <c r="AX20" s="2"/>
    </row>
    <row r="21" spans="1:50" x14ac:dyDescent="0.5">
      <c r="A21" s="8"/>
      <c r="B21" s="23" t="s">
        <v>26</v>
      </c>
      <c r="C21" s="39">
        <v>0.14000000000000001</v>
      </c>
      <c r="D21" s="26" t="s">
        <v>7</v>
      </c>
      <c r="R21" s="4"/>
      <c r="S21" s="2"/>
      <c r="T21" s="27"/>
      <c r="U21" s="28"/>
      <c r="V21" s="28"/>
      <c r="W21" s="29"/>
      <c r="X21" s="28"/>
      <c r="Y21" s="28"/>
      <c r="Z21" s="28"/>
      <c r="AA21" s="7"/>
      <c r="AB21" s="7"/>
      <c r="AC21" s="28"/>
      <c r="AD21" s="7"/>
      <c r="AE21" s="7"/>
      <c r="AF21" s="7"/>
      <c r="AG21" s="7"/>
      <c r="AH21" s="11"/>
      <c r="AI21" s="7"/>
      <c r="AJ21" s="7"/>
      <c r="AK21" s="2"/>
      <c r="AL21" s="2"/>
      <c r="AM21" s="2"/>
      <c r="AN21" s="2"/>
      <c r="AO21" s="2"/>
      <c r="AP21" s="2"/>
      <c r="AQ21" s="2"/>
      <c r="AR21" s="2"/>
      <c r="AS21" s="2"/>
      <c r="AT21" s="2"/>
      <c r="AU21" s="2"/>
      <c r="AV21" s="2"/>
      <c r="AW21" s="2"/>
      <c r="AX21" s="2"/>
    </row>
    <row r="22" spans="1:50" x14ac:dyDescent="0.5">
      <c r="A22" s="8"/>
      <c r="B22" s="23" t="s">
        <v>27</v>
      </c>
      <c r="C22" s="24">
        <v>0</v>
      </c>
      <c r="D22" s="26" t="s">
        <v>7</v>
      </c>
      <c r="R22" s="4"/>
      <c r="S22" s="2"/>
      <c r="T22" s="27"/>
      <c r="U22" s="28"/>
      <c r="V22" s="28"/>
      <c r="W22" s="29"/>
      <c r="X22" s="28"/>
      <c r="Y22" s="28"/>
      <c r="Z22" s="28"/>
      <c r="AA22" s="7"/>
      <c r="AB22" s="7"/>
      <c r="AC22" s="28"/>
      <c r="AD22" s="7"/>
      <c r="AE22" s="7"/>
      <c r="AF22" s="7"/>
      <c r="AG22" s="7"/>
      <c r="AH22" s="11"/>
      <c r="AI22" s="7"/>
      <c r="AJ22" s="7"/>
      <c r="AK22" s="2"/>
      <c r="AL22" s="2"/>
      <c r="AM22" s="2"/>
      <c r="AN22" s="2"/>
      <c r="AO22" s="2"/>
      <c r="AP22" s="2"/>
      <c r="AQ22" s="2"/>
      <c r="AR22" s="2"/>
      <c r="AS22" s="2"/>
      <c r="AT22" s="2"/>
      <c r="AU22" s="2"/>
      <c r="AV22" s="2"/>
      <c r="AW22" s="2"/>
      <c r="AX22" s="2"/>
    </row>
    <row r="23" spans="1:50" x14ac:dyDescent="0.5">
      <c r="A23" s="8"/>
      <c r="B23" s="23" t="s">
        <v>28</v>
      </c>
      <c r="C23" s="24">
        <v>0</v>
      </c>
      <c r="D23" s="26" t="s">
        <v>7</v>
      </c>
      <c r="R23" s="4"/>
      <c r="S23" s="2"/>
      <c r="T23" s="27"/>
      <c r="U23" s="28"/>
      <c r="V23" s="28"/>
      <c r="W23" s="29"/>
      <c r="X23" s="28"/>
      <c r="Y23" s="28"/>
      <c r="Z23" s="28"/>
      <c r="AA23" s="7"/>
      <c r="AB23" s="7"/>
      <c r="AC23" s="28"/>
      <c r="AD23" s="7"/>
      <c r="AE23" s="7"/>
      <c r="AF23" s="7"/>
      <c r="AG23" s="7"/>
      <c r="AH23" s="11"/>
      <c r="AI23" s="7"/>
      <c r="AJ23" s="7"/>
      <c r="AK23" s="2"/>
      <c r="AL23" s="2"/>
      <c r="AM23" s="2"/>
      <c r="AN23" s="2"/>
      <c r="AO23" s="2"/>
      <c r="AP23" s="2"/>
      <c r="AQ23" s="2"/>
      <c r="AR23" s="2"/>
      <c r="AS23" s="2"/>
      <c r="AT23" s="2"/>
      <c r="AU23" s="2"/>
      <c r="AV23" s="2"/>
      <c r="AW23" s="2"/>
      <c r="AX23" s="2"/>
    </row>
    <row r="24" spans="1:50" x14ac:dyDescent="0.5">
      <c r="A24" s="8"/>
      <c r="B24" s="23" t="s">
        <v>29</v>
      </c>
      <c r="C24" s="24">
        <f>27.9%*1</f>
        <v>0.27899999999999997</v>
      </c>
      <c r="D24" s="26" t="s">
        <v>7</v>
      </c>
      <c r="R24" s="4"/>
      <c r="S24" s="2"/>
      <c r="T24" s="27"/>
      <c r="U24" s="28"/>
      <c r="V24" s="28"/>
      <c r="W24" s="29"/>
      <c r="X24" s="28"/>
      <c r="Y24" s="28"/>
      <c r="Z24" s="28"/>
      <c r="AA24" s="7"/>
      <c r="AB24" s="7"/>
      <c r="AC24" s="28"/>
      <c r="AD24" s="7"/>
      <c r="AE24" s="7"/>
      <c r="AF24" s="7"/>
      <c r="AG24" s="7"/>
      <c r="AH24" s="11"/>
      <c r="AI24" s="7"/>
      <c r="AJ24" s="7"/>
      <c r="AK24" s="2"/>
      <c r="AL24" s="2"/>
      <c r="AM24" s="2"/>
      <c r="AN24" s="2"/>
      <c r="AO24" s="2"/>
      <c r="AP24" s="2"/>
      <c r="AQ24" s="2"/>
      <c r="AR24" s="2"/>
      <c r="AS24" s="2"/>
      <c r="AT24" s="2"/>
      <c r="AU24" s="2"/>
      <c r="AV24" s="2"/>
      <c r="AW24" s="2"/>
      <c r="AX24" s="2"/>
    </row>
    <row r="25" spans="1:50" x14ac:dyDescent="0.5">
      <c r="A25" s="8"/>
      <c r="B25" s="23" t="s">
        <v>30</v>
      </c>
      <c r="C25" s="39">
        <f>9.4%*1</f>
        <v>9.4E-2</v>
      </c>
      <c r="D25" s="26" t="s">
        <v>31</v>
      </c>
      <c r="R25" s="4"/>
      <c r="S25" s="2"/>
      <c r="T25" s="27"/>
      <c r="U25" s="28"/>
      <c r="V25" s="28"/>
      <c r="W25" s="29"/>
      <c r="X25" s="28"/>
      <c r="Y25" s="28"/>
      <c r="Z25" s="28"/>
      <c r="AA25" s="7"/>
      <c r="AB25" s="7"/>
      <c r="AC25" s="28"/>
      <c r="AD25" s="7"/>
      <c r="AE25" s="7"/>
      <c r="AF25" s="7"/>
      <c r="AG25" s="7"/>
      <c r="AH25" s="11"/>
      <c r="AI25" s="7"/>
      <c r="AJ25" s="7"/>
      <c r="AK25" s="2"/>
      <c r="AL25" s="2"/>
      <c r="AM25" s="2"/>
      <c r="AN25" s="2"/>
      <c r="AO25" s="2"/>
      <c r="AP25" s="2"/>
      <c r="AQ25" s="2"/>
      <c r="AR25" s="2"/>
      <c r="AS25" s="2"/>
      <c r="AT25" s="2"/>
      <c r="AU25" s="2"/>
      <c r="AV25" s="2"/>
      <c r="AW25" s="2"/>
      <c r="AX25" s="2"/>
    </row>
    <row r="26" spans="1:50" x14ac:dyDescent="0.5">
      <c r="A26" s="8"/>
      <c r="B26" s="23" t="s">
        <v>32</v>
      </c>
      <c r="C26" s="39">
        <f>1.1%*1</f>
        <v>1.1000000000000001E-2</v>
      </c>
      <c r="D26" s="26" t="s">
        <v>31</v>
      </c>
      <c r="R26" s="4"/>
      <c r="S26" s="2"/>
      <c r="T26" s="27"/>
      <c r="U26" s="28"/>
      <c r="V26" s="28"/>
      <c r="W26" s="29"/>
      <c r="X26" s="28"/>
      <c r="Y26" s="28"/>
      <c r="Z26" s="28"/>
      <c r="AA26" s="7"/>
      <c r="AB26" s="7"/>
      <c r="AC26" s="28"/>
      <c r="AD26" s="7"/>
      <c r="AE26" s="7"/>
      <c r="AF26" s="7"/>
      <c r="AG26" s="7"/>
      <c r="AH26" s="11"/>
      <c r="AI26" s="7"/>
      <c r="AJ26" s="7"/>
      <c r="AK26" s="2"/>
      <c r="AL26" s="2"/>
      <c r="AM26" s="2"/>
      <c r="AN26" s="2"/>
      <c r="AO26" s="2"/>
      <c r="AP26" s="2"/>
      <c r="AQ26" s="2"/>
      <c r="AR26" s="2"/>
      <c r="AS26" s="2"/>
      <c r="AT26" s="2"/>
      <c r="AU26" s="2"/>
      <c r="AV26" s="2"/>
      <c r="AW26" s="2"/>
      <c r="AX26" s="2"/>
    </row>
    <row r="27" spans="1:50" ht="16.149999999999999" thickBot="1" x14ac:dyDescent="0.55000000000000004">
      <c r="A27" s="8"/>
      <c r="B27" s="40" t="s">
        <v>33</v>
      </c>
      <c r="C27" s="41">
        <v>3</v>
      </c>
      <c r="D27" s="42" t="s">
        <v>34</v>
      </c>
      <c r="R27" s="4"/>
      <c r="S27" s="2"/>
      <c r="T27" s="27"/>
      <c r="U27" s="28"/>
      <c r="V27" s="28"/>
      <c r="W27" s="29"/>
      <c r="X27" s="28"/>
      <c r="Y27" s="28"/>
      <c r="Z27" s="28"/>
      <c r="AA27" s="7"/>
      <c r="AB27" s="7"/>
      <c r="AC27" s="28"/>
      <c r="AD27" s="7"/>
      <c r="AE27" s="7"/>
      <c r="AF27" s="7"/>
      <c r="AG27" s="7"/>
      <c r="AH27" s="11"/>
      <c r="AI27" s="7"/>
      <c r="AJ27" s="7"/>
      <c r="AK27" s="2"/>
      <c r="AL27" s="2"/>
      <c r="AM27" s="2"/>
      <c r="AN27" s="2"/>
      <c r="AO27" s="2"/>
      <c r="AP27" s="2"/>
      <c r="AQ27" s="2"/>
      <c r="AR27" s="2"/>
      <c r="AS27" s="2"/>
      <c r="AT27" s="2"/>
      <c r="AU27" s="2"/>
      <c r="AV27" s="2"/>
      <c r="AW27" s="2"/>
      <c r="AX27" s="2"/>
    </row>
    <row r="28" spans="1:50" x14ac:dyDescent="0.5">
      <c r="A28" s="8"/>
      <c r="B28" s="7"/>
      <c r="C28" s="22"/>
      <c r="D28" s="7"/>
      <c r="R28" s="4"/>
      <c r="S28" s="2"/>
      <c r="T28" s="27"/>
      <c r="U28" s="28"/>
      <c r="V28" s="28"/>
      <c r="W28" s="29"/>
      <c r="X28" s="28"/>
      <c r="Y28" s="28"/>
      <c r="Z28" s="28"/>
      <c r="AA28" s="7"/>
      <c r="AB28" s="7"/>
      <c r="AC28" s="28"/>
      <c r="AD28" s="7"/>
      <c r="AE28" s="7"/>
      <c r="AF28" s="7"/>
      <c r="AG28" s="7"/>
      <c r="AH28" s="11"/>
      <c r="AI28" s="7"/>
      <c r="AJ28" s="7"/>
      <c r="AK28" s="2"/>
      <c r="AL28" s="2"/>
      <c r="AM28" s="2"/>
      <c r="AN28" s="2"/>
      <c r="AO28" s="2"/>
      <c r="AP28" s="2"/>
      <c r="AQ28" s="2"/>
      <c r="AR28" s="2"/>
      <c r="AS28" s="2"/>
      <c r="AT28" s="2"/>
      <c r="AU28" s="2"/>
      <c r="AV28" s="2"/>
      <c r="AW28" s="2"/>
      <c r="AX28" s="2"/>
    </row>
    <row r="29" spans="1:50" s="3" customFormat="1" x14ac:dyDescent="0.5">
      <c r="A29" s="8"/>
      <c r="B29"/>
      <c r="C29"/>
      <c r="D29"/>
      <c r="F29" s="43"/>
      <c r="J29"/>
      <c r="K29"/>
      <c r="L29"/>
      <c r="M29"/>
      <c r="R29" s="2"/>
      <c r="S29" s="2"/>
      <c r="T29" s="27"/>
      <c r="U29" s="28"/>
      <c r="V29" s="28"/>
      <c r="W29" s="29"/>
      <c r="X29" s="28"/>
      <c r="Y29" s="28"/>
      <c r="Z29" s="28"/>
      <c r="AA29" s="7"/>
      <c r="AB29" s="30"/>
      <c r="AC29" s="28"/>
      <c r="AD29" s="7"/>
      <c r="AE29" s="7"/>
      <c r="AF29" s="7"/>
      <c r="AG29" s="7"/>
      <c r="AH29" s="44"/>
      <c r="AI29" s="30"/>
      <c r="AJ29" s="30"/>
      <c r="AK29" s="4"/>
      <c r="AL29" s="4"/>
      <c r="AM29" s="4"/>
      <c r="AN29" s="4"/>
      <c r="AO29" s="4"/>
      <c r="AP29" s="4"/>
      <c r="AQ29" s="4"/>
      <c r="AR29" s="4"/>
      <c r="AS29" s="4"/>
      <c r="AT29" s="4"/>
      <c r="AU29" s="4"/>
      <c r="AV29" s="4"/>
      <c r="AW29" s="4"/>
      <c r="AX29" s="4"/>
    </row>
    <row r="30" spans="1:50" ht="28.9" thickBot="1" x14ac:dyDescent="0.9">
      <c r="A30" s="8"/>
      <c r="B30" s="9" t="s">
        <v>305</v>
      </c>
      <c r="F30" s="2"/>
      <c r="G30" s="2"/>
      <c r="H30" s="2"/>
      <c r="I30" s="2"/>
      <c r="L30" s="45"/>
      <c r="R30" s="2"/>
      <c r="S30" s="2"/>
      <c r="T30" s="27"/>
      <c r="U30" s="28"/>
      <c r="V30" s="28"/>
      <c r="W30" s="29"/>
      <c r="X30" s="28"/>
      <c r="Y30" s="28"/>
      <c r="Z30" s="28"/>
      <c r="AA30" s="7"/>
      <c r="AB30" s="7"/>
      <c r="AC30" s="28"/>
      <c r="AD30" s="7"/>
      <c r="AE30" s="7"/>
      <c r="AF30" s="7"/>
      <c r="AG30" s="7"/>
      <c r="AH30" s="11"/>
      <c r="AI30" s="7"/>
      <c r="AJ30" s="7"/>
      <c r="AK30" s="2"/>
      <c r="AL30" s="2"/>
      <c r="AM30" s="2"/>
      <c r="AN30" s="2"/>
      <c r="AO30" s="2"/>
      <c r="AP30" s="2"/>
      <c r="AQ30" s="2"/>
      <c r="AR30" s="2"/>
      <c r="AS30" s="2"/>
      <c r="AT30" s="2"/>
      <c r="AU30" s="2"/>
      <c r="AV30" s="2"/>
      <c r="AW30" s="2"/>
      <c r="AX30" s="2"/>
    </row>
    <row r="31" spans="1:50" x14ac:dyDescent="0.5">
      <c r="A31" s="8"/>
      <c r="B31" s="46" t="s">
        <v>35</v>
      </c>
      <c r="C31" s="47">
        <f>SUM(G44,G45:G60)</f>
        <v>0.54055729794698903</v>
      </c>
      <c r="D31" s="19" t="s">
        <v>36</v>
      </c>
      <c r="E31" s="48"/>
      <c r="F31" s="2"/>
      <c r="G31" s="2"/>
      <c r="H31" s="2"/>
      <c r="I31" s="2"/>
      <c r="R31" s="2"/>
      <c r="S31" s="2"/>
      <c r="T31" s="27"/>
      <c r="U31" s="28"/>
      <c r="V31" s="28"/>
      <c r="W31" s="29"/>
      <c r="X31" s="28"/>
      <c r="Y31" s="28"/>
      <c r="Z31" s="28"/>
      <c r="AA31" s="7"/>
      <c r="AB31" s="7"/>
      <c r="AC31" s="28"/>
      <c r="AD31" s="7"/>
      <c r="AE31" s="7"/>
      <c r="AF31" s="7"/>
      <c r="AG31" s="7"/>
      <c r="AH31" s="11"/>
      <c r="AI31" s="7"/>
      <c r="AJ31" s="7"/>
      <c r="AK31" s="2"/>
      <c r="AL31" s="2"/>
      <c r="AM31" s="2"/>
      <c r="AN31" s="2"/>
      <c r="AO31" s="2"/>
      <c r="AP31" s="2"/>
      <c r="AQ31" s="2"/>
      <c r="AR31" s="2"/>
      <c r="AS31" s="2"/>
      <c r="AT31" s="2"/>
      <c r="AU31" s="2"/>
      <c r="AV31" s="2"/>
      <c r="AW31" s="2"/>
      <c r="AX31" s="2"/>
    </row>
    <row r="32" spans="1:50" x14ac:dyDescent="0.5">
      <c r="A32" s="8"/>
      <c r="B32" s="23" t="s">
        <v>35</v>
      </c>
      <c r="C32" s="49">
        <f>C31*$C$74/$C$73</f>
        <v>86.489167671518246</v>
      </c>
      <c r="D32" s="26" t="s">
        <v>37</v>
      </c>
      <c r="E32" s="48"/>
      <c r="F32" s="5"/>
      <c r="G32" s="2"/>
      <c r="H32" s="2"/>
      <c r="I32" s="2"/>
      <c r="N32" s="45"/>
      <c r="R32" s="2"/>
      <c r="S32" s="50"/>
      <c r="T32" s="27"/>
      <c r="U32" s="28"/>
      <c r="V32" s="28"/>
      <c r="W32" s="29"/>
      <c r="X32" s="28"/>
      <c r="Y32" s="28"/>
      <c r="Z32" s="28"/>
      <c r="AA32" s="7"/>
      <c r="AB32" s="7"/>
      <c r="AC32" s="28"/>
      <c r="AD32" s="7"/>
      <c r="AE32" s="7"/>
      <c r="AF32" s="7"/>
      <c r="AG32" s="7"/>
      <c r="AH32" s="11"/>
      <c r="AI32" s="7"/>
      <c r="AJ32" s="7"/>
      <c r="AK32" s="2"/>
      <c r="AL32" s="2"/>
      <c r="AM32" s="2"/>
      <c r="AN32" s="2"/>
      <c r="AO32" s="2"/>
      <c r="AP32" s="2"/>
      <c r="AQ32" s="2"/>
      <c r="AR32" s="2"/>
      <c r="AS32" s="2"/>
      <c r="AT32" s="2"/>
      <c r="AU32" s="2"/>
      <c r="AV32" s="2"/>
      <c r="AW32" s="2"/>
      <c r="AX32" s="2"/>
    </row>
    <row r="33" spans="1:50" x14ac:dyDescent="0.5">
      <c r="A33" s="8"/>
      <c r="B33" s="23" t="s">
        <v>38</v>
      </c>
      <c r="C33" s="51">
        <f>IF(AND(AND(X391&lt;0.1,X391&gt;-0.1),AND(X362&lt;0.1,X362&gt;-0.1),AND(X333&lt;0.1,X333&gt;-0.1),AND(X304&lt;0.1,X304&gt;-0.1)),C273,0)</f>
        <v>0.85142316900896708</v>
      </c>
      <c r="D33" s="21" t="s">
        <v>36</v>
      </c>
      <c r="E33" s="48"/>
      <c r="F33" s="11" t="s">
        <v>307</v>
      </c>
      <c r="G33" s="7"/>
      <c r="H33" s="7"/>
      <c r="I33" s="7"/>
      <c r="N33" s="45"/>
      <c r="R33" s="2"/>
      <c r="S33" s="50"/>
      <c r="T33" s="27"/>
      <c r="U33" s="28"/>
      <c r="V33" s="28"/>
      <c r="W33" s="29"/>
      <c r="X33" s="28"/>
      <c r="Y33" s="28"/>
      <c r="Z33" s="28"/>
      <c r="AA33" s="7"/>
      <c r="AB33" s="7"/>
      <c r="AC33" s="28"/>
      <c r="AD33" s="7"/>
      <c r="AE33" s="7"/>
      <c r="AF33" s="7"/>
      <c r="AG33" s="7"/>
      <c r="AH33" s="11"/>
      <c r="AI33" s="7"/>
      <c r="AJ33" s="7"/>
      <c r="AK33" s="2"/>
      <c r="AL33" s="2"/>
      <c r="AM33" s="2"/>
      <c r="AN33" s="2"/>
      <c r="AO33" s="2"/>
      <c r="AP33" s="2"/>
      <c r="AQ33" s="2"/>
      <c r="AR33" s="2"/>
      <c r="AS33" s="2"/>
      <c r="AT33" s="2"/>
      <c r="AU33" s="2"/>
      <c r="AV33" s="2"/>
      <c r="AW33" s="2"/>
      <c r="AX33" s="2"/>
    </row>
    <row r="34" spans="1:50" x14ac:dyDescent="0.5">
      <c r="A34" s="52"/>
      <c r="B34" s="23" t="s">
        <v>38</v>
      </c>
      <c r="C34" s="34">
        <f>C33*$C$74/$C$73</f>
        <v>136.22770704143474</v>
      </c>
      <c r="D34" s="21" t="s">
        <v>37</v>
      </c>
      <c r="E34" s="48"/>
      <c r="F34" s="7"/>
      <c r="G34" s="7"/>
      <c r="H34" s="28"/>
      <c r="I34" s="28"/>
      <c r="N34" s="45"/>
      <c r="R34" s="2"/>
      <c r="S34" s="2"/>
      <c r="T34" s="27"/>
      <c r="U34" s="28"/>
      <c r="V34" s="28"/>
      <c r="W34" s="29"/>
      <c r="X34" s="28"/>
      <c r="Y34" s="28"/>
      <c r="Z34" s="28"/>
      <c r="AA34" s="7"/>
      <c r="AB34" s="7"/>
      <c r="AC34" s="28"/>
      <c r="AD34" s="7"/>
      <c r="AE34" s="7"/>
      <c r="AF34" s="7"/>
      <c r="AG34" s="7"/>
      <c r="AH34" s="7"/>
      <c r="AI34" s="7"/>
      <c r="AJ34" s="7"/>
      <c r="AK34" s="2"/>
      <c r="AL34" s="2"/>
      <c r="AM34" s="2"/>
      <c r="AN34" s="2"/>
      <c r="AO34" s="2"/>
      <c r="AP34" s="2"/>
      <c r="AQ34" s="2"/>
      <c r="AR34" s="2"/>
      <c r="AS34" s="2"/>
      <c r="AT34" s="2"/>
      <c r="AU34" s="2"/>
      <c r="AV34" s="2"/>
      <c r="AW34" s="2"/>
      <c r="AX34" s="2"/>
    </row>
    <row r="35" spans="1:50" x14ac:dyDescent="0.5">
      <c r="A35" s="52"/>
      <c r="B35" s="20" t="s">
        <v>39</v>
      </c>
      <c r="C35" s="34">
        <f>G152</f>
        <v>0.67641889027161972</v>
      </c>
      <c r="D35" s="21" t="s">
        <v>40</v>
      </c>
      <c r="E35" s="48"/>
      <c r="F35" s="30"/>
      <c r="G35" s="7"/>
      <c r="H35" s="28"/>
      <c r="I35" s="28"/>
      <c r="N35" s="45"/>
      <c r="R35" s="2"/>
      <c r="S35" s="2"/>
      <c r="T35" s="27"/>
      <c r="U35" s="28"/>
      <c r="V35" s="28"/>
      <c r="W35" s="29"/>
      <c r="X35" s="28"/>
      <c r="Y35" s="28"/>
      <c r="Z35" s="28"/>
      <c r="AA35" s="7"/>
      <c r="AB35" s="7"/>
      <c r="AC35" s="28"/>
      <c r="AD35" s="7"/>
      <c r="AE35" s="7"/>
      <c r="AF35" s="7"/>
      <c r="AG35" s="7"/>
      <c r="AH35" s="7"/>
      <c r="AI35" s="7"/>
      <c r="AJ35" s="7"/>
      <c r="AK35" s="2"/>
      <c r="AL35" s="2"/>
      <c r="AM35" s="2"/>
      <c r="AN35" s="2"/>
      <c r="AO35" s="2"/>
      <c r="AP35" s="2"/>
      <c r="AQ35" s="2"/>
      <c r="AR35" s="2"/>
      <c r="AS35" s="2"/>
      <c r="AT35" s="2"/>
      <c r="AU35" s="2"/>
      <c r="AV35" s="2"/>
      <c r="AW35" s="2"/>
      <c r="AX35" s="2"/>
    </row>
    <row r="36" spans="1:50" x14ac:dyDescent="0.5">
      <c r="A36" s="52"/>
      <c r="B36" s="20" t="s">
        <v>41</v>
      </c>
      <c r="C36" s="34">
        <f>C35/C33</f>
        <v>0.79445675768836843</v>
      </c>
      <c r="D36" s="21" t="s">
        <v>20</v>
      </c>
      <c r="E36" s="48"/>
      <c r="F36" s="7"/>
      <c r="G36" s="7"/>
      <c r="H36" s="28"/>
      <c r="I36" s="7"/>
      <c r="N36" s="45"/>
      <c r="R36" s="2"/>
      <c r="S36" s="2"/>
      <c r="T36" s="27"/>
      <c r="U36" s="28"/>
      <c r="V36" s="28"/>
      <c r="W36" s="29"/>
      <c r="X36" s="28"/>
      <c r="Y36" s="28"/>
      <c r="Z36" s="28"/>
      <c r="AA36" s="7"/>
      <c r="AB36" s="7"/>
      <c r="AC36" s="28"/>
      <c r="AD36" s="7"/>
      <c r="AE36" s="7"/>
      <c r="AF36" s="7"/>
      <c r="AG36" s="7"/>
      <c r="AH36" s="7"/>
      <c r="AI36" s="7"/>
      <c r="AJ36" s="7"/>
      <c r="AK36" s="2"/>
      <c r="AL36" s="2"/>
      <c r="AM36" s="2"/>
      <c r="AN36" s="2"/>
      <c r="AO36" s="2"/>
      <c r="AP36" s="2"/>
      <c r="AQ36" s="2"/>
      <c r="AR36" s="2"/>
      <c r="AS36" s="2"/>
      <c r="AT36" s="2"/>
      <c r="AU36" s="2"/>
      <c r="AV36" s="2"/>
      <c r="AW36" s="2"/>
      <c r="AX36" s="2"/>
    </row>
    <row r="37" spans="1:50" x14ac:dyDescent="0.5">
      <c r="A37" s="8"/>
      <c r="B37" s="23" t="s">
        <v>42</v>
      </c>
      <c r="C37" s="34">
        <f>C81*1000*C71/C74*(1/(C190))</f>
        <v>4.3080352636670947</v>
      </c>
      <c r="D37" s="26" t="s">
        <v>43</v>
      </c>
      <c r="E37" s="48"/>
      <c r="F37" s="7"/>
      <c r="G37" s="7"/>
      <c r="H37" s="28"/>
      <c r="I37" s="7"/>
      <c r="R37" s="2"/>
      <c r="S37" s="7"/>
      <c r="T37" s="27"/>
      <c r="U37" s="28"/>
      <c r="V37" s="28"/>
      <c r="W37" s="29"/>
      <c r="X37" s="28"/>
      <c r="Y37" s="28"/>
      <c r="Z37" s="28"/>
      <c r="AA37" s="7"/>
      <c r="AB37" s="7"/>
      <c r="AC37" s="28"/>
      <c r="AD37" s="7"/>
      <c r="AE37" s="7"/>
      <c r="AF37" s="7"/>
      <c r="AG37" s="7"/>
      <c r="AH37" s="7"/>
      <c r="AI37" s="7"/>
      <c r="AJ37" s="7"/>
      <c r="AK37" s="2"/>
      <c r="AL37" s="2"/>
      <c r="AM37" s="2"/>
      <c r="AN37" s="2"/>
      <c r="AO37" s="2"/>
      <c r="AP37" s="2"/>
      <c r="AQ37" s="2"/>
      <c r="AR37" s="2"/>
      <c r="AS37" s="2"/>
      <c r="AT37" s="2"/>
      <c r="AU37" s="2"/>
      <c r="AV37" s="2"/>
      <c r="AW37" s="2"/>
      <c r="AX37" s="2"/>
    </row>
    <row r="38" spans="1:50" x14ac:dyDescent="0.5">
      <c r="A38" s="8"/>
      <c r="B38" s="23" t="s">
        <v>44</v>
      </c>
      <c r="C38" s="34">
        <f>(C33-C31)/C33*100</f>
        <v>36.511323907689437</v>
      </c>
      <c r="D38" s="26" t="s">
        <v>7</v>
      </c>
      <c r="E38" s="48"/>
      <c r="F38" s="7"/>
      <c r="G38" s="7"/>
      <c r="H38" s="28"/>
      <c r="I38" s="28"/>
      <c r="R38" s="2"/>
      <c r="S38" s="7"/>
      <c r="T38" s="27"/>
      <c r="U38" s="28"/>
      <c r="V38" s="28"/>
      <c r="W38" s="29"/>
      <c r="X38" s="28"/>
      <c r="Y38" s="28"/>
      <c r="Z38" s="28"/>
      <c r="AA38" s="7"/>
      <c r="AB38" s="7"/>
      <c r="AC38" s="28"/>
      <c r="AD38" s="7"/>
      <c r="AE38" s="7"/>
      <c r="AF38" s="7"/>
      <c r="AG38" s="7"/>
      <c r="AH38" s="7"/>
      <c r="AI38" s="7"/>
      <c r="AJ38" s="7"/>
      <c r="AK38" s="2"/>
      <c r="AL38" s="2"/>
      <c r="AM38" s="2"/>
      <c r="AN38" s="2"/>
      <c r="AO38" s="2"/>
      <c r="AP38" s="2"/>
      <c r="AQ38" s="2"/>
      <c r="AR38" s="2"/>
      <c r="AS38" s="2"/>
      <c r="AT38" s="2"/>
      <c r="AU38" s="2"/>
      <c r="AV38" s="2"/>
      <c r="AW38" s="2"/>
      <c r="AX38" s="2"/>
    </row>
    <row r="39" spans="1:50" ht="16.149999999999999" thickBot="1" x14ac:dyDescent="0.55000000000000004">
      <c r="A39" s="8"/>
      <c r="B39" s="40" t="s">
        <v>45</v>
      </c>
      <c r="C39" s="53">
        <f>(C33-G61-G65)/C33*100</f>
        <v>15.071331932299337</v>
      </c>
      <c r="D39" s="42" t="s">
        <v>7</v>
      </c>
      <c r="E39" s="48"/>
      <c r="F39" s="10"/>
      <c r="G39" s="2"/>
      <c r="H39" s="2"/>
      <c r="I39" s="2"/>
      <c r="R39" s="2"/>
      <c r="S39" s="7"/>
      <c r="T39" s="27"/>
      <c r="U39" s="28"/>
      <c r="V39" s="28"/>
      <c r="W39" s="29"/>
      <c r="X39" s="28"/>
      <c r="Y39" s="28"/>
      <c r="Z39" s="28"/>
      <c r="AA39" s="7"/>
      <c r="AB39" s="7"/>
      <c r="AC39" s="28"/>
      <c r="AD39" s="7"/>
      <c r="AE39" s="7"/>
      <c r="AF39" s="7"/>
      <c r="AG39" s="7"/>
      <c r="AH39" s="7"/>
      <c r="AI39" s="7"/>
      <c r="AJ39" s="7"/>
      <c r="AK39" s="2"/>
      <c r="AL39" s="2"/>
      <c r="AM39" s="2"/>
      <c r="AN39" s="2"/>
      <c r="AO39" s="2"/>
      <c r="AP39" s="2"/>
      <c r="AQ39" s="2"/>
      <c r="AR39" s="2"/>
      <c r="AS39" s="2"/>
      <c r="AT39" s="2"/>
      <c r="AU39" s="2"/>
      <c r="AV39" s="2"/>
      <c r="AW39" s="2"/>
      <c r="AX39" s="2"/>
    </row>
    <row r="40" spans="1:50" x14ac:dyDescent="0.5">
      <c r="A40" s="8"/>
      <c r="R40" s="2"/>
      <c r="S40" s="2"/>
      <c r="T40" s="27"/>
      <c r="U40" s="28"/>
      <c r="V40" s="28"/>
      <c r="W40" s="29"/>
      <c r="X40" s="28"/>
      <c r="Y40" s="28"/>
      <c r="Z40" s="28"/>
      <c r="AA40" s="7"/>
      <c r="AB40" s="7"/>
      <c r="AC40" s="28"/>
      <c r="AD40" s="7"/>
      <c r="AE40" s="7"/>
      <c r="AF40" s="7"/>
      <c r="AG40" s="7"/>
      <c r="AH40" s="7"/>
      <c r="AI40" s="7"/>
      <c r="AJ40" s="7"/>
      <c r="AK40" s="2"/>
      <c r="AL40" s="2"/>
      <c r="AM40" s="2"/>
      <c r="AN40" s="2"/>
      <c r="AO40" s="2"/>
      <c r="AP40" s="2"/>
      <c r="AQ40" s="2"/>
      <c r="AR40" s="2"/>
      <c r="AS40" s="2"/>
      <c r="AT40" s="2"/>
      <c r="AU40" s="2"/>
      <c r="AV40" s="2"/>
      <c r="AW40" s="2"/>
      <c r="AX40" s="2"/>
    </row>
    <row r="41" spans="1:50" ht="16.149999999999999" thickBot="1" x14ac:dyDescent="0.55000000000000004">
      <c r="A41" s="8"/>
      <c r="R41" s="28"/>
      <c r="S41" s="2"/>
      <c r="T41" s="27"/>
      <c r="U41" s="28"/>
      <c r="V41" s="28"/>
      <c r="W41" s="29"/>
      <c r="X41" s="28"/>
      <c r="Y41" s="28"/>
      <c r="Z41" s="28"/>
      <c r="AA41" s="7"/>
      <c r="AB41" s="28"/>
      <c r="AC41" s="7"/>
      <c r="AD41" s="7"/>
      <c r="AE41" s="7"/>
      <c r="AF41" s="7"/>
      <c r="AG41" s="7"/>
      <c r="AH41" s="7"/>
      <c r="AI41" s="7"/>
      <c r="AJ41" s="2"/>
      <c r="AK41" s="2"/>
      <c r="AL41" s="2"/>
      <c r="AM41" s="2"/>
      <c r="AN41" s="2"/>
      <c r="AO41" s="2"/>
      <c r="AP41" s="2"/>
      <c r="AQ41" s="2"/>
      <c r="AR41" s="2"/>
      <c r="AS41" s="2"/>
      <c r="AT41" s="2"/>
      <c r="AU41" s="2"/>
      <c r="AV41" s="2"/>
      <c r="AW41" s="2"/>
      <c r="AX41" s="2"/>
    </row>
    <row r="42" spans="1:50" ht="28.9" thickBot="1" x14ac:dyDescent="0.9">
      <c r="A42" s="8"/>
      <c r="B42" s="9" t="s">
        <v>46</v>
      </c>
      <c r="I42" s="54" t="s">
        <v>47</v>
      </c>
      <c r="J42" s="54"/>
      <c r="K42" s="54"/>
      <c r="L42" s="54"/>
      <c r="M42" s="54" t="s">
        <v>48</v>
      </c>
      <c r="N42" s="54"/>
      <c r="O42" s="54"/>
      <c r="P42" s="54"/>
      <c r="R42" s="2"/>
      <c r="S42" s="2"/>
      <c r="T42" s="27"/>
      <c r="U42" s="28"/>
      <c r="V42" s="28"/>
      <c r="W42" s="29"/>
      <c r="X42" s="28"/>
      <c r="Y42" s="28"/>
      <c r="Z42" s="28"/>
      <c r="AA42" s="7"/>
      <c r="AB42" s="7"/>
      <c r="AC42" s="7"/>
      <c r="AD42" s="7"/>
      <c r="AE42" s="7"/>
      <c r="AF42" s="7"/>
      <c r="AG42" s="7"/>
      <c r="AH42" s="7"/>
      <c r="AI42" s="2"/>
      <c r="AJ42" s="2"/>
      <c r="AK42" s="2"/>
      <c r="AL42" s="2"/>
      <c r="AM42" s="2"/>
      <c r="AN42" s="2"/>
      <c r="AO42" s="2"/>
      <c r="AP42" s="2"/>
      <c r="AQ42" s="2"/>
      <c r="AR42" s="2"/>
      <c r="AS42" s="2"/>
      <c r="AT42" s="2"/>
      <c r="AU42" s="2"/>
      <c r="AV42" s="2"/>
      <c r="AW42" s="2"/>
      <c r="AX42" s="2"/>
    </row>
    <row r="43" spans="1:50" ht="16.149999999999999" thickBot="1" x14ac:dyDescent="0.55000000000000004">
      <c r="A43" s="8"/>
      <c r="B43" s="55" t="s">
        <v>3</v>
      </c>
      <c r="C43" s="56" t="s">
        <v>49</v>
      </c>
      <c r="D43" s="57" t="s">
        <v>50</v>
      </c>
      <c r="E43" s="58" t="s">
        <v>51</v>
      </c>
      <c r="F43" s="59" t="s">
        <v>52</v>
      </c>
      <c r="G43" s="60" t="s">
        <v>53</v>
      </c>
      <c r="H43" s="56" t="s">
        <v>54</v>
      </c>
      <c r="I43" s="61" t="s">
        <v>55</v>
      </c>
      <c r="J43" s="62" t="s">
        <v>56</v>
      </c>
      <c r="K43" s="63" t="s">
        <v>57</v>
      </c>
      <c r="L43" s="64" t="s">
        <v>58</v>
      </c>
      <c r="M43" s="65" t="s">
        <v>55</v>
      </c>
      <c r="N43" s="66" t="s">
        <v>56</v>
      </c>
      <c r="O43" s="67" t="s">
        <v>57</v>
      </c>
      <c r="P43" s="68" t="s">
        <v>58</v>
      </c>
      <c r="R43" s="2"/>
      <c r="S43" s="2"/>
      <c r="T43" s="27"/>
      <c r="U43" s="28"/>
      <c r="V43" s="28"/>
      <c r="W43" s="29"/>
      <c r="X43" s="28"/>
      <c r="Y43" s="28"/>
      <c r="Z43" s="28"/>
      <c r="AA43" s="7"/>
      <c r="AB43" s="7"/>
      <c r="AC43" s="7"/>
      <c r="AD43" s="7"/>
      <c r="AE43" s="7"/>
      <c r="AF43" s="7"/>
      <c r="AG43" s="7"/>
      <c r="AH43" s="7"/>
      <c r="AI43" s="2"/>
      <c r="AJ43" s="2"/>
      <c r="AK43" s="2"/>
      <c r="AL43" s="2"/>
      <c r="AM43" s="2"/>
      <c r="AN43" s="2"/>
      <c r="AO43" s="2"/>
      <c r="AP43" s="2"/>
      <c r="AQ43" s="2"/>
      <c r="AR43" s="2"/>
      <c r="AS43" s="2"/>
      <c r="AT43" s="2"/>
      <c r="AU43" s="2"/>
      <c r="AV43" s="2"/>
      <c r="AW43" s="2"/>
      <c r="AX43" s="2"/>
    </row>
    <row r="44" spans="1:50" x14ac:dyDescent="0.5">
      <c r="A44" s="8"/>
      <c r="B44" s="69" t="s">
        <v>59</v>
      </c>
      <c r="C44" s="70">
        <f>C84</f>
        <v>0.43349716171898534</v>
      </c>
      <c r="D44" s="71"/>
      <c r="E44" s="72">
        <v>1</v>
      </c>
      <c r="F44" s="73">
        <f t="shared" ref="F44:F60" si="0">G44*$C$74/$C$73</f>
        <v>15.853569770294911</v>
      </c>
      <c r="G44" s="74">
        <f>(C44*$C$71/$C$74+D44)*E44</f>
        <v>9.9084811064343192E-2</v>
      </c>
      <c r="H44" s="75">
        <f t="shared" ref="H44:H60" si="1">G44/$G$61</f>
        <v>0.18330121791096449</v>
      </c>
      <c r="I44" s="76">
        <f>G44</f>
        <v>9.9084811064343192E-2</v>
      </c>
      <c r="J44" s="77"/>
      <c r="K44" s="78"/>
      <c r="L44" s="79"/>
      <c r="N44" s="80"/>
      <c r="O44" s="81"/>
      <c r="P44" s="82"/>
      <c r="R44" s="2"/>
      <c r="S44" s="2"/>
      <c r="T44" s="27"/>
      <c r="U44" s="28"/>
      <c r="V44" s="28"/>
      <c r="W44" s="29"/>
      <c r="X44" s="28"/>
      <c r="Y44" s="28"/>
      <c r="Z44" s="28"/>
      <c r="AA44" s="7"/>
      <c r="AB44" s="7"/>
      <c r="AC44" s="7"/>
      <c r="AD44" s="7"/>
      <c r="AE44" s="7"/>
      <c r="AF44" s="7"/>
      <c r="AG44" s="7"/>
      <c r="AH44" s="7"/>
      <c r="AI44" s="2"/>
      <c r="AJ44" s="2"/>
      <c r="AK44" s="2"/>
      <c r="AL44" s="2"/>
      <c r="AM44" s="2"/>
      <c r="AN44" s="2"/>
      <c r="AO44" s="2"/>
      <c r="AP44" s="2"/>
      <c r="AQ44" s="2"/>
      <c r="AR44" s="2"/>
      <c r="AS44" s="2"/>
      <c r="AT44" s="2"/>
      <c r="AU44" s="2"/>
      <c r="AV44" s="2"/>
      <c r="AW44" s="2"/>
      <c r="AX44" s="2"/>
    </row>
    <row r="45" spans="1:50" x14ac:dyDescent="0.5">
      <c r="A45" s="8"/>
      <c r="B45" s="83" t="s">
        <v>60</v>
      </c>
      <c r="C45" s="84"/>
      <c r="D45" s="85" t="s">
        <v>61</v>
      </c>
      <c r="E45" s="86">
        <v>1</v>
      </c>
      <c r="F45" s="87">
        <f t="shared" si="0"/>
        <v>5.5209367590335923</v>
      </c>
      <c r="G45" s="88">
        <f>SUM(I45:L45)</f>
        <v>3.4505854743959952E-2</v>
      </c>
      <c r="H45" s="89">
        <f t="shared" si="1"/>
        <v>6.3833852350179257E-2</v>
      </c>
      <c r="I45" s="90">
        <f>(C158+M45)*E45</f>
        <v>8.4549370404401938E-3</v>
      </c>
      <c r="J45" s="91">
        <f>(C159+N45)*E45</f>
        <v>4.9717404059933584E-3</v>
      </c>
      <c r="K45" s="92">
        <f>(C160+O45)*E45</f>
        <v>1.5165879574537093E-2</v>
      </c>
      <c r="L45" s="93">
        <f>(C161+P45)*E45</f>
        <v>5.9132977229893087E-3</v>
      </c>
      <c r="M45" s="84"/>
      <c r="N45" s="94"/>
      <c r="O45" s="95"/>
      <c r="P45" s="96"/>
      <c r="R45" s="2"/>
      <c r="S45" s="2"/>
      <c r="T45" s="27"/>
      <c r="U45" s="28"/>
      <c r="V45" s="28"/>
      <c r="W45" s="29"/>
      <c r="X45" s="28"/>
      <c r="Y45" s="28"/>
      <c r="Z45" s="28"/>
      <c r="AA45" s="7"/>
      <c r="AB45" s="7"/>
      <c r="AC45" s="7"/>
      <c r="AD45" s="7"/>
      <c r="AE45" s="7"/>
      <c r="AF45" s="7"/>
      <c r="AG45" s="7"/>
      <c r="AH45" s="7"/>
      <c r="AI45" s="2"/>
      <c r="AJ45" s="2"/>
      <c r="AK45" s="2"/>
      <c r="AL45" s="2"/>
      <c r="AM45" s="2"/>
      <c r="AN45" s="2"/>
      <c r="AO45" s="2"/>
      <c r="AP45" s="2"/>
      <c r="AQ45" s="2"/>
      <c r="AR45" s="2"/>
      <c r="AS45" s="2"/>
      <c r="AT45" s="2"/>
      <c r="AU45" s="2"/>
      <c r="AV45" s="2"/>
      <c r="AW45" s="2"/>
      <c r="AX45" s="2"/>
    </row>
    <row r="46" spans="1:50" x14ac:dyDescent="0.5">
      <c r="A46" s="8"/>
      <c r="B46" s="97" t="s">
        <v>62</v>
      </c>
      <c r="C46" s="98"/>
      <c r="D46" s="85" t="s">
        <v>61</v>
      </c>
      <c r="E46" s="99">
        <v>1</v>
      </c>
      <c r="F46" s="100">
        <f t="shared" si="0"/>
        <v>16.700868546065642</v>
      </c>
      <c r="G46" s="101">
        <f>(SUM(I46:L46))</f>
        <v>0.10438042841291026</v>
      </c>
      <c r="H46" s="102">
        <f t="shared" si="1"/>
        <v>0.1930978062997987</v>
      </c>
      <c r="I46" s="103">
        <f>(L166+M46)*E46</f>
        <v>3.8714548866690519E-2</v>
      </c>
      <c r="J46" s="104">
        <f>(L167+N46)*E46</f>
        <v>2.2172114471531008E-2</v>
      </c>
      <c r="K46" s="105">
        <f>(L168+O46)*E46</f>
        <v>2.2357935895407494E-2</v>
      </c>
      <c r="L46" s="106">
        <f>(L169+P46)*E46</f>
        <v>2.1135829179281231E-2</v>
      </c>
      <c r="M46" s="107"/>
      <c r="N46" s="104"/>
      <c r="O46" s="105"/>
      <c r="P46" s="106"/>
      <c r="R46" s="2"/>
      <c r="S46" s="2"/>
      <c r="T46" s="7"/>
      <c r="U46" s="7"/>
      <c r="V46" s="7"/>
      <c r="W46" s="7"/>
      <c r="X46" s="7"/>
      <c r="Y46" s="7"/>
      <c r="Z46" s="7"/>
      <c r="AA46" s="7"/>
      <c r="AB46" s="7"/>
      <c r="AC46" s="7"/>
      <c r="AD46" s="7"/>
      <c r="AE46" s="7"/>
      <c r="AF46" s="7"/>
      <c r="AG46" s="7"/>
      <c r="AH46" s="7"/>
      <c r="AI46" s="2"/>
      <c r="AJ46" s="2"/>
      <c r="AK46" s="2"/>
      <c r="AL46" s="2"/>
      <c r="AM46" s="2"/>
      <c r="AN46" s="2"/>
      <c r="AO46" s="2"/>
      <c r="AP46" s="2"/>
      <c r="AQ46" s="2"/>
      <c r="AR46" s="2"/>
      <c r="AS46" s="2"/>
      <c r="AT46" s="2"/>
      <c r="AU46" s="2"/>
      <c r="AV46" s="2"/>
      <c r="AW46" s="2"/>
      <c r="AX46" s="2"/>
    </row>
    <row r="47" spans="1:50" x14ac:dyDescent="0.5">
      <c r="A47" s="8"/>
      <c r="B47" s="108" t="s">
        <v>63</v>
      </c>
      <c r="C47" s="109"/>
      <c r="D47" s="85" t="s">
        <v>61</v>
      </c>
      <c r="E47" s="110">
        <v>1</v>
      </c>
      <c r="F47" s="111">
        <f t="shared" si="0"/>
        <v>7.0785288111002709</v>
      </c>
      <c r="G47" s="112">
        <f>(SUM(I47:L47))</f>
        <v>4.4240805069376693E-2</v>
      </c>
      <c r="H47" s="113">
        <f t="shared" si="1"/>
        <v>8.184295214846081E-2</v>
      </c>
      <c r="I47" s="114">
        <f>(E179+M47)*E47</f>
        <v>8.1561429270077864E-3</v>
      </c>
      <c r="J47" s="115">
        <f>(E180+N47)*E47</f>
        <v>1.2671288611138237E-2</v>
      </c>
      <c r="K47" s="116">
        <f>(E181+O47)*E47</f>
        <v>2.0464131106988248E-2</v>
      </c>
      <c r="L47" s="117">
        <f>(E182+P47)*E47</f>
        <v>2.9492424242424241E-3</v>
      </c>
      <c r="M47" s="118"/>
      <c r="N47" s="115"/>
      <c r="O47" s="116"/>
      <c r="P47" s="117"/>
      <c r="R47" s="2"/>
      <c r="S47" s="2"/>
      <c r="T47" s="7"/>
      <c r="U47" s="7"/>
      <c r="V47" s="7"/>
      <c r="W47" s="7"/>
      <c r="X47" s="7"/>
      <c r="Y47" s="7"/>
      <c r="Z47" s="7"/>
      <c r="AA47" s="7"/>
      <c r="AB47" s="7"/>
      <c r="AC47" s="7"/>
      <c r="AD47" s="7"/>
      <c r="AE47" s="7"/>
      <c r="AF47" s="7"/>
      <c r="AG47" s="7"/>
      <c r="AH47" s="7"/>
      <c r="AI47" s="2"/>
      <c r="AJ47" s="2"/>
      <c r="AK47" s="2"/>
      <c r="AL47" s="2"/>
      <c r="AM47" s="2"/>
      <c r="AN47" s="2"/>
      <c r="AO47" s="2"/>
      <c r="AP47" s="2"/>
      <c r="AQ47" s="2"/>
      <c r="AR47" s="2"/>
      <c r="AS47" s="2"/>
      <c r="AT47" s="2"/>
      <c r="AU47" s="2"/>
      <c r="AV47" s="2"/>
      <c r="AW47" s="2"/>
      <c r="AX47" s="2"/>
    </row>
    <row r="48" spans="1:50" x14ac:dyDescent="0.5">
      <c r="A48" s="8"/>
      <c r="B48" s="119" t="s">
        <v>64</v>
      </c>
      <c r="C48" s="120">
        <f>C243</f>
        <v>0.13966192537621111</v>
      </c>
      <c r="D48" s="121"/>
      <c r="E48" s="122">
        <v>1</v>
      </c>
      <c r="F48" s="123">
        <f t="shared" si="0"/>
        <v>5.1076230105534144</v>
      </c>
      <c r="G48" s="124">
        <f>(C48*$C$71/$C$74+D48)*E48</f>
        <v>3.1922643815958843E-2</v>
      </c>
      <c r="H48" s="125">
        <f t="shared" si="1"/>
        <v>5.9055060281675092E-2</v>
      </c>
      <c r="I48" s="126"/>
      <c r="J48" s="127"/>
      <c r="K48" s="128">
        <f>G48</f>
        <v>3.1922643815958843E-2</v>
      </c>
      <c r="L48" s="129"/>
      <c r="N48" s="85"/>
      <c r="O48" s="130"/>
      <c r="P48" s="82"/>
      <c r="R48" s="2"/>
      <c r="S48" s="2"/>
      <c r="T48" s="7"/>
      <c r="U48" s="7"/>
      <c r="V48" s="7"/>
      <c r="W48" s="7"/>
      <c r="X48" s="7"/>
      <c r="Y48" s="7"/>
      <c r="Z48" s="7"/>
      <c r="AA48" s="7"/>
      <c r="AB48" s="7"/>
      <c r="AC48" s="7"/>
      <c r="AD48" s="7"/>
      <c r="AE48" s="7"/>
      <c r="AF48" s="7"/>
      <c r="AG48" s="7"/>
      <c r="AH48" s="7"/>
      <c r="AI48" s="2"/>
      <c r="AJ48" s="2"/>
      <c r="AK48" s="2"/>
      <c r="AL48" s="2"/>
      <c r="AM48" s="2"/>
      <c r="AN48" s="2"/>
      <c r="AO48" s="2"/>
      <c r="AP48" s="2"/>
      <c r="AQ48" s="2"/>
      <c r="AR48" s="2"/>
      <c r="AS48" s="2"/>
      <c r="AT48" s="2"/>
      <c r="AU48" s="2"/>
      <c r="AV48" s="2"/>
      <c r="AW48" s="2"/>
      <c r="AX48" s="2"/>
    </row>
    <row r="49" spans="1:50" x14ac:dyDescent="0.5">
      <c r="A49" s="8"/>
      <c r="B49" s="131" t="s">
        <v>65</v>
      </c>
      <c r="C49" s="132"/>
      <c r="D49" s="133"/>
      <c r="E49" s="134">
        <v>1</v>
      </c>
      <c r="F49" s="135">
        <f t="shared" si="0"/>
        <v>0.3988532035350919</v>
      </c>
      <c r="G49" s="136">
        <f>(C199+D49)*E49</f>
        <v>2.4928325220943243E-3</v>
      </c>
      <c r="H49" s="137">
        <f t="shared" si="1"/>
        <v>4.6115972008184585E-3</v>
      </c>
      <c r="I49" s="138">
        <f>G49</f>
        <v>2.4928325220943243E-3</v>
      </c>
      <c r="J49" s="139"/>
      <c r="K49" s="140"/>
      <c r="L49" s="141"/>
      <c r="N49" s="85"/>
      <c r="O49" s="81"/>
      <c r="P49" s="82"/>
      <c r="R49" s="2"/>
      <c r="S49" s="2"/>
      <c r="T49" s="7"/>
      <c r="U49" s="7"/>
      <c r="V49" s="7"/>
      <c r="W49" s="7"/>
      <c r="X49" s="7"/>
      <c r="Y49" s="7"/>
      <c r="Z49" s="7"/>
      <c r="AA49" s="7"/>
      <c r="AB49" s="7"/>
      <c r="AC49" s="7"/>
      <c r="AD49" s="7"/>
      <c r="AE49" s="7"/>
      <c r="AF49" s="7"/>
      <c r="AG49" s="7"/>
      <c r="AH49" s="7"/>
      <c r="AI49" s="2"/>
      <c r="AJ49" s="2"/>
      <c r="AK49" s="2"/>
      <c r="AL49" s="2"/>
      <c r="AM49" s="2"/>
      <c r="AN49" s="2"/>
      <c r="AO49" s="2"/>
      <c r="AP49" s="2"/>
      <c r="AQ49" s="2"/>
      <c r="AR49" s="2"/>
      <c r="AS49" s="2"/>
      <c r="AT49" s="2"/>
      <c r="AU49" s="2"/>
      <c r="AV49" s="2"/>
      <c r="AW49" s="2"/>
      <c r="AX49" s="2"/>
    </row>
    <row r="50" spans="1:50" x14ac:dyDescent="0.5">
      <c r="A50" s="8"/>
      <c r="B50" s="142" t="s">
        <v>66</v>
      </c>
      <c r="C50" s="143">
        <f>C216</f>
        <v>6.5413434387065844E-2</v>
      </c>
      <c r="D50" s="144"/>
      <c r="E50" s="145">
        <v>1</v>
      </c>
      <c r="F50" s="146">
        <f t="shared" si="0"/>
        <v>2.3922565994612346</v>
      </c>
      <c r="G50" s="147">
        <f>(C50*$C$71/$C$74+D50)*E50</f>
        <v>1.4951603746632717E-2</v>
      </c>
      <c r="H50" s="148">
        <f t="shared" si="1"/>
        <v>2.7659609450132665E-2</v>
      </c>
      <c r="I50" s="149"/>
      <c r="J50" s="150">
        <f>G50</f>
        <v>1.4951603746632717E-2</v>
      </c>
      <c r="K50" s="151"/>
      <c r="L50" s="152"/>
      <c r="N50" s="80"/>
      <c r="O50" s="81"/>
      <c r="P50" s="82"/>
      <c r="R50" s="2"/>
      <c r="S50" s="2"/>
      <c r="T50" s="7"/>
      <c r="U50" s="7"/>
      <c r="V50" s="7"/>
      <c r="W50" s="7"/>
      <c r="X50" s="7"/>
      <c r="Y50" s="7"/>
      <c r="Z50" s="7"/>
      <c r="AA50" s="7"/>
      <c r="AB50" s="7"/>
      <c r="AC50" s="7"/>
      <c r="AD50" s="7"/>
      <c r="AE50" s="7"/>
      <c r="AF50" s="7"/>
      <c r="AG50" s="7"/>
      <c r="AH50" s="7"/>
      <c r="AI50" s="2"/>
      <c r="AJ50" s="2"/>
      <c r="AK50" s="2"/>
      <c r="AL50" s="2"/>
      <c r="AM50" s="2"/>
      <c r="AN50" s="2"/>
      <c r="AO50" s="2"/>
      <c r="AP50" s="2"/>
      <c r="AQ50" s="2"/>
      <c r="AR50" s="2"/>
      <c r="AS50" s="2"/>
      <c r="AT50" s="2"/>
      <c r="AU50" s="2"/>
      <c r="AV50" s="2"/>
      <c r="AW50" s="2"/>
      <c r="AX50" s="2"/>
    </row>
    <row r="51" spans="1:50" x14ac:dyDescent="0.5">
      <c r="A51" s="8"/>
      <c r="B51" s="153" t="s">
        <v>67</v>
      </c>
      <c r="C51" s="154">
        <f>C228</f>
        <v>5.6418101530883495E-2</v>
      </c>
      <c r="D51" s="155"/>
      <c r="E51" s="156">
        <v>1</v>
      </c>
      <c r="F51" s="157">
        <f t="shared" si="0"/>
        <v>2.0632852713053218</v>
      </c>
      <c r="G51" s="158">
        <f>(C51*$C$71/$C$74+D51)*E51</f>
        <v>1.2895532945658261E-2</v>
      </c>
      <c r="H51" s="159">
        <f t="shared" si="1"/>
        <v>2.3855996384906621E-2</v>
      </c>
      <c r="I51" s="160"/>
      <c r="J51" s="161">
        <f>G51</f>
        <v>1.2895532945658261E-2</v>
      </c>
      <c r="K51" s="162"/>
      <c r="L51" s="163"/>
      <c r="N51" s="80"/>
      <c r="O51" s="81"/>
      <c r="P51" s="82"/>
      <c r="R51" s="2"/>
      <c r="S51" s="2"/>
      <c r="T51" s="7"/>
      <c r="U51" s="7"/>
      <c r="V51" s="7"/>
      <c r="W51" s="7"/>
      <c r="X51" s="7"/>
      <c r="Y51" s="7"/>
      <c r="Z51" s="7"/>
      <c r="AA51" s="7"/>
      <c r="AB51" s="7"/>
      <c r="AC51" s="7"/>
      <c r="AD51" s="7"/>
      <c r="AE51" s="7"/>
      <c r="AF51" s="7"/>
      <c r="AG51" s="7"/>
      <c r="AH51" s="7"/>
      <c r="AI51" s="2"/>
      <c r="AJ51" s="2"/>
      <c r="AK51" s="2"/>
      <c r="AL51" s="2"/>
      <c r="AM51" s="2"/>
      <c r="AN51" s="2"/>
      <c r="AO51" s="2"/>
      <c r="AP51" s="2"/>
      <c r="AQ51" s="2"/>
      <c r="AR51" s="2"/>
      <c r="AS51" s="2"/>
      <c r="AT51" s="2"/>
      <c r="AU51" s="2"/>
      <c r="AV51" s="2"/>
      <c r="AW51" s="2"/>
      <c r="AX51" s="2"/>
    </row>
    <row r="52" spans="1:50" x14ac:dyDescent="0.5">
      <c r="A52" s="8"/>
      <c r="B52" s="164" t="s">
        <v>68</v>
      </c>
      <c r="C52" s="165"/>
      <c r="D52" s="166"/>
      <c r="E52" s="167">
        <v>1</v>
      </c>
      <c r="F52" s="168">
        <f t="shared" si="0"/>
        <v>5.6565656565656566</v>
      </c>
      <c r="G52" s="169">
        <f>(F259+D52)*E52</f>
        <v>3.5353535353535352E-2</v>
      </c>
      <c r="H52" s="170">
        <f t="shared" si="1"/>
        <v>6.5402012863033029E-2</v>
      </c>
      <c r="I52" s="171"/>
      <c r="J52" s="172"/>
      <c r="K52" s="173"/>
      <c r="L52" s="174">
        <f>G52</f>
        <v>3.5353535353535352E-2</v>
      </c>
      <c r="N52" s="85"/>
      <c r="O52" s="81"/>
      <c r="P52" s="175"/>
      <c r="R52" s="2"/>
      <c r="S52" s="2"/>
      <c r="T52" s="7"/>
      <c r="U52" s="7"/>
      <c r="V52" s="7"/>
      <c r="W52" s="7"/>
      <c r="X52" s="7"/>
      <c r="Y52" s="7"/>
      <c r="Z52" s="7"/>
      <c r="AA52" s="7"/>
      <c r="AB52" s="7"/>
      <c r="AC52" s="7"/>
      <c r="AD52" s="7"/>
      <c r="AE52" s="7"/>
      <c r="AF52" s="7"/>
      <c r="AG52" s="7"/>
      <c r="AH52" s="7"/>
      <c r="AI52" s="2"/>
      <c r="AJ52" s="2"/>
      <c r="AK52" s="2"/>
      <c r="AL52" s="2"/>
      <c r="AM52" s="2"/>
      <c r="AN52" s="2"/>
      <c r="AO52" s="2"/>
      <c r="AP52" s="2"/>
      <c r="AQ52" s="2"/>
      <c r="AR52" s="2"/>
      <c r="AS52" s="2"/>
      <c r="AT52" s="2"/>
      <c r="AU52" s="2"/>
      <c r="AV52" s="2"/>
      <c r="AW52" s="2"/>
      <c r="AX52" s="2"/>
    </row>
    <row r="53" spans="1:50" x14ac:dyDescent="0.5">
      <c r="A53" s="8"/>
      <c r="B53" s="164" t="s">
        <v>69</v>
      </c>
      <c r="C53" s="165"/>
      <c r="D53" s="166"/>
      <c r="E53" s="167">
        <v>1</v>
      </c>
      <c r="F53" s="168">
        <f t="shared" si="0"/>
        <v>3.9018721070003126</v>
      </c>
      <c r="G53" s="169">
        <f>(F255+D53)*E53</f>
        <v>2.438670066875195E-2</v>
      </c>
      <c r="H53" s="170">
        <f t="shared" si="1"/>
        <v>4.5113997649040137E-2</v>
      </c>
      <c r="I53" s="171"/>
      <c r="J53" s="172"/>
      <c r="K53" s="173"/>
      <c r="L53" s="174">
        <f>G53</f>
        <v>2.438670066875195E-2</v>
      </c>
      <c r="N53" s="85"/>
      <c r="O53" s="81"/>
      <c r="P53" s="175"/>
      <c r="R53" s="2"/>
      <c r="S53" s="2"/>
      <c r="T53" s="7"/>
      <c r="U53" s="7"/>
      <c r="V53" s="7"/>
      <c r="W53" s="7"/>
      <c r="X53" s="7"/>
      <c r="Y53" s="7"/>
      <c r="Z53" s="7"/>
      <c r="AA53" s="7"/>
      <c r="AB53" s="7"/>
      <c r="AC53" s="7"/>
      <c r="AD53" s="7"/>
      <c r="AE53" s="7"/>
      <c r="AF53" s="7"/>
      <c r="AG53" s="7"/>
      <c r="AH53" s="7"/>
      <c r="AI53" s="2"/>
      <c r="AJ53" s="2"/>
      <c r="AK53" s="2"/>
      <c r="AL53" s="2"/>
      <c r="AM53" s="2"/>
      <c r="AN53" s="2"/>
      <c r="AO53" s="2"/>
      <c r="AP53" s="2"/>
      <c r="AQ53" s="2"/>
      <c r="AR53" s="2"/>
      <c r="AS53" s="2"/>
      <c r="AT53" s="2"/>
      <c r="AU53" s="2"/>
      <c r="AV53" s="2"/>
      <c r="AW53" s="2"/>
      <c r="AX53" s="2"/>
    </row>
    <row r="54" spans="1:50" x14ac:dyDescent="0.5">
      <c r="A54" s="8"/>
      <c r="B54" s="164" t="s">
        <v>70</v>
      </c>
      <c r="C54" s="165"/>
      <c r="D54" s="166"/>
      <c r="E54" s="167">
        <v>1</v>
      </c>
      <c r="F54" s="168">
        <f t="shared" si="0"/>
        <v>3.6363636363636367</v>
      </c>
      <c r="G54" s="169">
        <f>(F258+D54)*E54</f>
        <v>2.2727272727272728E-2</v>
      </c>
      <c r="H54" s="170">
        <f t="shared" si="1"/>
        <v>4.2044151126235517E-2</v>
      </c>
      <c r="I54" s="171"/>
      <c r="J54" s="172"/>
      <c r="K54" s="173"/>
      <c r="L54" s="174">
        <f>G54</f>
        <v>2.2727272727272728E-2</v>
      </c>
      <c r="N54" s="85"/>
      <c r="O54" s="81"/>
      <c r="P54" s="175"/>
      <c r="R54" s="2"/>
      <c r="S54" s="2"/>
      <c r="T54" s="7"/>
      <c r="U54" s="7"/>
      <c r="V54" s="7"/>
      <c r="W54" s="7"/>
      <c r="X54" s="7"/>
      <c r="Y54" s="7"/>
      <c r="Z54" s="7"/>
      <c r="AA54" s="7"/>
      <c r="AB54" s="7"/>
      <c r="AC54" s="7"/>
      <c r="AD54" s="7"/>
      <c r="AE54" s="7"/>
      <c r="AF54" s="7"/>
      <c r="AG54" s="7"/>
      <c r="AH54" s="7"/>
      <c r="AI54" s="2"/>
      <c r="AJ54" s="2"/>
      <c r="AK54" s="2"/>
      <c r="AL54" s="2"/>
      <c r="AM54" s="2"/>
      <c r="AN54" s="2"/>
      <c r="AO54" s="2"/>
      <c r="AP54" s="2"/>
      <c r="AQ54" s="2"/>
      <c r="AR54" s="2"/>
      <c r="AS54" s="2"/>
      <c r="AT54" s="2"/>
      <c r="AU54" s="2"/>
      <c r="AV54" s="2"/>
      <c r="AW54" s="2"/>
      <c r="AX54" s="2"/>
    </row>
    <row r="55" spans="1:50" x14ac:dyDescent="0.5">
      <c r="A55" s="8"/>
      <c r="B55" s="164" t="s">
        <v>71</v>
      </c>
      <c r="C55" s="165"/>
      <c r="D55" s="166"/>
      <c r="E55" s="167">
        <v>1</v>
      </c>
      <c r="F55" s="168">
        <f t="shared" si="0"/>
        <v>4.6175927586183994</v>
      </c>
      <c r="G55" s="169">
        <f>(F261+D55)*E55</f>
        <v>2.8859954741364997E-2</v>
      </c>
      <c r="H55" s="170">
        <f t="shared" si="1"/>
        <v>5.3389261140259756E-2</v>
      </c>
      <c r="I55" s="171"/>
      <c r="J55" s="172"/>
      <c r="K55" s="173"/>
      <c r="L55" s="174">
        <f>G55</f>
        <v>2.8859954741364997E-2</v>
      </c>
      <c r="N55" s="85"/>
      <c r="O55" s="81"/>
      <c r="P55" s="175"/>
      <c r="R55" s="2"/>
      <c r="S55" s="2"/>
      <c r="T55" s="7"/>
      <c r="U55" s="7"/>
      <c r="V55" s="7"/>
      <c r="W55" s="7"/>
      <c r="X55" s="7"/>
      <c r="Y55" s="7"/>
      <c r="Z55" s="7"/>
      <c r="AA55" s="7"/>
      <c r="AB55" s="7"/>
      <c r="AC55" s="7"/>
      <c r="AD55" s="7"/>
      <c r="AE55" s="7"/>
      <c r="AF55" s="7"/>
      <c r="AG55" s="7"/>
      <c r="AH55" s="7"/>
      <c r="AI55" s="2"/>
      <c r="AJ55" s="2"/>
      <c r="AK55" s="2"/>
      <c r="AL55" s="2"/>
      <c r="AM55" s="2"/>
      <c r="AN55" s="2"/>
      <c r="AO55" s="2"/>
      <c r="AP55" s="2"/>
      <c r="AQ55" s="2"/>
      <c r="AR55" s="2"/>
      <c r="AS55" s="2"/>
      <c r="AT55" s="2"/>
      <c r="AU55" s="2"/>
      <c r="AV55" s="2"/>
      <c r="AW55" s="2"/>
      <c r="AX55" s="2"/>
    </row>
    <row r="56" spans="1:50" x14ac:dyDescent="0.5">
      <c r="A56" s="7"/>
      <c r="B56" s="164" t="s">
        <v>72</v>
      </c>
      <c r="C56" s="165">
        <v>0.1</v>
      </c>
      <c r="D56" s="166"/>
      <c r="E56" s="167">
        <v>1</v>
      </c>
      <c r="F56" s="168">
        <f t="shared" si="0"/>
        <v>3.657133464825773</v>
      </c>
      <c r="G56" s="169">
        <f>(C56*$C$71/$C$74+D56)*E56</f>
        <v>2.2857084155161078E-2</v>
      </c>
      <c r="H56" s="170">
        <f t="shared" si="1"/>
        <v>4.2284294823085732E-2</v>
      </c>
      <c r="I56" s="171"/>
      <c r="J56" s="172"/>
      <c r="K56" s="173">
        <f>G56</f>
        <v>2.2857084155161078E-2</v>
      </c>
      <c r="L56" s="174"/>
      <c r="N56" s="85"/>
      <c r="O56" s="130"/>
      <c r="P56" s="82"/>
      <c r="R56" s="2"/>
      <c r="S56" s="2"/>
      <c r="T56" s="7"/>
      <c r="U56" s="7"/>
      <c r="V56" s="7"/>
      <c r="W56" s="7"/>
      <c r="X56" s="7"/>
      <c r="Y56" s="7"/>
      <c r="Z56" s="7"/>
      <c r="AA56" s="7"/>
      <c r="AB56" s="7"/>
      <c r="AC56" s="7"/>
      <c r="AD56" s="7"/>
      <c r="AE56" s="7"/>
      <c r="AF56" s="7"/>
      <c r="AG56" s="7"/>
      <c r="AH56" s="7"/>
      <c r="AI56" s="2"/>
      <c r="AJ56" s="2"/>
      <c r="AK56" s="2"/>
      <c r="AL56" s="2"/>
      <c r="AM56" s="2"/>
      <c r="AN56" s="2"/>
      <c r="AO56" s="2"/>
      <c r="AP56" s="2"/>
      <c r="AQ56" s="2"/>
      <c r="AR56" s="2"/>
      <c r="AS56" s="2"/>
      <c r="AT56" s="2"/>
      <c r="AU56" s="2"/>
      <c r="AV56" s="2"/>
      <c r="AW56" s="2"/>
      <c r="AX56" s="2"/>
    </row>
    <row r="57" spans="1:50" x14ac:dyDescent="0.5">
      <c r="A57" s="8"/>
      <c r="B57" s="164" t="s">
        <v>73</v>
      </c>
      <c r="C57" s="165"/>
      <c r="D57" s="166"/>
      <c r="E57" s="167">
        <v>1</v>
      </c>
      <c r="F57" s="168">
        <f t="shared" si="0"/>
        <v>4.7979797979797985</v>
      </c>
      <c r="G57" s="169">
        <f>(F257+D57)*E57</f>
        <v>2.9987373737373736E-2</v>
      </c>
      <c r="H57" s="170">
        <f t="shared" si="1"/>
        <v>5.5474921624894084E-2</v>
      </c>
      <c r="I57" s="171"/>
      <c r="J57" s="172"/>
      <c r="K57" s="173"/>
      <c r="L57" s="174">
        <f>G57</f>
        <v>2.9987373737373736E-2</v>
      </c>
      <c r="N57" s="85"/>
      <c r="O57" s="81"/>
      <c r="P57" s="175"/>
      <c r="R57" s="2"/>
      <c r="S57" s="2"/>
      <c r="T57" s="7"/>
      <c r="U57" s="7"/>
      <c r="V57" s="7"/>
      <c r="W57" s="7"/>
      <c r="X57" s="7"/>
      <c r="Y57" s="7"/>
      <c r="Z57" s="7"/>
      <c r="AA57" s="7"/>
      <c r="AB57" s="7"/>
      <c r="AC57" s="7"/>
      <c r="AD57" s="7"/>
      <c r="AE57" s="7"/>
      <c r="AF57" s="7"/>
      <c r="AG57" s="7"/>
      <c r="AH57" s="7"/>
      <c r="AI57" s="2"/>
      <c r="AJ57" s="2"/>
      <c r="AK57" s="2"/>
      <c r="AL57" s="2"/>
      <c r="AM57" s="2"/>
      <c r="AN57" s="2"/>
      <c r="AO57" s="2"/>
      <c r="AP57" s="2"/>
      <c r="AQ57" s="2"/>
      <c r="AR57" s="2"/>
      <c r="AS57" s="2"/>
      <c r="AT57" s="2"/>
      <c r="AU57" s="2"/>
      <c r="AV57" s="2"/>
      <c r="AW57" s="2"/>
      <c r="AX57" s="2"/>
    </row>
    <row r="58" spans="1:50" x14ac:dyDescent="0.5">
      <c r="A58" s="8"/>
      <c r="B58" s="164" t="s">
        <v>74</v>
      </c>
      <c r="C58" s="165"/>
      <c r="D58" s="176"/>
      <c r="E58" s="167">
        <v>1</v>
      </c>
      <c r="F58" s="168">
        <f t="shared" si="0"/>
        <v>3.786426062067088</v>
      </c>
      <c r="G58" s="169">
        <f>(F262+D58)*E58</f>
        <v>2.3665162887919297E-2</v>
      </c>
      <c r="H58" s="170">
        <f t="shared" si="1"/>
        <v>4.3779194135013001E-2</v>
      </c>
      <c r="I58" s="171"/>
      <c r="J58" s="172"/>
      <c r="K58" s="173"/>
      <c r="L58" s="174">
        <f>G58</f>
        <v>2.3665162887919297E-2</v>
      </c>
      <c r="N58" s="85"/>
      <c r="O58" s="81"/>
      <c r="P58" s="175"/>
      <c r="R58" s="2"/>
      <c r="S58" s="2"/>
      <c r="T58" s="7"/>
      <c r="U58" s="7"/>
      <c r="V58" s="7"/>
      <c r="W58" s="7"/>
      <c r="X58" s="7"/>
      <c r="Y58" s="7"/>
      <c r="Z58" s="7"/>
      <c r="AA58" s="7"/>
      <c r="AB58" s="7"/>
      <c r="AC58" s="7"/>
      <c r="AD58" s="7"/>
      <c r="AE58" s="7"/>
      <c r="AF58" s="7"/>
      <c r="AG58" s="7"/>
      <c r="AH58" s="7"/>
      <c r="AI58" s="2"/>
      <c r="AJ58" s="2"/>
      <c r="AK58" s="2"/>
      <c r="AL58" s="2"/>
      <c r="AM58" s="2"/>
      <c r="AN58" s="2"/>
      <c r="AO58" s="2"/>
      <c r="AP58" s="2"/>
      <c r="AQ58" s="2"/>
      <c r="AR58" s="2"/>
      <c r="AS58" s="2"/>
      <c r="AT58" s="2"/>
      <c r="AU58" s="2"/>
      <c r="AV58" s="2"/>
      <c r="AW58" s="2"/>
      <c r="AX58" s="2"/>
    </row>
    <row r="59" spans="1:50" x14ac:dyDescent="0.5">
      <c r="A59" s="8"/>
      <c r="B59" s="164" t="s">
        <v>75</v>
      </c>
      <c r="C59" s="165">
        <f>C251</f>
        <v>3.6075036075036079E-2</v>
      </c>
      <c r="D59" s="176"/>
      <c r="E59" s="167">
        <v>1</v>
      </c>
      <c r="F59" s="168">
        <f t="shared" si="0"/>
        <v>1.3193122167481146</v>
      </c>
      <c r="G59" s="169">
        <f>(C59*$C$71/$C$74+D59)*E59</f>
        <v>8.2457013546757153E-3</v>
      </c>
      <c r="H59" s="170">
        <f t="shared" si="1"/>
        <v>1.5254074611502791E-2</v>
      </c>
      <c r="I59" s="171"/>
      <c r="J59" s="172"/>
      <c r="K59" s="173">
        <f>G59</f>
        <v>8.2457013546757153E-3</v>
      </c>
      <c r="L59" s="174"/>
      <c r="N59" s="85"/>
      <c r="O59" s="130"/>
      <c r="P59" s="82"/>
      <c r="R59" s="2"/>
      <c r="S59" s="2"/>
      <c r="T59" s="7"/>
      <c r="U59" s="7"/>
      <c r="V59" s="7"/>
      <c r="W59" s="7"/>
      <c r="X59" s="7"/>
      <c r="Y59" s="7"/>
      <c r="Z59" s="7"/>
      <c r="AA59" s="7"/>
      <c r="AB59" s="7"/>
      <c r="AC59" s="7"/>
      <c r="AD59" s="7"/>
      <c r="AE59" s="7"/>
      <c r="AF59" s="7"/>
      <c r="AG59" s="7"/>
      <c r="AH59" s="7"/>
      <c r="AI59" s="2"/>
      <c r="AJ59" s="2"/>
      <c r="AK59" s="2"/>
      <c r="AL59" s="2"/>
      <c r="AM59" s="2"/>
      <c r="AN59" s="2"/>
      <c r="AO59" s="2"/>
      <c r="AP59" s="2"/>
      <c r="AQ59" s="2"/>
      <c r="AR59" s="2"/>
      <c r="AS59" s="2"/>
      <c r="AT59" s="2"/>
      <c r="AU59" s="2"/>
      <c r="AV59" s="2"/>
      <c r="AW59" s="2"/>
      <c r="AX59" s="2"/>
    </row>
    <row r="60" spans="1:50" ht="16.149999999999999" thickBot="1" x14ac:dyDescent="0.55000000000000004">
      <c r="A60" s="8"/>
      <c r="B60" s="177" t="s">
        <v>76</v>
      </c>
      <c r="C60" s="178"/>
      <c r="D60" s="179"/>
      <c r="E60" s="180">
        <v>1</v>
      </c>
      <c r="F60" s="181">
        <f t="shared" si="0"/>
        <v>0</v>
      </c>
      <c r="G60" s="182">
        <f>(C267+D60)*E60</f>
        <v>0</v>
      </c>
      <c r="H60" s="183">
        <f t="shared" si="1"/>
        <v>0</v>
      </c>
      <c r="I60" s="184"/>
      <c r="J60" s="185"/>
      <c r="K60" s="186"/>
      <c r="L60" s="187">
        <f>G60</f>
        <v>0</v>
      </c>
      <c r="N60" s="85"/>
      <c r="O60" s="81"/>
      <c r="P60" s="82"/>
      <c r="R60" s="2"/>
      <c r="S60" s="2"/>
      <c r="T60" s="7"/>
      <c r="U60" s="7"/>
      <c r="V60" s="7"/>
      <c r="W60" s="7"/>
      <c r="X60" s="7"/>
      <c r="Y60" s="7"/>
      <c r="Z60" s="7"/>
      <c r="AA60" s="7"/>
      <c r="AB60" s="7"/>
      <c r="AC60" s="7"/>
      <c r="AD60" s="7"/>
      <c r="AE60" s="7"/>
      <c r="AF60" s="7"/>
      <c r="AG60" s="7"/>
      <c r="AH60" s="7"/>
      <c r="AI60" s="2"/>
      <c r="AJ60" s="2"/>
      <c r="AK60" s="2"/>
      <c r="AL60" s="2"/>
      <c r="AM60" s="2"/>
      <c r="AN60" s="2"/>
      <c r="AO60" s="2"/>
      <c r="AP60" s="2"/>
      <c r="AQ60" s="2"/>
      <c r="AR60" s="2"/>
      <c r="AS60" s="2"/>
      <c r="AT60" s="2"/>
      <c r="AU60" s="2"/>
      <c r="AV60" s="2"/>
      <c r="AW60" s="2"/>
      <c r="AX60" s="2"/>
    </row>
    <row r="61" spans="1:50" ht="18.399999999999999" thickBot="1" x14ac:dyDescent="0.6">
      <c r="A61" s="8"/>
      <c r="B61" s="188" t="s">
        <v>77</v>
      </c>
      <c r="C61" s="189"/>
      <c r="D61" s="190"/>
      <c r="E61" s="191"/>
      <c r="F61" s="192">
        <f t="shared" ref="F61:L61" si="2">SUM(F44:F60)</f>
        <v>86.48916767151826</v>
      </c>
      <c r="G61" s="193">
        <f t="shared" si="2"/>
        <v>0.54055729794698903</v>
      </c>
      <c r="H61" s="194">
        <f t="shared" si="2"/>
        <v>1.0000000000000002</v>
      </c>
      <c r="I61" s="195">
        <f t="shared" si="2"/>
        <v>0.156903272420576</v>
      </c>
      <c r="J61" s="196">
        <f t="shared" si="2"/>
        <v>6.7662280180953577E-2</v>
      </c>
      <c r="K61" s="197">
        <f t="shared" si="2"/>
        <v>0.12101337590272847</v>
      </c>
      <c r="L61" s="198">
        <f t="shared" si="2"/>
        <v>0.194978369442731</v>
      </c>
      <c r="M61" s="199"/>
      <c r="N61" s="196"/>
      <c r="O61" s="197"/>
      <c r="P61" s="198"/>
      <c r="R61" s="2"/>
      <c r="S61" s="2"/>
      <c r="T61" s="7"/>
      <c r="U61" s="7"/>
      <c r="V61" s="7"/>
      <c r="W61" s="7"/>
      <c r="X61" s="7"/>
      <c r="Y61" s="7"/>
      <c r="Z61" s="7"/>
      <c r="AA61" s="7"/>
      <c r="AB61" s="7"/>
      <c r="AC61" s="7"/>
      <c r="AD61" s="7"/>
      <c r="AE61" s="7"/>
      <c r="AF61" s="7"/>
      <c r="AG61" s="7"/>
      <c r="AH61" s="7"/>
      <c r="AI61" s="2"/>
      <c r="AJ61" s="2"/>
      <c r="AK61" s="2"/>
      <c r="AL61" s="2"/>
      <c r="AM61" s="2"/>
      <c r="AN61" s="2"/>
      <c r="AO61" s="2"/>
      <c r="AP61" s="2"/>
      <c r="AQ61" s="2"/>
      <c r="AR61" s="2"/>
      <c r="AS61" s="2"/>
      <c r="AT61" s="2"/>
      <c r="AU61" s="2"/>
      <c r="AV61" s="2"/>
      <c r="AW61" s="2"/>
      <c r="AX61" s="2"/>
    </row>
    <row r="62" spans="1:50" x14ac:dyDescent="0.5">
      <c r="A62" s="8"/>
      <c r="B62" s="200" t="s">
        <v>78</v>
      </c>
      <c r="C62" s="201"/>
      <c r="D62" s="81" t="s">
        <v>61</v>
      </c>
      <c r="E62" s="82" t="s">
        <v>61</v>
      </c>
      <c r="F62" s="202">
        <f>G62*$C$74/$C$73</f>
        <v>14.903300218590896</v>
      </c>
      <c r="G62" s="203">
        <f>SUM(I62:L62)</f>
        <v>9.3145626366193099E-2</v>
      </c>
      <c r="H62" s="204"/>
      <c r="I62" s="205">
        <f>K114</f>
        <v>2.323954683502388E-2</v>
      </c>
      <c r="J62" s="206">
        <f>K125</f>
        <v>1.3367408950792888E-2</v>
      </c>
      <c r="K62" s="207">
        <f>K140</f>
        <v>4.1249460493984876E-2</v>
      </c>
      <c r="L62" s="208">
        <f>K151</f>
        <v>1.5289210086391461E-2</v>
      </c>
      <c r="N62" s="85"/>
      <c r="O62" s="81"/>
      <c r="P62" s="82"/>
      <c r="R62" s="2"/>
      <c r="S62" s="2"/>
      <c r="T62" s="7"/>
      <c r="U62" s="7"/>
      <c r="V62" s="7"/>
      <c r="W62" s="7"/>
      <c r="X62" s="7"/>
      <c r="Y62" s="7"/>
      <c r="Z62" s="7"/>
      <c r="AA62" s="7"/>
      <c r="AB62" s="7"/>
      <c r="AC62" s="7"/>
      <c r="AD62" s="7"/>
      <c r="AE62" s="7"/>
      <c r="AF62" s="7"/>
      <c r="AG62" s="7"/>
      <c r="AH62" s="7"/>
      <c r="AI62" s="2"/>
      <c r="AJ62" s="2"/>
      <c r="AK62" s="2"/>
      <c r="AL62" s="2"/>
      <c r="AM62" s="2"/>
      <c r="AN62" s="2"/>
      <c r="AO62" s="2"/>
      <c r="AP62" s="2"/>
      <c r="AQ62" s="2"/>
      <c r="AR62" s="2"/>
      <c r="AS62" s="2"/>
      <c r="AT62" s="2"/>
      <c r="AU62" s="2"/>
      <c r="AV62" s="2"/>
      <c r="AW62" s="2"/>
      <c r="AX62" s="2"/>
    </row>
    <row r="63" spans="1:50" x14ac:dyDescent="0.5">
      <c r="A63" s="8"/>
      <c r="B63" s="209" t="s">
        <v>30</v>
      </c>
      <c r="C63" s="7"/>
      <c r="D63" s="38"/>
      <c r="E63" s="21"/>
      <c r="F63" s="210">
        <f>G63*$C$74/$C$73</f>
        <v>12.805404461894865</v>
      </c>
      <c r="G63" s="211">
        <f>$C$25*C33</f>
        <v>8.0033777886842905E-2</v>
      </c>
      <c r="H63" s="22"/>
      <c r="I63" s="20"/>
      <c r="J63" s="212"/>
      <c r="K63" s="38"/>
      <c r="L63" s="21"/>
      <c r="N63" s="212"/>
      <c r="O63" s="38"/>
      <c r="P63" s="21"/>
      <c r="R63" s="2"/>
      <c r="S63" s="2"/>
      <c r="T63" s="7"/>
      <c r="U63" s="7"/>
      <c r="V63" s="7"/>
      <c r="W63" s="7"/>
      <c r="X63" s="7"/>
      <c r="Y63" s="7"/>
      <c r="Z63" s="7"/>
      <c r="AA63" s="7"/>
      <c r="AB63" s="7"/>
      <c r="AC63" s="7"/>
      <c r="AD63" s="7"/>
      <c r="AE63" s="7"/>
      <c r="AF63" s="7"/>
      <c r="AG63" s="7"/>
      <c r="AH63" s="7"/>
      <c r="AI63" s="2"/>
      <c r="AJ63" s="2"/>
      <c r="AK63" s="2"/>
      <c r="AL63" s="2"/>
      <c r="AM63" s="2"/>
      <c r="AN63" s="2"/>
      <c r="AO63" s="2"/>
      <c r="AP63" s="2"/>
      <c r="AQ63" s="2"/>
      <c r="AR63" s="2"/>
      <c r="AS63" s="2"/>
      <c r="AT63" s="2"/>
      <c r="AU63" s="2"/>
      <c r="AV63" s="2"/>
      <c r="AW63" s="2"/>
      <c r="AX63" s="2"/>
    </row>
    <row r="64" spans="1:50" ht="16.149999999999999" thickBot="1" x14ac:dyDescent="0.55000000000000004">
      <c r="A64" s="8"/>
      <c r="B64" s="209" t="s">
        <v>32</v>
      </c>
      <c r="C64" s="22"/>
      <c r="D64" s="38"/>
      <c r="E64" s="21"/>
      <c r="F64" s="213">
        <f>G64*$C$74/$C$73</f>
        <v>1.4985047774557823</v>
      </c>
      <c r="G64" s="214">
        <f>$C$26*C33</f>
        <v>9.3656548590986387E-3</v>
      </c>
      <c r="H64" s="215"/>
      <c r="I64" s="20"/>
      <c r="J64" s="212"/>
      <c r="L64" s="216"/>
      <c r="N64" s="212"/>
      <c r="O64" s="38"/>
      <c r="P64" s="21"/>
      <c r="Q64" s="28"/>
      <c r="R64" s="28"/>
      <c r="S64" s="2"/>
      <c r="T64" s="2"/>
      <c r="U64" s="2"/>
      <c r="V64" s="2"/>
      <c r="W64" s="2"/>
      <c r="X64" s="2"/>
      <c r="Y64" s="2"/>
      <c r="Z64" s="7"/>
      <c r="AA64" s="7"/>
      <c r="AB64" s="7"/>
      <c r="AC64" s="7"/>
      <c r="AD64" s="7"/>
      <c r="AE64" s="7"/>
      <c r="AF64" s="7"/>
      <c r="AG64" s="7"/>
      <c r="AH64" s="7"/>
      <c r="AI64" s="7"/>
      <c r="AJ64" s="7"/>
      <c r="AK64" s="7"/>
      <c r="AL64" s="7"/>
      <c r="AM64" s="7"/>
      <c r="AN64" s="7"/>
      <c r="AO64" s="2"/>
      <c r="AP64" s="2"/>
      <c r="AQ64" s="2"/>
      <c r="AR64" s="2"/>
      <c r="AS64" s="2"/>
      <c r="AT64" s="2"/>
      <c r="AU64" s="2"/>
      <c r="AV64" s="2"/>
      <c r="AW64" s="2"/>
      <c r="AX64" s="2"/>
    </row>
    <row r="65" spans="1:50" ht="18.399999999999999" thickBot="1" x14ac:dyDescent="0.6">
      <c r="A65" s="8"/>
      <c r="B65" s="188" t="s">
        <v>79</v>
      </c>
      <c r="C65" s="190"/>
      <c r="D65" s="190"/>
      <c r="E65" s="191"/>
      <c r="F65" s="217">
        <f>SUM(F62:F64)</f>
        <v>29.207209457941541</v>
      </c>
      <c r="G65" s="193">
        <f>SUM(G62:G64)</f>
        <v>0.18254505911213464</v>
      </c>
      <c r="H65" s="218"/>
      <c r="I65" s="199"/>
      <c r="J65" s="219"/>
      <c r="K65" s="220"/>
      <c r="L65" s="221"/>
      <c r="M65" s="199"/>
      <c r="N65" s="219"/>
      <c r="O65" s="222"/>
      <c r="P65" s="223"/>
      <c r="Q65" s="28"/>
      <c r="R65" s="28"/>
      <c r="S65" s="2"/>
      <c r="T65" s="2"/>
      <c r="U65" s="2"/>
      <c r="V65" s="2"/>
      <c r="W65" s="2"/>
      <c r="X65" s="2"/>
      <c r="Y65" s="2"/>
      <c r="Z65" s="7"/>
      <c r="AA65" s="7"/>
      <c r="AB65" s="7"/>
      <c r="AC65" s="7"/>
      <c r="AD65" s="7"/>
      <c r="AE65" s="7"/>
      <c r="AF65" s="7"/>
      <c r="AG65" s="7"/>
      <c r="AH65" s="7"/>
      <c r="AI65" s="7"/>
      <c r="AJ65" s="7"/>
      <c r="AK65" s="7"/>
      <c r="AL65" s="7"/>
      <c r="AM65" s="7"/>
      <c r="AN65" s="7"/>
      <c r="AO65" s="2"/>
      <c r="AP65" s="2"/>
      <c r="AQ65" s="2"/>
      <c r="AR65" s="2"/>
      <c r="AS65" s="2"/>
      <c r="AT65" s="2"/>
      <c r="AU65" s="2"/>
      <c r="AV65" s="2"/>
      <c r="AW65" s="2"/>
      <c r="AX65" s="2"/>
    </row>
    <row r="66" spans="1:50" ht="18.399999999999999" thickBot="1" x14ac:dyDescent="0.6">
      <c r="A66" s="8"/>
      <c r="B66" s="188" t="s">
        <v>38</v>
      </c>
      <c r="C66" s="190"/>
      <c r="D66" s="190"/>
      <c r="E66" s="191"/>
      <c r="F66" s="217">
        <f>C34</f>
        <v>136.22770704143474</v>
      </c>
      <c r="G66" s="193">
        <f>C33</f>
        <v>0.85142316900896708</v>
      </c>
      <c r="H66" s="218"/>
      <c r="I66" s="224"/>
      <c r="J66" s="225"/>
      <c r="K66" s="53"/>
      <c r="L66" s="226"/>
      <c r="M66" s="199"/>
      <c r="N66" s="219"/>
      <c r="O66" s="222"/>
      <c r="P66" s="223"/>
      <c r="Q66" s="28"/>
      <c r="R66" s="28"/>
      <c r="S66" s="2"/>
      <c r="T66" s="2"/>
      <c r="U66" s="2"/>
      <c r="V66" s="2"/>
      <c r="W66" s="2"/>
      <c r="X66" s="2"/>
      <c r="Y66" s="2"/>
      <c r="Z66" s="7"/>
      <c r="AA66" s="7"/>
      <c r="AB66" s="7"/>
      <c r="AC66" s="7"/>
      <c r="AD66" s="7"/>
      <c r="AE66" s="7"/>
      <c r="AF66" s="7"/>
      <c r="AG66" s="7"/>
      <c r="AH66" s="7"/>
      <c r="AI66" s="7"/>
      <c r="AJ66" s="7"/>
      <c r="AK66" s="7"/>
      <c r="AL66" s="7"/>
      <c r="AM66" s="7"/>
      <c r="AN66" s="7"/>
      <c r="AO66" s="2"/>
      <c r="AP66" s="2"/>
      <c r="AQ66" s="2"/>
      <c r="AR66" s="2"/>
      <c r="AS66" s="2"/>
      <c r="AT66" s="2"/>
      <c r="AU66" s="2"/>
      <c r="AV66" s="2"/>
      <c r="AW66" s="2"/>
      <c r="AX66" s="2"/>
    </row>
    <row r="67" spans="1:50" x14ac:dyDescent="0.5">
      <c r="A67" s="8"/>
      <c r="G67" s="45"/>
      <c r="K67" s="48"/>
      <c r="Q67" s="28"/>
      <c r="R67" s="28"/>
      <c r="S67" s="2"/>
      <c r="T67" s="2"/>
      <c r="U67" s="2"/>
      <c r="V67" s="2"/>
      <c r="W67" s="2"/>
      <c r="X67" s="2"/>
      <c r="Y67" s="2"/>
      <c r="Z67" s="7"/>
      <c r="AA67" s="7"/>
      <c r="AB67" s="7"/>
      <c r="AC67" s="7"/>
      <c r="AD67" s="7"/>
      <c r="AE67" s="7"/>
      <c r="AF67" s="7"/>
      <c r="AG67" s="7"/>
      <c r="AH67" s="7"/>
      <c r="AI67" s="7"/>
      <c r="AJ67" s="7"/>
      <c r="AK67" s="7"/>
      <c r="AL67" s="7"/>
      <c r="AM67" s="7"/>
      <c r="AN67" s="7"/>
      <c r="AO67" s="2"/>
      <c r="AP67" s="2"/>
      <c r="AQ67" s="2"/>
      <c r="AR67" s="2"/>
      <c r="AS67" s="2"/>
      <c r="AT67" s="2"/>
      <c r="AU67" s="2"/>
      <c r="AV67" s="2"/>
      <c r="AW67" s="2"/>
      <c r="AX67" s="2"/>
    </row>
    <row r="68" spans="1:50" s="229" customFormat="1" ht="28.5" x14ac:dyDescent="0.85">
      <c r="A68" s="227"/>
      <c r="B68" s="228" t="s">
        <v>80</v>
      </c>
      <c r="G68" s="230"/>
      <c r="I68" s="230"/>
      <c r="J68" s="230"/>
      <c r="K68" s="230"/>
      <c r="Q68" s="231"/>
      <c r="R68" s="231"/>
      <c r="S68" s="232"/>
      <c r="T68" s="232"/>
      <c r="U68" s="232"/>
      <c r="V68" s="232"/>
      <c r="W68" s="232"/>
      <c r="X68" s="232"/>
      <c r="Y68" s="232"/>
      <c r="Z68" s="232"/>
      <c r="AA68" s="232"/>
      <c r="AB68" s="233"/>
      <c r="AC68" s="232"/>
      <c r="AD68" s="232"/>
      <c r="AE68" s="232"/>
      <c r="AF68" s="232"/>
      <c r="AG68" s="232"/>
      <c r="AH68" s="232"/>
      <c r="AI68" s="232"/>
      <c r="AJ68" s="232"/>
      <c r="AK68" s="232"/>
      <c r="AL68" s="232"/>
      <c r="AM68" s="232"/>
      <c r="AN68" s="232"/>
      <c r="AO68" s="232"/>
      <c r="AP68" s="232"/>
      <c r="AQ68" s="232"/>
      <c r="AR68" s="232"/>
      <c r="AS68" s="232"/>
      <c r="AT68" s="232"/>
      <c r="AU68" s="232"/>
      <c r="AV68" s="232"/>
      <c r="AW68" s="232"/>
      <c r="AX68" s="232"/>
    </row>
    <row r="69" spans="1:50" x14ac:dyDescent="0.5">
      <c r="A69" s="8"/>
      <c r="E69" s="22"/>
      <c r="Q69" s="28"/>
      <c r="R69" s="28"/>
      <c r="S69" s="2"/>
      <c r="T69" s="2"/>
      <c r="U69" s="2"/>
      <c r="V69" s="2"/>
      <c r="W69" s="2"/>
      <c r="X69" s="2"/>
      <c r="Y69" s="2"/>
      <c r="Z69" s="7"/>
      <c r="AA69" s="7"/>
      <c r="AB69" s="7"/>
      <c r="AC69" s="7"/>
      <c r="AD69" s="7"/>
      <c r="AE69" s="7"/>
      <c r="AF69" s="7"/>
      <c r="AG69" s="7"/>
      <c r="AH69" s="7"/>
      <c r="AI69" s="7"/>
      <c r="AJ69" s="7"/>
      <c r="AK69" s="7"/>
      <c r="AL69" s="7"/>
      <c r="AM69" s="7"/>
      <c r="AN69" s="7"/>
      <c r="AO69" s="2"/>
      <c r="AP69" s="2"/>
      <c r="AQ69" s="2"/>
      <c r="AR69" s="2"/>
      <c r="AS69" s="2"/>
      <c r="AT69" s="2"/>
      <c r="AU69" s="2"/>
      <c r="AV69" s="2"/>
      <c r="AW69" s="2"/>
      <c r="AX69" s="2"/>
    </row>
    <row r="70" spans="1:50" x14ac:dyDescent="0.5">
      <c r="A70" s="8"/>
      <c r="B70" s="234" t="s">
        <v>81</v>
      </c>
      <c r="C70" s="235"/>
      <c r="D70" s="236"/>
      <c r="H70" s="45"/>
      <c r="I70" s="45"/>
      <c r="Q70" s="28"/>
      <c r="R70" s="28"/>
      <c r="S70" s="2"/>
      <c r="T70" s="2"/>
      <c r="U70" s="2"/>
      <c r="V70" s="2"/>
      <c r="W70" s="2"/>
      <c r="X70" s="2"/>
      <c r="Y70" s="2"/>
      <c r="Z70" s="7"/>
      <c r="AA70" s="7"/>
      <c r="AB70" s="7"/>
      <c r="AC70" s="7"/>
      <c r="AD70" s="7"/>
      <c r="AE70" s="7"/>
      <c r="AF70" s="7"/>
      <c r="AG70" s="7"/>
      <c r="AH70" s="7"/>
      <c r="AI70" s="7"/>
      <c r="AJ70" s="7"/>
      <c r="AK70" s="7"/>
      <c r="AL70" s="7"/>
      <c r="AM70" s="7"/>
      <c r="AN70" s="7"/>
      <c r="AO70" s="2"/>
      <c r="AP70" s="2"/>
      <c r="AQ70" s="2"/>
      <c r="AR70" s="2"/>
      <c r="AS70" s="2"/>
      <c r="AT70" s="2"/>
      <c r="AU70" s="2"/>
      <c r="AV70" s="2"/>
      <c r="AW70" s="2"/>
      <c r="AX70" s="2"/>
    </row>
    <row r="71" spans="1:50" x14ac:dyDescent="0.5">
      <c r="A71" s="8"/>
      <c r="B71" s="237" t="s">
        <v>82</v>
      </c>
      <c r="C71" s="238">
        <v>60</v>
      </c>
      <c r="D71" s="236" t="s">
        <v>83</v>
      </c>
      <c r="H71" s="239"/>
      <c r="Q71" s="28"/>
      <c r="R71" s="28"/>
      <c r="S71" s="2"/>
      <c r="T71" s="2"/>
      <c r="U71" s="2"/>
      <c r="V71" s="2"/>
      <c r="W71" s="2"/>
      <c r="X71" s="2"/>
      <c r="Y71" s="2"/>
      <c r="Z71" s="7"/>
      <c r="AA71" s="7"/>
      <c r="AB71" s="7"/>
      <c r="AC71" s="7"/>
      <c r="AD71" s="7"/>
      <c r="AE71" s="7"/>
      <c r="AF71" s="7"/>
      <c r="AG71" s="7"/>
      <c r="AH71" s="7"/>
      <c r="AI71" s="7"/>
      <c r="AJ71" s="7"/>
      <c r="AK71" s="7"/>
      <c r="AL71" s="7"/>
      <c r="AM71" s="7"/>
      <c r="AN71" s="7"/>
      <c r="AO71" s="2"/>
      <c r="AP71" s="2"/>
      <c r="AQ71" s="2"/>
      <c r="AR71" s="2"/>
      <c r="AS71" s="2"/>
      <c r="AT71" s="2"/>
      <c r="AU71" s="2"/>
      <c r="AV71" s="2"/>
      <c r="AW71" s="2"/>
      <c r="AX71" s="2"/>
    </row>
    <row r="72" spans="1:50" x14ac:dyDescent="0.5">
      <c r="A72" s="8"/>
      <c r="B72" s="240" t="s">
        <v>84</v>
      </c>
      <c r="C72" s="241">
        <v>89</v>
      </c>
      <c r="D72" s="242" t="s">
        <v>7</v>
      </c>
      <c r="K72" s="2"/>
      <c r="L72" s="10"/>
      <c r="M72" s="2"/>
      <c r="N72" s="2"/>
      <c r="O72" s="2"/>
      <c r="Q72" s="28"/>
      <c r="R72" s="28"/>
      <c r="S72" s="2"/>
      <c r="T72" s="2"/>
      <c r="U72" s="2"/>
      <c r="V72" s="2"/>
      <c r="W72" s="2"/>
      <c r="X72" s="2"/>
      <c r="Y72" s="2"/>
      <c r="Z72" s="7"/>
      <c r="AA72" s="7"/>
      <c r="AB72" s="7"/>
      <c r="AC72" s="7"/>
      <c r="AD72" s="7"/>
      <c r="AE72" s="7"/>
      <c r="AF72" s="7"/>
      <c r="AG72" s="7"/>
      <c r="AH72" s="7"/>
      <c r="AI72" s="7"/>
      <c r="AJ72" s="7"/>
      <c r="AK72" s="7"/>
      <c r="AL72" s="7"/>
      <c r="AM72" s="7"/>
      <c r="AN72" s="7"/>
      <c r="AO72" s="2"/>
      <c r="AP72" s="2"/>
      <c r="AQ72" s="2"/>
      <c r="AR72" s="2"/>
      <c r="AS72" s="2"/>
      <c r="AT72" s="2"/>
      <c r="AU72" s="2"/>
      <c r="AV72" s="2"/>
      <c r="AW72" s="2"/>
      <c r="AX72" s="2"/>
    </row>
    <row r="73" spans="1:50" x14ac:dyDescent="0.5">
      <c r="A73" s="8"/>
      <c r="B73" s="240" t="s">
        <v>85</v>
      </c>
      <c r="C73" s="243">
        <f>C71*0.156^2/(C72/100)</f>
        <v>1.6406292134831459</v>
      </c>
      <c r="D73" s="242" t="s">
        <v>86</v>
      </c>
      <c r="H73" s="244"/>
      <c r="K73" s="2"/>
      <c r="L73" s="10"/>
      <c r="M73" s="2"/>
      <c r="N73" s="2"/>
      <c r="O73" s="2"/>
      <c r="Q73" s="245"/>
      <c r="R73" s="245"/>
      <c r="S73" s="2"/>
      <c r="T73" s="2"/>
      <c r="U73" s="2"/>
      <c r="V73" s="2"/>
      <c r="W73" s="2"/>
      <c r="X73" s="2"/>
      <c r="Y73" s="2"/>
      <c r="Z73" s="7"/>
      <c r="AA73" s="7"/>
      <c r="AB73" s="7"/>
      <c r="AC73" s="7"/>
      <c r="AD73" s="7"/>
      <c r="AE73" s="7"/>
      <c r="AF73" s="7"/>
      <c r="AG73" s="7"/>
      <c r="AH73" s="7"/>
      <c r="AI73" s="7"/>
      <c r="AJ73" s="7"/>
      <c r="AK73" s="7"/>
      <c r="AL73" s="7"/>
      <c r="AM73" s="7"/>
      <c r="AN73" s="7"/>
      <c r="AO73" s="2"/>
      <c r="AP73" s="2"/>
      <c r="AQ73" s="2"/>
      <c r="AR73" s="2"/>
      <c r="AS73" s="2"/>
      <c r="AT73" s="2"/>
      <c r="AU73" s="2"/>
      <c r="AV73" s="2"/>
      <c r="AW73" s="2"/>
      <c r="AX73" s="2"/>
    </row>
    <row r="74" spans="1:50" x14ac:dyDescent="0.5">
      <c r="A74" s="8"/>
      <c r="B74" s="246" t="s">
        <v>87</v>
      </c>
      <c r="C74" s="247">
        <f>C73*1000*$C$8/100</f>
        <v>262.50067415730337</v>
      </c>
      <c r="D74" s="248" t="s">
        <v>88</v>
      </c>
      <c r="J74" s="249"/>
      <c r="K74" s="2"/>
      <c r="L74" s="10"/>
      <c r="M74" s="2"/>
      <c r="N74" s="2"/>
      <c r="O74" s="2"/>
      <c r="Q74" s="7"/>
      <c r="R74" s="7"/>
      <c r="S74" s="2"/>
      <c r="T74" s="2"/>
      <c r="U74" s="2"/>
      <c r="V74" s="2"/>
      <c r="W74" s="2"/>
      <c r="X74" s="2"/>
      <c r="Y74" s="2"/>
      <c r="Z74" s="7"/>
      <c r="AA74" s="7"/>
      <c r="AB74" s="7"/>
      <c r="AC74" s="7"/>
      <c r="AD74" s="7"/>
      <c r="AE74" s="7"/>
      <c r="AF74" s="7"/>
      <c r="AG74" s="7"/>
      <c r="AH74" s="7"/>
      <c r="AI74" s="7"/>
      <c r="AJ74" s="7"/>
      <c r="AK74" s="7"/>
      <c r="AL74" s="7"/>
      <c r="AM74" s="7"/>
      <c r="AN74" s="7"/>
      <c r="AO74" s="2"/>
      <c r="AP74" s="2"/>
      <c r="AQ74" s="2"/>
      <c r="AR74" s="2"/>
      <c r="AS74" s="2"/>
      <c r="AT74" s="2"/>
      <c r="AU74" s="2"/>
      <c r="AV74" s="2"/>
      <c r="AW74" s="2"/>
      <c r="AX74" s="2"/>
    </row>
    <row r="75" spans="1:50" x14ac:dyDescent="0.5">
      <c r="A75" s="8"/>
      <c r="K75" s="2"/>
      <c r="L75" s="10"/>
      <c r="M75" s="7"/>
      <c r="N75" s="7"/>
      <c r="O75" s="7"/>
      <c r="P75" s="7"/>
      <c r="Q75" s="7"/>
      <c r="R75" s="7"/>
      <c r="S75" s="2"/>
      <c r="T75" s="2"/>
      <c r="U75" s="2"/>
      <c r="V75" s="2"/>
      <c r="W75" s="2"/>
      <c r="X75" s="2"/>
      <c r="Y75" s="2"/>
      <c r="Z75" s="7"/>
      <c r="AA75" s="7"/>
      <c r="AB75" s="30"/>
      <c r="AC75" s="7"/>
      <c r="AD75" s="7"/>
      <c r="AE75" s="7"/>
      <c r="AF75" s="7"/>
      <c r="AG75" s="7"/>
      <c r="AH75" s="7"/>
      <c r="AI75" s="7"/>
      <c r="AJ75" s="7"/>
      <c r="AK75" s="7"/>
      <c r="AL75" s="7"/>
      <c r="AM75" s="7"/>
      <c r="AN75" s="7"/>
      <c r="AO75" s="2"/>
      <c r="AP75" s="2"/>
      <c r="AQ75" s="2"/>
      <c r="AR75" s="2"/>
      <c r="AS75" s="2"/>
      <c r="AT75" s="2"/>
      <c r="AU75" s="2"/>
      <c r="AV75" s="2"/>
      <c r="AW75" s="2"/>
      <c r="AX75" s="2"/>
    </row>
    <row r="76" spans="1:50" x14ac:dyDescent="0.5">
      <c r="A76" s="8"/>
      <c r="B76" s="250" t="s">
        <v>59</v>
      </c>
      <c r="C76" s="251"/>
      <c r="D76" s="252"/>
      <c r="K76" s="2"/>
      <c r="L76" s="10"/>
      <c r="M76" s="7"/>
      <c r="N76" s="7"/>
      <c r="O76" s="7"/>
      <c r="P76" s="7"/>
      <c r="Q76" s="7"/>
      <c r="R76" s="7"/>
      <c r="S76" s="2"/>
      <c r="T76" s="2"/>
      <c r="U76" s="2"/>
      <c r="V76" s="2"/>
      <c r="W76" s="2"/>
      <c r="X76" s="2"/>
      <c r="Y76" s="2"/>
      <c r="Z76" s="7"/>
      <c r="AA76" s="7"/>
      <c r="AB76" s="30"/>
      <c r="AC76" s="7"/>
      <c r="AD76" s="7"/>
      <c r="AE76" s="7"/>
      <c r="AF76" s="7"/>
      <c r="AG76" s="7"/>
      <c r="AH76" s="7"/>
      <c r="AI76" s="7"/>
      <c r="AJ76" s="7"/>
      <c r="AK76" s="7"/>
      <c r="AL76" s="7"/>
      <c r="AM76" s="7"/>
      <c r="AN76" s="7"/>
      <c r="AO76" s="2"/>
      <c r="AP76" s="2"/>
      <c r="AQ76" s="2"/>
      <c r="AR76" s="2"/>
      <c r="AS76" s="2"/>
      <c r="AT76" s="2"/>
      <c r="AU76" s="2"/>
      <c r="AV76" s="2"/>
      <c r="AW76" s="2"/>
      <c r="AX76" s="2"/>
    </row>
    <row r="77" spans="1:50" x14ac:dyDescent="0.5">
      <c r="A77" s="8"/>
      <c r="B77" s="253" t="s">
        <v>89</v>
      </c>
      <c r="C77" s="254">
        <v>2329</v>
      </c>
      <c r="D77" s="255" t="s">
        <v>90</v>
      </c>
      <c r="K77" s="2"/>
      <c r="L77" s="256"/>
      <c r="M77" s="257"/>
      <c r="N77" s="7"/>
      <c r="O77" s="7"/>
      <c r="P77" s="7"/>
      <c r="Q77" s="7"/>
      <c r="R77" s="7"/>
      <c r="S77" s="2"/>
      <c r="T77" s="2"/>
      <c r="U77" s="2"/>
      <c r="V77" s="2"/>
      <c r="W77" s="2"/>
      <c r="X77" s="2"/>
      <c r="Y77" s="2"/>
      <c r="Z77" s="7"/>
      <c r="AA77" s="7"/>
      <c r="AB77" s="30"/>
      <c r="AC77" s="7"/>
      <c r="AD77" s="7"/>
      <c r="AE77" s="7"/>
      <c r="AF77" s="7"/>
      <c r="AG77" s="7"/>
      <c r="AH77" s="7"/>
      <c r="AI77" s="7"/>
      <c r="AJ77" s="7"/>
      <c r="AK77" s="7"/>
      <c r="AL77" s="7"/>
      <c r="AM77" s="7"/>
      <c r="AN77" s="7"/>
      <c r="AO77" s="2"/>
      <c r="AP77" s="2"/>
      <c r="AQ77" s="2"/>
      <c r="AR77" s="2"/>
      <c r="AS77" s="2"/>
      <c r="AT77" s="2"/>
      <c r="AU77" s="2"/>
      <c r="AV77" s="2"/>
      <c r="AW77" s="2"/>
      <c r="AX77" s="2"/>
    </row>
    <row r="78" spans="1:50" x14ac:dyDescent="0.5">
      <c r="A78" s="8"/>
      <c r="B78" s="258" t="s">
        <v>91</v>
      </c>
      <c r="C78" s="259">
        <v>237</v>
      </c>
      <c r="D78" s="260" t="s">
        <v>92</v>
      </c>
      <c r="K78" s="2"/>
      <c r="L78" s="256"/>
      <c r="M78" s="257"/>
      <c r="N78" s="7"/>
      <c r="O78" s="7"/>
      <c r="P78" s="7"/>
      <c r="Q78" s="7"/>
      <c r="R78" s="7"/>
      <c r="S78" s="2"/>
      <c r="T78" s="2"/>
      <c r="U78" s="2"/>
      <c r="V78" s="2"/>
      <c r="W78" s="2"/>
      <c r="X78" s="2"/>
      <c r="Y78" s="2"/>
      <c r="Z78" s="7"/>
      <c r="AA78" s="7"/>
      <c r="AB78" s="30"/>
      <c r="AC78" s="7"/>
      <c r="AD78" s="7"/>
      <c r="AE78" s="7"/>
      <c r="AF78" s="7"/>
      <c r="AG78" s="7"/>
      <c r="AH78" s="7"/>
      <c r="AI78" s="7"/>
      <c r="AJ78" s="7"/>
      <c r="AK78" s="7"/>
      <c r="AL78" s="7"/>
      <c r="AM78" s="7"/>
      <c r="AN78" s="7"/>
      <c r="AO78" s="2"/>
      <c r="AP78" s="2"/>
      <c r="AQ78" s="2"/>
      <c r="AR78" s="2"/>
      <c r="AS78" s="2"/>
      <c r="AT78" s="2"/>
      <c r="AU78" s="2"/>
      <c r="AV78" s="2"/>
      <c r="AW78" s="2"/>
      <c r="AX78" s="2"/>
    </row>
    <row r="79" spans="1:50" x14ac:dyDescent="0.5">
      <c r="A79" s="8"/>
      <c r="B79" s="258" t="s">
        <v>93</v>
      </c>
      <c r="C79" s="261">
        <f>C78/100/100*(C9/10^6)*C77*1000</f>
        <v>9.9355140000000013</v>
      </c>
      <c r="D79" s="260" t="s">
        <v>94</v>
      </c>
      <c r="K79" s="2"/>
      <c r="L79" s="256"/>
      <c r="M79" s="257"/>
      <c r="N79" s="7"/>
      <c r="O79" s="7"/>
      <c r="P79" s="7"/>
      <c r="Q79" s="7"/>
      <c r="R79" s="7"/>
      <c r="S79" s="2"/>
      <c r="T79" s="2"/>
      <c r="U79" s="2"/>
      <c r="V79" s="2"/>
      <c r="W79" s="2"/>
      <c r="X79" s="2"/>
      <c r="Y79" s="2"/>
      <c r="Z79" s="7"/>
      <c r="AA79" s="7"/>
      <c r="AB79" s="30"/>
      <c r="AC79" s="7"/>
      <c r="AD79" s="7"/>
      <c r="AE79" s="7"/>
      <c r="AF79" s="7"/>
      <c r="AG79" s="7"/>
      <c r="AH79" s="7"/>
      <c r="AI79" s="7"/>
      <c r="AJ79" s="7"/>
      <c r="AK79" s="7"/>
      <c r="AL79" s="7"/>
      <c r="AM79" s="7"/>
      <c r="AN79" s="7"/>
      <c r="AO79" s="2"/>
      <c r="AP79" s="2"/>
      <c r="AQ79" s="2"/>
      <c r="AR79" s="2"/>
      <c r="AS79" s="2"/>
      <c r="AT79" s="2"/>
      <c r="AU79" s="2"/>
      <c r="AV79" s="2"/>
      <c r="AW79" s="2"/>
      <c r="AX79" s="2"/>
    </row>
    <row r="80" spans="1:50" x14ac:dyDescent="0.5">
      <c r="A80" s="8"/>
      <c r="B80" s="258" t="s">
        <v>95</v>
      </c>
      <c r="C80" s="262">
        <f>(1-C11)*(C9/(C9+C12))</f>
        <v>0.57193548387096782</v>
      </c>
      <c r="D80" s="260" t="s">
        <v>20</v>
      </c>
      <c r="K80" s="2"/>
      <c r="L80" s="256"/>
      <c r="M80" s="257"/>
      <c r="N80" s="7"/>
      <c r="O80" s="7"/>
      <c r="P80" s="7"/>
      <c r="Q80" s="7"/>
      <c r="R80" s="7"/>
      <c r="S80" s="2"/>
      <c r="T80" s="2"/>
      <c r="U80" s="2"/>
      <c r="V80" s="2"/>
      <c r="W80" s="2"/>
      <c r="X80" s="2"/>
      <c r="Y80" s="2"/>
      <c r="Z80" s="7"/>
      <c r="AA80" s="7"/>
      <c r="AB80" s="30"/>
      <c r="AC80" s="7"/>
      <c r="AD80" s="7"/>
      <c r="AE80" s="7"/>
      <c r="AF80" s="7"/>
      <c r="AG80" s="7"/>
      <c r="AH80" s="7"/>
      <c r="AI80" s="7"/>
      <c r="AJ80" s="7"/>
      <c r="AK80" s="7"/>
      <c r="AL80" s="7"/>
      <c r="AM80" s="7"/>
      <c r="AN80" s="7"/>
      <c r="AO80" s="2"/>
      <c r="AP80" s="2"/>
      <c r="AQ80" s="2"/>
      <c r="AR80" s="2"/>
      <c r="AS80" s="2"/>
      <c r="AT80" s="2"/>
      <c r="AU80" s="2"/>
      <c r="AV80" s="2"/>
      <c r="AW80" s="2"/>
      <c r="AX80" s="2"/>
    </row>
    <row r="81" spans="1:50" ht="15" customHeight="1" x14ac:dyDescent="0.5">
      <c r="A81" s="8"/>
      <c r="B81" s="258" t="s">
        <v>96</v>
      </c>
      <c r="C81" s="262">
        <f>C78/100/100*(C9/10^6/C80)*C77</f>
        <v>1.7371739086294417E-2</v>
      </c>
      <c r="D81" s="260" t="s">
        <v>97</v>
      </c>
      <c r="K81" s="2"/>
      <c r="L81" s="10"/>
      <c r="M81" s="257"/>
      <c r="N81" s="7"/>
      <c r="O81" s="7"/>
      <c r="P81" s="7"/>
      <c r="Q81" s="7"/>
      <c r="R81" s="7"/>
      <c r="S81" s="2"/>
      <c r="T81" s="2"/>
      <c r="U81" s="2"/>
      <c r="V81" s="2"/>
      <c r="W81" s="2"/>
      <c r="X81" s="2"/>
      <c r="Y81" s="2"/>
      <c r="Z81" s="7"/>
      <c r="AA81" s="7"/>
      <c r="AB81" s="7"/>
      <c r="AC81" s="7"/>
      <c r="AD81" s="7"/>
      <c r="AE81" s="7"/>
      <c r="AF81" s="7"/>
      <c r="AG81" s="7"/>
      <c r="AH81" s="7"/>
      <c r="AI81" s="7"/>
      <c r="AJ81" s="7"/>
      <c r="AK81" s="7"/>
      <c r="AL81" s="7"/>
      <c r="AM81" s="7"/>
      <c r="AN81" s="7"/>
      <c r="AO81" s="2"/>
      <c r="AP81" s="2"/>
      <c r="AQ81" s="2"/>
      <c r="AR81" s="2"/>
      <c r="AS81" s="2"/>
      <c r="AT81" s="2"/>
      <c r="AU81" s="2"/>
      <c r="AV81" s="2"/>
      <c r="AW81" s="2"/>
      <c r="AX81" s="2"/>
    </row>
    <row r="82" spans="1:50" ht="15" customHeight="1" x14ac:dyDescent="0.5">
      <c r="A82" s="8"/>
      <c r="B82" s="258" t="s">
        <v>98</v>
      </c>
      <c r="C82" s="262">
        <f>C81*C13</f>
        <v>0.39954999898477156</v>
      </c>
      <c r="D82" s="260" t="s">
        <v>99</v>
      </c>
      <c r="K82" s="2"/>
      <c r="L82" s="10"/>
      <c r="M82" s="257"/>
      <c r="N82" s="7"/>
      <c r="O82" s="7"/>
      <c r="P82" s="7"/>
      <c r="Q82" s="7"/>
      <c r="R82" s="7"/>
      <c r="S82" s="2"/>
      <c r="T82" s="2"/>
      <c r="U82" s="2"/>
      <c r="V82" s="2"/>
      <c r="W82" s="2"/>
      <c r="X82" s="2"/>
      <c r="Y82" s="2"/>
      <c r="Z82" s="7"/>
      <c r="AA82" s="7"/>
      <c r="AB82" s="7"/>
      <c r="AC82" s="7"/>
      <c r="AD82" s="7"/>
      <c r="AE82" s="7"/>
      <c r="AF82" s="7"/>
      <c r="AG82" s="7"/>
      <c r="AH82" s="7"/>
      <c r="AI82" s="7"/>
      <c r="AJ82" s="7"/>
      <c r="AK82" s="7"/>
      <c r="AL82" s="7"/>
      <c r="AM82" s="7"/>
      <c r="AN82" s="7"/>
      <c r="AO82" s="2"/>
      <c r="AP82" s="2"/>
      <c r="AQ82" s="2"/>
      <c r="AR82" s="2"/>
      <c r="AS82" s="2"/>
      <c r="AT82" s="2"/>
      <c r="AU82" s="2"/>
      <c r="AV82" s="2"/>
      <c r="AW82" s="2"/>
      <c r="AX82" s="2"/>
    </row>
    <row r="83" spans="1:50" x14ac:dyDescent="0.5">
      <c r="A83" s="8"/>
      <c r="B83" s="258" t="s">
        <v>100</v>
      </c>
      <c r="C83" s="263">
        <f>$C$186*$C$187*$C$188*$C$189</f>
        <v>0.9216899999999999</v>
      </c>
      <c r="D83" s="260" t="s">
        <v>20</v>
      </c>
      <c r="K83" s="2"/>
      <c r="L83" s="7"/>
      <c r="M83" s="257"/>
      <c r="N83" s="28"/>
      <c r="O83" s="7"/>
      <c r="P83" s="7"/>
      <c r="Q83" s="7"/>
      <c r="R83" s="7"/>
      <c r="S83" s="2"/>
      <c r="T83" s="2"/>
      <c r="U83" s="2"/>
      <c r="V83" s="2"/>
      <c r="W83" s="2"/>
      <c r="X83" s="2"/>
      <c r="Y83" s="2"/>
      <c r="Z83" s="7"/>
      <c r="AA83" s="7"/>
      <c r="AB83" s="7"/>
      <c r="AC83" s="7"/>
      <c r="AD83" s="7"/>
      <c r="AE83" s="7"/>
      <c r="AF83" s="7"/>
      <c r="AG83" s="7"/>
      <c r="AH83" s="7"/>
      <c r="AI83" s="7"/>
      <c r="AJ83" s="7"/>
      <c r="AK83" s="7"/>
      <c r="AL83" s="7"/>
      <c r="AM83" s="7"/>
      <c r="AN83" s="7"/>
      <c r="AO83" s="2"/>
      <c r="AP83" s="2"/>
      <c r="AQ83" s="2"/>
      <c r="AR83" s="2"/>
      <c r="AS83" s="2"/>
      <c r="AT83" s="2"/>
      <c r="AU83" s="2"/>
      <c r="AV83" s="2"/>
      <c r="AW83" s="2"/>
      <c r="AX83" s="2"/>
    </row>
    <row r="84" spans="1:50" x14ac:dyDescent="0.5">
      <c r="A84" s="8"/>
      <c r="B84" s="264" t="s">
        <v>101</v>
      </c>
      <c r="C84" s="265">
        <f>C82/C83</f>
        <v>0.43349716171898534</v>
      </c>
      <c r="D84" s="266" t="s">
        <v>99</v>
      </c>
      <c r="K84" s="2"/>
      <c r="L84" s="7"/>
      <c r="M84" s="257"/>
      <c r="N84" s="28"/>
      <c r="O84" s="7"/>
      <c r="P84" s="7"/>
      <c r="Q84" s="7"/>
      <c r="R84" s="7"/>
      <c r="S84" s="2"/>
      <c r="T84" s="2"/>
      <c r="U84" s="2"/>
      <c r="V84" s="2"/>
      <c r="W84" s="2"/>
      <c r="X84" s="2"/>
      <c r="Y84" s="2"/>
      <c r="Z84" s="7"/>
      <c r="AA84" s="7"/>
      <c r="AB84" s="7"/>
      <c r="AC84" s="7"/>
      <c r="AD84" s="7"/>
      <c r="AE84" s="7"/>
      <c r="AF84" s="7"/>
      <c r="AG84" s="7"/>
      <c r="AH84" s="7"/>
      <c r="AI84" s="7"/>
      <c r="AJ84" s="7"/>
      <c r="AK84" s="7"/>
      <c r="AL84" s="7"/>
      <c r="AM84" s="7"/>
      <c r="AN84" s="7"/>
      <c r="AO84" s="2"/>
      <c r="AP84" s="2"/>
      <c r="AQ84" s="2"/>
      <c r="AR84" s="2"/>
      <c r="AS84" s="2"/>
      <c r="AT84" s="2"/>
      <c r="AU84" s="2"/>
      <c r="AV84" s="2"/>
      <c r="AW84" s="2"/>
      <c r="AX84" s="2"/>
    </row>
    <row r="85" spans="1:50" x14ac:dyDescent="0.5">
      <c r="A85" s="8"/>
      <c r="B85" s="258" t="s">
        <v>102</v>
      </c>
      <c r="C85" s="262">
        <f>(1-C11-C10)*(C9/(C9+C12))</f>
        <v>0.37567741935483873</v>
      </c>
      <c r="D85" s="260" t="s">
        <v>20</v>
      </c>
      <c r="K85" s="2"/>
      <c r="L85" s="7"/>
      <c r="M85" s="257"/>
      <c r="N85" s="28"/>
      <c r="O85" s="7"/>
      <c r="P85" s="7"/>
      <c r="Q85" s="7"/>
      <c r="R85" s="7"/>
      <c r="S85" s="2"/>
      <c r="T85" s="2"/>
      <c r="U85" s="2"/>
      <c r="V85" s="2"/>
      <c r="W85" s="2"/>
      <c r="X85" s="2"/>
      <c r="Y85" s="2"/>
      <c r="Z85" s="7"/>
      <c r="AA85" s="7"/>
      <c r="AB85" s="7"/>
      <c r="AC85" s="7"/>
      <c r="AD85" s="7"/>
      <c r="AE85" s="7"/>
      <c r="AF85" s="7"/>
      <c r="AG85" s="7"/>
      <c r="AH85" s="7"/>
      <c r="AI85" s="7"/>
      <c r="AJ85" s="7"/>
      <c r="AK85" s="7"/>
      <c r="AL85" s="7"/>
      <c r="AM85" s="7"/>
      <c r="AN85" s="7"/>
      <c r="AO85" s="2"/>
      <c r="AP85" s="2"/>
      <c r="AQ85" s="2"/>
      <c r="AR85" s="2"/>
      <c r="AS85" s="2"/>
      <c r="AT85" s="2"/>
      <c r="AU85" s="2"/>
      <c r="AV85" s="2"/>
      <c r="AW85" s="2"/>
      <c r="AX85" s="2"/>
    </row>
    <row r="86" spans="1:50" x14ac:dyDescent="0.5">
      <c r="A86" s="8"/>
      <c r="B86" s="267" t="s">
        <v>103</v>
      </c>
      <c r="C86" s="268">
        <f>C78/100/100*(C9/10^6/C85)*C77</f>
        <v>2.6446928902627516E-2</v>
      </c>
      <c r="D86" s="269" t="s">
        <v>97</v>
      </c>
      <c r="K86" s="2"/>
      <c r="L86" s="7"/>
      <c r="M86" s="257"/>
      <c r="N86" s="28"/>
      <c r="O86" s="7"/>
      <c r="P86" s="7"/>
      <c r="Q86" s="7"/>
      <c r="R86" s="7"/>
      <c r="S86" s="2"/>
      <c r="T86" s="2"/>
      <c r="U86" s="2"/>
      <c r="V86" s="2"/>
      <c r="W86" s="2"/>
      <c r="X86" s="2"/>
      <c r="Y86" s="2"/>
      <c r="Z86" s="7"/>
      <c r="AA86" s="7"/>
      <c r="AB86" s="7"/>
      <c r="AC86" s="7"/>
      <c r="AD86" s="7"/>
      <c r="AE86" s="7"/>
      <c r="AF86" s="7"/>
      <c r="AG86" s="7"/>
      <c r="AH86" s="7"/>
      <c r="AI86" s="7"/>
      <c r="AJ86" s="7"/>
      <c r="AK86" s="7"/>
      <c r="AL86" s="7"/>
      <c r="AM86" s="7"/>
      <c r="AN86" s="7"/>
      <c r="AO86" s="2"/>
      <c r="AP86" s="2"/>
      <c r="AQ86" s="2"/>
      <c r="AR86" s="2"/>
      <c r="AS86" s="2"/>
      <c r="AT86" s="2"/>
      <c r="AU86" s="2"/>
      <c r="AV86" s="2"/>
      <c r="AW86" s="2"/>
      <c r="AX86" s="2"/>
    </row>
    <row r="87" spans="1:50" x14ac:dyDescent="0.5">
      <c r="A87" s="8"/>
      <c r="J87" s="22"/>
      <c r="K87" s="7"/>
      <c r="L87" s="7"/>
      <c r="M87" s="257"/>
      <c r="N87" s="257"/>
      <c r="O87" s="7"/>
      <c r="P87" s="7"/>
      <c r="Q87" s="7"/>
      <c r="R87" s="7"/>
      <c r="S87" s="2"/>
      <c r="T87" s="2"/>
      <c r="U87" s="2"/>
      <c r="V87" s="2"/>
      <c r="W87" s="2"/>
      <c r="X87" s="2"/>
      <c r="Y87" s="2"/>
      <c r="Z87" s="7"/>
      <c r="AA87" s="7"/>
      <c r="AB87" s="7"/>
      <c r="AC87" s="7"/>
      <c r="AD87" s="7"/>
      <c r="AE87" s="7"/>
      <c r="AF87" s="7"/>
      <c r="AG87" s="7"/>
      <c r="AH87" s="7"/>
      <c r="AI87" s="7"/>
      <c r="AJ87" s="7"/>
      <c r="AK87" s="7"/>
      <c r="AL87" s="7"/>
      <c r="AM87" s="7"/>
      <c r="AN87" s="7"/>
      <c r="AO87" s="2"/>
      <c r="AP87" s="2"/>
      <c r="AQ87" s="2"/>
      <c r="AR87" s="2"/>
      <c r="AS87" s="2"/>
      <c r="AT87" s="2"/>
      <c r="AU87" s="2"/>
      <c r="AV87" s="2"/>
      <c r="AW87" s="2"/>
      <c r="AX87" s="2"/>
    </row>
    <row r="88" spans="1:50" x14ac:dyDescent="0.5">
      <c r="A88" s="8"/>
      <c r="B88" s="270" t="s">
        <v>104</v>
      </c>
      <c r="C88" s="271"/>
      <c r="D88" s="272"/>
      <c r="E88" s="272"/>
      <c r="F88" s="272"/>
      <c r="G88" s="272"/>
      <c r="H88" s="272"/>
      <c r="I88" s="272"/>
      <c r="J88" s="272"/>
      <c r="K88" s="272"/>
      <c r="L88" s="8"/>
      <c r="M88" s="7"/>
      <c r="N88" s="7"/>
      <c r="O88" s="7"/>
      <c r="P88" s="7"/>
      <c r="Q88" s="7"/>
      <c r="R88" s="7"/>
      <c r="S88" s="2"/>
      <c r="T88" s="2"/>
      <c r="U88" s="2"/>
      <c r="V88" s="2"/>
      <c r="W88" s="2"/>
      <c r="X88" s="2"/>
      <c r="Y88" s="2"/>
      <c r="Z88" s="7"/>
      <c r="AA88" s="7"/>
      <c r="AB88" s="7"/>
      <c r="AC88" s="7"/>
      <c r="AD88" s="7"/>
      <c r="AE88" s="7"/>
      <c r="AF88" s="7"/>
      <c r="AG88" s="7"/>
      <c r="AH88" s="7"/>
      <c r="AI88" s="7"/>
      <c r="AJ88" s="7"/>
      <c r="AK88" s="7"/>
      <c r="AL88" s="7"/>
      <c r="AM88" s="7"/>
      <c r="AN88" s="7"/>
      <c r="AO88" s="2"/>
      <c r="AP88" s="2"/>
      <c r="AQ88" s="2"/>
      <c r="AR88" s="2"/>
      <c r="AS88" s="2"/>
      <c r="AT88" s="2"/>
      <c r="AU88" s="2"/>
      <c r="AV88" s="2"/>
      <c r="AW88" s="2"/>
      <c r="AX88" s="2"/>
    </row>
    <row r="89" spans="1:50" x14ac:dyDescent="0.5">
      <c r="A89" s="8"/>
      <c r="B89" s="273" t="s">
        <v>105</v>
      </c>
      <c r="C89" s="274">
        <v>400</v>
      </c>
      <c r="D89" s="201" t="s">
        <v>106</v>
      </c>
      <c r="E89" s="201"/>
      <c r="F89" s="201"/>
      <c r="G89" s="201"/>
      <c r="H89" s="201"/>
      <c r="I89" s="201"/>
      <c r="J89" s="201"/>
      <c r="K89" s="201"/>
      <c r="L89" s="8"/>
      <c r="M89" s="7"/>
      <c r="N89" s="7"/>
      <c r="O89" s="7"/>
      <c r="P89" s="7"/>
      <c r="Q89" s="22"/>
      <c r="R89" s="2"/>
      <c r="S89" s="2"/>
      <c r="T89" s="2"/>
      <c r="U89" s="2"/>
      <c r="V89" s="2"/>
      <c r="W89" s="2"/>
      <c r="X89" s="2"/>
      <c r="Y89" s="2"/>
      <c r="Z89" s="7"/>
      <c r="AA89" s="7"/>
      <c r="AB89" s="7"/>
      <c r="AC89" s="7"/>
      <c r="AD89" s="7"/>
      <c r="AE89" s="7"/>
      <c r="AF89" s="7"/>
      <c r="AG89" s="7"/>
      <c r="AH89" s="7"/>
      <c r="AI89" s="7"/>
      <c r="AJ89" s="7"/>
      <c r="AK89" s="7"/>
      <c r="AL89" s="7"/>
      <c r="AM89" s="7"/>
      <c r="AN89" s="7"/>
      <c r="AO89" s="2"/>
      <c r="AP89" s="2"/>
      <c r="AQ89" s="2"/>
      <c r="AR89" s="2"/>
      <c r="AS89" s="2"/>
      <c r="AT89" s="2"/>
      <c r="AU89" s="2"/>
      <c r="AV89" s="2"/>
      <c r="AW89" s="2"/>
      <c r="AX89" s="2"/>
    </row>
    <row r="90" spans="1:50" x14ac:dyDescent="0.5">
      <c r="A90" s="8"/>
      <c r="B90" s="273" t="s">
        <v>107</v>
      </c>
      <c r="C90" s="274">
        <v>13.6</v>
      </c>
      <c r="D90" s="201" t="s">
        <v>20</v>
      </c>
      <c r="E90" s="201"/>
      <c r="F90" s="201"/>
      <c r="G90" s="201"/>
      <c r="H90" s="201"/>
      <c r="I90" s="201"/>
      <c r="J90" s="201"/>
      <c r="K90" s="201"/>
      <c r="L90" s="8"/>
      <c r="M90" s="7"/>
      <c r="N90" s="28"/>
      <c r="O90" s="28"/>
      <c r="P90" s="7"/>
      <c r="Q90" s="22"/>
      <c r="R90" s="2"/>
      <c r="S90" s="2"/>
      <c r="T90" s="2"/>
      <c r="U90" s="2"/>
      <c r="V90" s="2"/>
      <c r="W90" s="2"/>
      <c r="X90" s="2"/>
      <c r="Y90" s="2"/>
      <c r="Z90" s="7"/>
      <c r="AA90" s="7"/>
      <c r="AB90" s="7"/>
      <c r="AC90" s="7"/>
      <c r="AD90" s="7"/>
      <c r="AE90" s="7"/>
      <c r="AF90" s="7"/>
      <c r="AG90" s="7"/>
      <c r="AH90" s="7"/>
      <c r="AI90" s="7"/>
      <c r="AJ90" s="7"/>
      <c r="AK90" s="7"/>
      <c r="AL90" s="7"/>
      <c r="AM90" s="7"/>
      <c r="AN90" s="7"/>
      <c r="AO90" s="2"/>
      <c r="AP90" s="2"/>
      <c r="AQ90" s="2"/>
      <c r="AR90" s="2"/>
      <c r="AS90" s="2"/>
      <c r="AT90" s="2"/>
      <c r="AU90" s="2"/>
      <c r="AV90" s="2"/>
      <c r="AW90" s="2"/>
      <c r="AX90" s="2"/>
    </row>
    <row r="91" spans="1:50" x14ac:dyDescent="0.5">
      <c r="A91" s="8"/>
      <c r="B91" s="273" t="s">
        <v>108</v>
      </c>
      <c r="C91" s="275">
        <f>C89*10^6/(C90/100*1000)/(365*24)</f>
        <v>335.750738651625</v>
      </c>
      <c r="D91" s="201" t="s">
        <v>109</v>
      </c>
      <c r="E91" s="201"/>
      <c r="F91" s="201"/>
      <c r="G91" s="201"/>
      <c r="H91" s="201"/>
      <c r="I91" s="201"/>
      <c r="J91" s="201"/>
      <c r="K91" s="201"/>
      <c r="L91" s="8"/>
      <c r="M91" s="7"/>
      <c r="N91" s="28"/>
      <c r="O91" s="7"/>
      <c r="P91" s="7"/>
      <c r="Q91" s="22"/>
      <c r="R91" s="2"/>
      <c r="S91" s="2"/>
      <c r="T91" s="2"/>
      <c r="U91" s="2"/>
      <c r="V91" s="2"/>
      <c r="W91" s="2"/>
      <c r="X91" s="2"/>
      <c r="Y91" s="2"/>
      <c r="Z91" s="7"/>
      <c r="AA91" s="7"/>
      <c r="AB91" s="7"/>
      <c r="AC91" s="7"/>
      <c r="AD91" s="7"/>
      <c r="AE91" s="7"/>
      <c r="AF91" s="7"/>
      <c r="AG91" s="7"/>
      <c r="AH91" s="7"/>
      <c r="AI91" s="7"/>
      <c r="AJ91" s="7"/>
      <c r="AK91" s="7"/>
      <c r="AL91" s="7"/>
      <c r="AM91" s="7"/>
      <c r="AN91" s="7"/>
      <c r="AO91" s="2"/>
      <c r="AP91" s="2"/>
      <c r="AQ91" s="2"/>
      <c r="AR91" s="2"/>
      <c r="AS91" s="2"/>
      <c r="AT91" s="2"/>
      <c r="AU91" s="2"/>
      <c r="AV91" s="2"/>
      <c r="AW91" s="2"/>
      <c r="AX91" s="2"/>
    </row>
    <row r="92" spans="1:50" x14ac:dyDescent="0.5">
      <c r="A92" s="8"/>
      <c r="B92" s="273" t="s">
        <v>110</v>
      </c>
      <c r="C92" s="274">
        <f>1000*$C$8/100</f>
        <v>160</v>
      </c>
      <c r="D92" s="201" t="s">
        <v>111</v>
      </c>
      <c r="E92" s="201"/>
      <c r="F92" s="201"/>
      <c r="G92" s="201"/>
      <c r="H92" s="201"/>
      <c r="I92" s="201"/>
      <c r="J92" s="201"/>
      <c r="K92" s="275"/>
      <c r="L92" s="8"/>
      <c r="M92" s="7"/>
      <c r="N92" s="28"/>
      <c r="O92" s="7"/>
      <c r="P92" s="7"/>
      <c r="Q92" s="22"/>
      <c r="R92" s="2"/>
      <c r="S92" s="2"/>
      <c r="T92" s="2"/>
      <c r="U92" s="2"/>
      <c r="V92" s="2"/>
      <c r="W92" s="2"/>
      <c r="X92" s="2"/>
      <c r="Y92" s="2"/>
      <c r="Z92" s="7"/>
      <c r="AA92" s="7"/>
      <c r="AB92" s="7"/>
      <c r="AC92" s="7"/>
      <c r="AD92" s="7"/>
      <c r="AE92" s="7"/>
      <c r="AF92" s="7"/>
      <c r="AG92" s="7"/>
      <c r="AH92" s="7"/>
      <c r="AI92" s="7"/>
      <c r="AJ92" s="7"/>
      <c r="AK92" s="7"/>
      <c r="AL92" s="7"/>
      <c r="AM92" s="7"/>
      <c r="AN92" s="7"/>
      <c r="AO92" s="2"/>
      <c r="AP92" s="2"/>
      <c r="AQ92" s="2"/>
      <c r="AR92" s="2"/>
      <c r="AS92" s="2"/>
      <c r="AT92" s="2"/>
      <c r="AU92" s="2"/>
      <c r="AV92" s="2"/>
      <c r="AW92" s="2"/>
      <c r="AX92" s="2"/>
    </row>
    <row r="93" spans="1:50" x14ac:dyDescent="0.5">
      <c r="A93" s="8"/>
      <c r="B93" s="273" t="s">
        <v>108</v>
      </c>
      <c r="C93" s="275">
        <f>C91*C92</f>
        <v>53720.118184259998</v>
      </c>
      <c r="D93" s="201" t="s">
        <v>112</v>
      </c>
      <c r="E93" s="201"/>
      <c r="F93" s="201"/>
      <c r="G93" s="201"/>
      <c r="H93" s="201"/>
      <c r="I93" s="201"/>
      <c r="J93" s="201"/>
      <c r="K93" s="275"/>
      <c r="L93" s="8"/>
      <c r="M93" s="7"/>
      <c r="N93" s="7"/>
      <c r="O93" s="257"/>
      <c r="P93" s="7"/>
      <c r="Q93" s="22"/>
      <c r="R93" s="2"/>
      <c r="S93" s="2"/>
      <c r="T93" s="2"/>
      <c r="U93" s="2"/>
      <c r="V93" s="257"/>
      <c r="W93" s="2"/>
      <c r="X93" s="2"/>
      <c r="Y93" s="2"/>
      <c r="Z93" s="7"/>
      <c r="AA93" s="7"/>
      <c r="AB93" s="7"/>
      <c r="AC93" s="7"/>
      <c r="AD93" s="7"/>
      <c r="AE93" s="7"/>
      <c r="AF93" s="7"/>
      <c r="AG93" s="7"/>
      <c r="AH93" s="7"/>
      <c r="AI93" s="7"/>
      <c r="AJ93" s="7"/>
      <c r="AK93" s="7"/>
      <c r="AL93" s="7"/>
      <c r="AM93" s="7"/>
      <c r="AN93" s="7"/>
      <c r="AO93" s="2"/>
      <c r="AP93" s="2"/>
      <c r="AQ93" s="2"/>
      <c r="AR93" s="2"/>
      <c r="AS93" s="2"/>
      <c r="AT93" s="2"/>
      <c r="AU93" s="2"/>
      <c r="AV93" s="2"/>
      <c r="AW93" s="2"/>
      <c r="AX93" s="2"/>
    </row>
    <row r="94" spans="1:50" x14ac:dyDescent="0.5">
      <c r="A94" s="8"/>
      <c r="B94" s="273" t="s">
        <v>113</v>
      </c>
      <c r="C94" s="275">
        <f>C93*$C$20/100*C190</f>
        <v>47532.763900080572</v>
      </c>
      <c r="D94" s="201" t="s">
        <v>112</v>
      </c>
      <c r="E94" s="201"/>
      <c r="F94" s="201"/>
      <c r="G94" s="201"/>
      <c r="H94" s="201"/>
      <c r="I94" s="201"/>
      <c r="J94" s="201"/>
      <c r="K94" s="275"/>
      <c r="L94" s="8"/>
      <c r="M94" s="7"/>
      <c r="N94" s="7"/>
      <c r="O94" s="257"/>
      <c r="P94" s="7"/>
      <c r="Q94" s="22"/>
      <c r="R94" s="2"/>
      <c r="S94" s="2"/>
      <c r="T94" s="2"/>
      <c r="U94" s="2"/>
      <c r="V94" s="2"/>
      <c r="W94" s="2"/>
      <c r="X94" s="2"/>
      <c r="Y94" s="2"/>
      <c r="Z94" s="7"/>
      <c r="AA94" s="2"/>
      <c r="AB94" s="7"/>
      <c r="AC94" s="7"/>
      <c r="AD94" s="7"/>
      <c r="AE94" s="7"/>
      <c r="AF94" s="7"/>
      <c r="AG94" s="7"/>
      <c r="AH94" s="7"/>
      <c r="AI94" s="7"/>
      <c r="AJ94" s="7"/>
      <c r="AK94" s="7"/>
      <c r="AL94" s="7"/>
      <c r="AM94" s="7"/>
      <c r="AN94" s="7"/>
      <c r="AO94" s="2"/>
      <c r="AP94" s="2"/>
      <c r="AQ94" s="2"/>
      <c r="AR94" s="2"/>
      <c r="AS94" s="2"/>
      <c r="AT94" s="2"/>
      <c r="AU94" s="2"/>
      <c r="AV94" s="2"/>
      <c r="AW94" s="2"/>
      <c r="AX94" s="2"/>
    </row>
    <row r="95" spans="1:50" x14ac:dyDescent="0.5">
      <c r="A95" s="8"/>
      <c r="B95" s="273" t="s">
        <v>114</v>
      </c>
      <c r="C95" s="275">
        <f>C94*24*365/1000000</f>
        <v>416.38701176470579</v>
      </c>
      <c r="D95" s="201" t="s">
        <v>106</v>
      </c>
      <c r="E95" s="201"/>
      <c r="F95" s="201"/>
      <c r="G95" s="201"/>
      <c r="H95" s="201"/>
      <c r="I95" s="201"/>
      <c r="J95" s="201"/>
      <c r="K95" s="201"/>
      <c r="L95" s="8"/>
      <c r="M95" s="7"/>
      <c r="N95" s="7"/>
      <c r="O95" s="257"/>
      <c r="P95" s="7"/>
      <c r="Q95" s="22"/>
      <c r="R95" s="2"/>
      <c r="S95" s="2"/>
      <c r="T95" s="2"/>
      <c r="U95" s="2"/>
      <c r="V95" s="2"/>
      <c r="W95" s="2"/>
      <c r="X95" s="2"/>
      <c r="Y95" s="2"/>
      <c r="Z95" s="7"/>
      <c r="AA95" s="50"/>
      <c r="AB95" s="7"/>
      <c r="AC95" s="7"/>
      <c r="AD95" s="7"/>
      <c r="AE95" s="7"/>
      <c r="AF95" s="7"/>
      <c r="AG95" s="7"/>
      <c r="AH95" s="7"/>
      <c r="AI95" s="7"/>
      <c r="AJ95" s="7"/>
      <c r="AK95" s="7"/>
      <c r="AL95" s="7"/>
      <c r="AM95" s="7"/>
      <c r="AN95" s="7"/>
      <c r="AO95" s="2"/>
      <c r="AP95" s="2"/>
      <c r="AQ95" s="2"/>
      <c r="AR95" s="2"/>
      <c r="AS95" s="2"/>
      <c r="AT95" s="2"/>
      <c r="AU95" s="2"/>
      <c r="AV95" s="2"/>
      <c r="AW95" s="2"/>
      <c r="AX95" s="2"/>
    </row>
    <row r="96" spans="1:50" x14ac:dyDescent="0.5">
      <c r="A96" s="8"/>
      <c r="B96" s="273" t="s">
        <v>108</v>
      </c>
      <c r="C96" s="275">
        <f>C95*C93/C94</f>
        <v>470.58823529411757</v>
      </c>
      <c r="D96" s="201" t="s">
        <v>106</v>
      </c>
      <c r="E96" s="201"/>
      <c r="F96" s="201"/>
      <c r="G96" s="201"/>
      <c r="H96" s="201"/>
      <c r="I96" s="201"/>
      <c r="J96" s="201"/>
      <c r="K96" s="201"/>
      <c r="L96" s="8"/>
      <c r="M96" s="7"/>
      <c r="N96" s="7"/>
      <c r="O96" s="257"/>
      <c r="P96" s="7"/>
      <c r="Q96" s="22"/>
      <c r="R96" s="2"/>
      <c r="S96" s="2"/>
      <c r="T96" s="2"/>
      <c r="U96" s="2"/>
      <c r="V96" s="2"/>
      <c r="W96" s="2"/>
      <c r="X96" s="2"/>
      <c r="Y96" s="2"/>
      <c r="Z96" s="7"/>
      <c r="AA96" s="50"/>
      <c r="AB96" s="7"/>
      <c r="AC96" s="7"/>
      <c r="AD96" s="7"/>
      <c r="AE96" s="7"/>
      <c r="AF96" s="7"/>
      <c r="AG96" s="7"/>
      <c r="AH96" s="7"/>
      <c r="AI96" s="7"/>
      <c r="AJ96" s="7"/>
      <c r="AK96" s="7"/>
      <c r="AL96" s="7"/>
      <c r="AM96" s="7"/>
      <c r="AN96" s="7"/>
      <c r="AO96" s="2"/>
      <c r="AP96" s="2"/>
      <c r="AQ96" s="2"/>
      <c r="AR96" s="2"/>
      <c r="AS96" s="2"/>
      <c r="AT96" s="2"/>
      <c r="AU96" s="2"/>
      <c r="AV96" s="2"/>
      <c r="AW96" s="2"/>
      <c r="AX96" s="2"/>
    </row>
    <row r="97" spans="1:50" x14ac:dyDescent="0.5">
      <c r="A97" s="8"/>
      <c r="B97" s="273" t="s">
        <v>115</v>
      </c>
      <c r="C97" s="201">
        <v>7</v>
      </c>
      <c r="D97" s="201" t="s">
        <v>116</v>
      </c>
      <c r="E97" s="201"/>
      <c r="F97" s="201"/>
      <c r="G97" s="201"/>
      <c r="H97" s="201"/>
      <c r="I97" s="201"/>
      <c r="J97" s="201"/>
      <c r="K97" s="201"/>
      <c r="L97" s="8"/>
      <c r="M97" s="7"/>
      <c r="N97" s="7"/>
      <c r="O97" s="257"/>
      <c r="P97" s="7"/>
      <c r="Q97" s="22"/>
      <c r="R97" s="2"/>
      <c r="S97" s="2"/>
      <c r="T97" s="2"/>
      <c r="U97" s="2"/>
      <c r="V97" s="2"/>
      <c r="W97" s="2"/>
      <c r="X97" s="2"/>
      <c r="Y97" s="2"/>
      <c r="Z97" s="7"/>
      <c r="AA97" s="276"/>
      <c r="AB97" s="7"/>
      <c r="AC97" s="7"/>
      <c r="AD97" s="7"/>
      <c r="AE97" s="7"/>
      <c r="AF97" s="7"/>
      <c r="AG97" s="7"/>
      <c r="AH97" s="7"/>
      <c r="AI97" s="7"/>
      <c r="AJ97" s="7"/>
      <c r="AK97" s="7"/>
      <c r="AL97" s="7"/>
      <c r="AM97" s="7"/>
      <c r="AN97" s="7"/>
      <c r="AO97" s="2"/>
      <c r="AP97" s="2"/>
      <c r="AQ97" s="2"/>
      <c r="AR97" s="2"/>
      <c r="AS97" s="2"/>
      <c r="AT97" s="2"/>
      <c r="AU97" s="2"/>
      <c r="AV97" s="2"/>
      <c r="AW97" s="2"/>
      <c r="AX97" s="2"/>
    </row>
    <row r="98" spans="1:50" x14ac:dyDescent="0.5">
      <c r="A98" s="8"/>
      <c r="B98" s="273" t="s">
        <v>117</v>
      </c>
      <c r="C98" s="201">
        <v>7</v>
      </c>
      <c r="D98" s="201" t="s">
        <v>116</v>
      </c>
      <c r="E98" s="201"/>
      <c r="F98" s="201"/>
      <c r="G98" s="201"/>
      <c r="H98" s="201"/>
      <c r="I98" s="201"/>
      <c r="J98" s="201"/>
      <c r="K98" s="201"/>
      <c r="L98" s="8"/>
      <c r="M98" s="7"/>
      <c r="N98" s="7"/>
      <c r="O98" s="257"/>
      <c r="P98" s="7"/>
      <c r="Q98" s="22"/>
      <c r="R98" s="2"/>
      <c r="S98" s="2"/>
      <c r="T98" s="2"/>
      <c r="U98" s="2"/>
      <c r="V98" s="2"/>
      <c r="W98" s="2"/>
      <c r="X98" s="2"/>
      <c r="Y98" s="2"/>
      <c r="Z98" s="7"/>
      <c r="AA98" s="7"/>
      <c r="AB98" s="7"/>
      <c r="AC98" s="7"/>
      <c r="AD98" s="7"/>
      <c r="AE98" s="7"/>
      <c r="AF98" s="7"/>
      <c r="AG98" s="7"/>
      <c r="AH98" s="7"/>
      <c r="AI98" s="7"/>
      <c r="AJ98" s="7"/>
      <c r="AK98" s="7"/>
      <c r="AL98" s="7"/>
      <c r="AM98" s="7"/>
      <c r="AN98" s="7"/>
      <c r="AO98" s="2"/>
      <c r="AP98" s="2"/>
      <c r="AQ98" s="2"/>
      <c r="AR98" s="2"/>
      <c r="AS98" s="2"/>
      <c r="AT98" s="2"/>
      <c r="AU98" s="2"/>
      <c r="AV98" s="2"/>
      <c r="AW98" s="2"/>
      <c r="AX98" s="2"/>
    </row>
    <row r="99" spans="1:50" x14ac:dyDescent="0.5">
      <c r="A99" s="8"/>
      <c r="B99" s="273" t="s">
        <v>118</v>
      </c>
      <c r="C99" s="201">
        <v>7</v>
      </c>
      <c r="D99" s="201" t="s">
        <v>116</v>
      </c>
      <c r="E99" s="201"/>
      <c r="F99" s="201"/>
      <c r="G99" s="201"/>
      <c r="H99" s="201"/>
      <c r="I99" s="201"/>
      <c r="J99" s="201"/>
      <c r="K99" s="201"/>
      <c r="L99" s="8"/>
      <c r="M99" s="7"/>
      <c r="N99" s="7"/>
      <c r="O99" s="257"/>
      <c r="P99" s="7"/>
      <c r="Q99" s="22"/>
      <c r="R99" s="2"/>
      <c r="S99" s="2"/>
      <c r="T99" s="2"/>
      <c r="U99" s="2"/>
      <c r="V99" s="2"/>
      <c r="W99" s="2"/>
      <c r="X99" s="2"/>
      <c r="Y99" s="2"/>
      <c r="Z99" s="7"/>
      <c r="AA99" s="7"/>
      <c r="AB99" s="7"/>
      <c r="AC99" s="7"/>
      <c r="AD99" s="7"/>
      <c r="AE99" s="7"/>
      <c r="AF99" s="7"/>
      <c r="AG99" s="7"/>
      <c r="AH99" s="7"/>
      <c r="AI99" s="7"/>
      <c r="AJ99" s="7"/>
      <c r="AK99" s="7"/>
      <c r="AL99" s="7"/>
      <c r="AM99" s="7"/>
      <c r="AN99" s="7"/>
      <c r="AO99" s="2"/>
      <c r="AP99" s="2"/>
      <c r="AQ99" s="2"/>
      <c r="AR99" s="2"/>
      <c r="AS99" s="2"/>
      <c r="AT99" s="2"/>
      <c r="AU99" s="2"/>
      <c r="AV99" s="2"/>
      <c r="AW99" s="2"/>
      <c r="AX99" s="2"/>
    </row>
    <row r="100" spans="1:50" x14ac:dyDescent="0.5">
      <c r="A100" s="8"/>
      <c r="B100" s="273" t="s">
        <v>119</v>
      </c>
      <c r="C100" s="201">
        <v>7</v>
      </c>
      <c r="D100" s="201" t="s">
        <v>116</v>
      </c>
      <c r="E100" s="201"/>
      <c r="F100" s="201"/>
      <c r="G100" s="201"/>
      <c r="H100" s="201"/>
      <c r="I100" s="201"/>
      <c r="J100" s="201"/>
      <c r="K100" s="201"/>
      <c r="L100" s="8"/>
      <c r="M100" s="7"/>
      <c r="N100" s="7"/>
      <c r="O100" s="257"/>
      <c r="P100" s="7"/>
      <c r="Q100" s="22"/>
      <c r="R100" s="2"/>
      <c r="S100" s="2"/>
      <c r="T100" s="2"/>
      <c r="U100" s="2"/>
      <c r="V100" s="2"/>
      <c r="W100" s="2"/>
      <c r="X100" s="2"/>
      <c r="Y100" s="2"/>
      <c r="Z100" s="7"/>
      <c r="AA100" s="7"/>
      <c r="AB100" s="7"/>
      <c r="AC100" s="7"/>
      <c r="AD100" s="7"/>
      <c r="AE100" s="7"/>
      <c r="AF100" s="7"/>
      <c r="AG100" s="7"/>
      <c r="AH100" s="7"/>
      <c r="AI100" s="7"/>
      <c r="AJ100" s="7"/>
      <c r="AK100" s="7"/>
      <c r="AL100" s="7"/>
      <c r="AM100" s="7"/>
      <c r="AN100" s="7"/>
      <c r="AO100" s="2"/>
      <c r="AP100" s="2"/>
      <c r="AQ100" s="2"/>
      <c r="AR100" s="2"/>
      <c r="AS100" s="2"/>
      <c r="AT100" s="2"/>
      <c r="AU100" s="2"/>
      <c r="AV100" s="2"/>
      <c r="AW100" s="2"/>
      <c r="AX100" s="2"/>
    </row>
    <row r="101" spans="1:50" x14ac:dyDescent="0.5">
      <c r="A101" s="8"/>
      <c r="B101" s="273" t="s">
        <v>120</v>
      </c>
      <c r="C101" s="201">
        <v>25</v>
      </c>
      <c r="D101" s="201" t="s">
        <v>121</v>
      </c>
      <c r="E101" s="201"/>
      <c r="F101" s="201"/>
      <c r="G101" s="201"/>
      <c r="H101" s="201"/>
      <c r="I101" s="201"/>
      <c r="J101" s="201"/>
      <c r="K101" s="201"/>
      <c r="L101" s="8"/>
      <c r="M101" s="7"/>
      <c r="N101" s="7"/>
      <c r="O101" s="257"/>
      <c r="P101" s="7"/>
      <c r="Q101" s="22"/>
      <c r="R101" s="2"/>
      <c r="S101" s="2"/>
      <c r="T101" s="2"/>
      <c r="U101" s="2"/>
      <c r="V101" s="2"/>
      <c r="W101" s="2"/>
      <c r="X101" s="2"/>
      <c r="Y101" s="2"/>
      <c r="Z101" s="7"/>
      <c r="AA101" s="276"/>
      <c r="AB101" s="7"/>
      <c r="AC101" s="2"/>
      <c r="AD101" s="7"/>
      <c r="AE101" s="7"/>
      <c r="AF101" s="7"/>
      <c r="AG101" s="7"/>
      <c r="AH101" s="7"/>
      <c r="AI101" s="7"/>
      <c r="AJ101" s="7"/>
      <c r="AK101" s="7"/>
      <c r="AL101" s="7"/>
      <c r="AM101" s="7"/>
      <c r="AN101" s="7"/>
      <c r="AO101" s="2"/>
      <c r="AP101" s="2"/>
      <c r="AQ101" s="2"/>
      <c r="AR101" s="2"/>
      <c r="AS101" s="2"/>
      <c r="AT101" s="2"/>
      <c r="AU101" s="2"/>
      <c r="AV101" s="2"/>
      <c r="AW101" s="2"/>
      <c r="AX101" s="2"/>
    </row>
    <row r="102" spans="1:50" x14ac:dyDescent="0.5">
      <c r="A102" s="277"/>
      <c r="B102" s="273" t="s">
        <v>122</v>
      </c>
      <c r="C102" s="278">
        <v>1</v>
      </c>
      <c r="D102" s="278" t="s">
        <v>20</v>
      </c>
      <c r="E102" s="201"/>
      <c r="F102" s="201"/>
      <c r="G102" s="201"/>
      <c r="H102" s="201"/>
      <c r="I102" s="201"/>
      <c r="J102" s="201"/>
      <c r="K102" s="279"/>
      <c r="L102" s="22"/>
      <c r="O102" s="257"/>
      <c r="P102" s="7"/>
      <c r="Q102" s="22"/>
      <c r="R102" s="2"/>
      <c r="S102" s="2"/>
      <c r="T102" s="2"/>
      <c r="U102" s="2"/>
      <c r="V102" s="2"/>
      <c r="W102" s="2"/>
      <c r="X102" s="2"/>
      <c r="Y102" s="2"/>
      <c r="Z102" s="7"/>
      <c r="AA102" s="7"/>
      <c r="AB102" s="7"/>
      <c r="AC102" s="7"/>
      <c r="AD102" s="7"/>
      <c r="AE102" s="7"/>
      <c r="AF102" s="7"/>
      <c r="AG102" s="7"/>
      <c r="AH102" s="7"/>
      <c r="AI102" s="7"/>
      <c r="AJ102" s="7"/>
      <c r="AK102" s="7"/>
      <c r="AL102" s="7"/>
      <c r="AM102" s="7"/>
      <c r="AN102" s="7"/>
      <c r="AO102" s="2"/>
      <c r="AP102" s="2"/>
      <c r="AQ102" s="2"/>
      <c r="AR102" s="2"/>
      <c r="AS102" s="2"/>
      <c r="AT102" s="2"/>
      <c r="AU102" s="2"/>
      <c r="AV102" s="2"/>
      <c r="AW102" s="2"/>
      <c r="AX102" s="2"/>
    </row>
    <row r="103" spans="1:50" x14ac:dyDescent="0.5">
      <c r="A103" s="277"/>
      <c r="B103" s="280"/>
      <c r="C103" s="201"/>
      <c r="D103" s="201"/>
      <c r="E103" s="281"/>
      <c r="F103" s="282" t="s">
        <v>123</v>
      </c>
      <c r="G103" s="283"/>
      <c r="H103" s="281"/>
      <c r="I103" s="284" t="s">
        <v>124</v>
      </c>
      <c r="J103" s="283"/>
      <c r="K103" s="278"/>
      <c r="L103" s="38"/>
      <c r="N103" s="2"/>
      <c r="O103" s="2"/>
      <c r="T103" s="2"/>
      <c r="U103" s="2"/>
      <c r="V103" s="2"/>
      <c r="W103" s="2"/>
      <c r="AC103" s="7"/>
      <c r="AD103" s="7"/>
      <c r="AE103" s="2"/>
      <c r="AF103" s="7"/>
      <c r="AG103" s="2"/>
      <c r="AH103" s="7"/>
      <c r="AI103" s="7"/>
      <c r="AJ103" s="7"/>
      <c r="AK103" s="7"/>
      <c r="AL103" s="7"/>
      <c r="AM103" s="7"/>
      <c r="AN103" s="7"/>
      <c r="AO103" s="2"/>
      <c r="AP103" s="2"/>
      <c r="AQ103" s="2"/>
      <c r="AR103" s="2"/>
      <c r="AS103" s="2"/>
      <c r="AT103" s="2"/>
      <c r="AU103" s="2"/>
      <c r="AV103" s="2"/>
      <c r="AW103" s="2"/>
      <c r="AX103" s="2"/>
    </row>
    <row r="104" spans="1:50" x14ac:dyDescent="0.5">
      <c r="A104" s="277"/>
      <c r="B104" s="285" t="s">
        <v>55</v>
      </c>
      <c r="C104" s="286" t="s">
        <v>125</v>
      </c>
      <c r="D104" s="286" t="s">
        <v>126</v>
      </c>
      <c r="E104" s="287" t="s">
        <v>127</v>
      </c>
      <c r="F104" s="288" t="s">
        <v>128</v>
      </c>
      <c r="G104" s="288" t="s">
        <v>129</v>
      </c>
      <c r="H104" s="287" t="s">
        <v>130</v>
      </c>
      <c r="I104" s="288" t="s">
        <v>131</v>
      </c>
      <c r="J104" s="288" t="s">
        <v>132</v>
      </c>
      <c r="K104" s="289" t="s">
        <v>133</v>
      </c>
      <c r="L104" s="38"/>
      <c r="N104" s="2"/>
      <c r="O104" s="2"/>
      <c r="Q104" s="7"/>
      <c r="T104" s="2"/>
      <c r="U104" s="2"/>
      <c r="V104" s="2"/>
      <c r="W104" s="2"/>
      <c r="AC104" s="7"/>
      <c r="AD104" s="7"/>
      <c r="AE104" s="2"/>
      <c r="AF104" s="7"/>
      <c r="AG104" s="2"/>
      <c r="AH104" s="7"/>
      <c r="AI104" s="7"/>
      <c r="AJ104" s="7"/>
      <c r="AK104" s="7"/>
      <c r="AL104" s="7"/>
      <c r="AM104" s="7"/>
      <c r="AN104" s="7"/>
      <c r="AO104" s="2"/>
      <c r="AP104" s="2"/>
      <c r="AQ104" s="2"/>
      <c r="AR104" s="2"/>
      <c r="AS104" s="2"/>
      <c r="AT104" s="2"/>
      <c r="AU104" s="2"/>
      <c r="AV104" s="2"/>
      <c r="AW104" s="2"/>
      <c r="AX104" s="2"/>
    </row>
    <row r="105" spans="1:50" x14ac:dyDescent="0.5">
      <c r="A105" s="277"/>
      <c r="B105" s="273" t="s">
        <v>134</v>
      </c>
      <c r="C105" s="275">
        <v>201383.20383348185</v>
      </c>
      <c r="D105" s="275">
        <v>25732.298267611568</v>
      </c>
      <c r="E105" s="290">
        <f t="shared" ref="E105:F113" si="3">C105*1/(24*365)*$C$86*$C$71/$C$74*$C$102</f>
        <v>0.13896813035240596</v>
      </c>
      <c r="F105" s="291">
        <f t="shared" si="3"/>
        <v>1.7757038878362979E-2</v>
      </c>
      <c r="G105" s="291">
        <f t="shared" ref="G105:G113" si="4">SUM(E105:F105)</f>
        <v>0.15672516923076893</v>
      </c>
      <c r="H105" s="290">
        <f>E105/($C$20/100)/($C$189*$C$188*$C$187*$C$186)</f>
        <v>0.15705765400198501</v>
      </c>
      <c r="I105" s="291">
        <f t="shared" ref="I105:I113" si="5">F105/($C$20/100)/($C$189*$C$188*$C$187*$C$186)</f>
        <v>2.0068478011364743E-2</v>
      </c>
      <c r="J105" s="291">
        <f t="shared" ref="J105:J113" si="6">SUM(H105:I105)</f>
        <v>0.17712613201334976</v>
      </c>
      <c r="K105" s="292">
        <f t="shared" ref="K105:K113" si="7">H105/$C$97+I105/$C$101</f>
        <v>2.323954683502388E-2</v>
      </c>
      <c r="L105" s="45"/>
      <c r="N105" s="2"/>
      <c r="O105" s="2"/>
      <c r="T105" s="7"/>
      <c r="U105" s="2"/>
      <c r="V105" s="2"/>
      <c r="W105" s="2"/>
      <c r="AC105" s="7"/>
      <c r="AD105" s="7"/>
      <c r="AE105" s="7"/>
      <c r="AF105" s="7"/>
      <c r="AG105" s="7"/>
      <c r="AH105" s="7"/>
      <c r="AI105" s="7"/>
      <c r="AJ105" s="7"/>
      <c r="AK105" s="7"/>
      <c r="AL105" s="7"/>
      <c r="AM105" s="7"/>
      <c r="AN105" s="7"/>
      <c r="AO105" s="2"/>
      <c r="AP105" s="2"/>
      <c r="AQ105" s="2"/>
      <c r="AR105" s="2"/>
      <c r="AS105" s="2"/>
      <c r="AT105" s="2"/>
      <c r="AU105" s="2"/>
      <c r="AV105" s="2"/>
      <c r="AW105" s="2"/>
      <c r="AX105" s="2"/>
    </row>
    <row r="106" spans="1:50" x14ac:dyDescent="0.5">
      <c r="A106" s="277"/>
      <c r="B106" s="293" t="s">
        <v>135</v>
      </c>
      <c r="C106" s="275"/>
      <c r="D106" s="275"/>
      <c r="E106" s="290">
        <f t="shared" si="3"/>
        <v>0</v>
      </c>
      <c r="F106" s="291">
        <f t="shared" si="3"/>
        <v>0</v>
      </c>
      <c r="G106" s="291">
        <f t="shared" si="4"/>
        <v>0</v>
      </c>
      <c r="H106" s="290">
        <f t="shared" ref="H106:H113" si="8">E106/($C$20/100)/($C$189*$C$188*$C$187*$C$186)</f>
        <v>0</v>
      </c>
      <c r="I106" s="291">
        <f t="shared" si="5"/>
        <v>0</v>
      </c>
      <c r="J106" s="291">
        <f t="shared" si="6"/>
        <v>0</v>
      </c>
      <c r="K106" s="292">
        <f t="shared" si="7"/>
        <v>0</v>
      </c>
      <c r="L106" s="45"/>
      <c r="T106" s="7"/>
      <c r="U106" s="2"/>
      <c r="V106" s="2"/>
      <c r="W106" s="2"/>
      <c r="AC106" s="7"/>
      <c r="AD106" s="7"/>
      <c r="AE106" s="7"/>
      <c r="AF106" s="7"/>
      <c r="AG106" s="7"/>
      <c r="AH106" s="7"/>
      <c r="AI106" s="7"/>
      <c r="AJ106" s="7"/>
      <c r="AK106" s="7"/>
      <c r="AL106" s="7"/>
      <c r="AM106" s="7"/>
      <c r="AN106" s="7"/>
      <c r="AO106" s="2"/>
      <c r="AP106" s="2"/>
      <c r="AQ106" s="2"/>
      <c r="AR106" s="2"/>
      <c r="AS106" s="2"/>
      <c r="AT106" s="2"/>
      <c r="AU106" s="2"/>
      <c r="AV106" s="2"/>
      <c r="AW106" s="2"/>
      <c r="AX106" s="2"/>
    </row>
    <row r="107" spans="1:50" x14ac:dyDescent="0.5">
      <c r="A107" s="277"/>
      <c r="B107" s="273"/>
      <c r="C107" s="275"/>
      <c r="D107" s="275"/>
      <c r="E107" s="290">
        <f t="shared" si="3"/>
        <v>0</v>
      </c>
      <c r="F107" s="291">
        <f t="shared" si="3"/>
        <v>0</v>
      </c>
      <c r="G107" s="291">
        <f t="shared" si="4"/>
        <v>0</v>
      </c>
      <c r="H107" s="290">
        <f t="shared" si="8"/>
        <v>0</v>
      </c>
      <c r="I107" s="291">
        <f t="shared" si="5"/>
        <v>0</v>
      </c>
      <c r="J107" s="291">
        <f t="shared" si="6"/>
        <v>0</v>
      </c>
      <c r="K107" s="292">
        <f t="shared" si="7"/>
        <v>0</v>
      </c>
      <c r="L107" s="45"/>
      <c r="T107" s="7"/>
      <c r="U107" s="2"/>
      <c r="V107" s="2"/>
      <c r="W107" s="2"/>
      <c r="AC107" s="7"/>
      <c r="AD107" s="7"/>
      <c r="AE107" s="7"/>
      <c r="AF107" s="7"/>
      <c r="AG107" s="7"/>
      <c r="AH107" s="7"/>
      <c r="AI107" s="7"/>
      <c r="AJ107" s="7"/>
      <c r="AK107" s="7"/>
      <c r="AL107" s="7"/>
      <c r="AM107" s="7"/>
      <c r="AN107" s="7"/>
      <c r="AO107" s="2"/>
      <c r="AP107" s="2"/>
      <c r="AQ107" s="2"/>
      <c r="AR107" s="2"/>
      <c r="AS107" s="2"/>
      <c r="AT107" s="2"/>
      <c r="AU107" s="2"/>
      <c r="AV107" s="2"/>
      <c r="AW107" s="2"/>
      <c r="AX107" s="2"/>
    </row>
    <row r="108" spans="1:50" x14ac:dyDescent="0.5">
      <c r="A108" s="277"/>
      <c r="B108" s="273"/>
      <c r="C108" s="275"/>
      <c r="D108" s="275"/>
      <c r="E108" s="290">
        <f t="shared" si="3"/>
        <v>0</v>
      </c>
      <c r="F108" s="291">
        <f t="shared" si="3"/>
        <v>0</v>
      </c>
      <c r="G108" s="291">
        <f t="shared" si="4"/>
        <v>0</v>
      </c>
      <c r="H108" s="290">
        <f t="shared" si="8"/>
        <v>0</v>
      </c>
      <c r="I108" s="291">
        <f t="shared" si="5"/>
        <v>0</v>
      </c>
      <c r="J108" s="291">
        <f t="shared" si="6"/>
        <v>0</v>
      </c>
      <c r="K108" s="292">
        <f t="shared" si="7"/>
        <v>0</v>
      </c>
      <c r="L108" s="45"/>
      <c r="T108" s="7"/>
      <c r="U108" s="2"/>
      <c r="V108" s="2"/>
      <c r="W108" s="2"/>
      <c r="AC108" s="7"/>
      <c r="AD108" s="7"/>
      <c r="AE108" s="7"/>
      <c r="AF108" s="7"/>
      <c r="AG108" s="7"/>
      <c r="AH108" s="7"/>
      <c r="AI108" s="7"/>
      <c r="AJ108" s="7"/>
      <c r="AK108" s="7"/>
      <c r="AL108" s="7"/>
      <c r="AM108" s="7"/>
      <c r="AN108" s="7"/>
      <c r="AO108" s="2"/>
      <c r="AP108" s="2"/>
      <c r="AQ108" s="2"/>
      <c r="AR108" s="2"/>
      <c r="AS108" s="2"/>
      <c r="AT108" s="2"/>
      <c r="AU108" s="2"/>
      <c r="AV108" s="2"/>
      <c r="AW108" s="2"/>
      <c r="AX108" s="2"/>
    </row>
    <row r="109" spans="1:50" x14ac:dyDescent="0.5">
      <c r="A109" s="277"/>
      <c r="B109" s="273"/>
      <c r="C109" s="275"/>
      <c r="D109" s="275"/>
      <c r="E109" s="290">
        <f t="shared" si="3"/>
        <v>0</v>
      </c>
      <c r="F109" s="291">
        <f t="shared" si="3"/>
        <v>0</v>
      </c>
      <c r="G109" s="291">
        <f t="shared" si="4"/>
        <v>0</v>
      </c>
      <c r="H109" s="290">
        <f t="shared" si="8"/>
        <v>0</v>
      </c>
      <c r="I109" s="291">
        <f t="shared" si="5"/>
        <v>0</v>
      </c>
      <c r="J109" s="291">
        <f t="shared" si="6"/>
        <v>0</v>
      </c>
      <c r="K109" s="292">
        <f t="shared" si="7"/>
        <v>0</v>
      </c>
      <c r="L109" s="45"/>
      <c r="T109" s="7"/>
      <c r="U109" s="2"/>
      <c r="V109" s="2"/>
      <c r="W109" s="2"/>
      <c r="AC109" s="7"/>
      <c r="AD109" s="7"/>
      <c r="AE109" s="7"/>
      <c r="AF109" s="7"/>
      <c r="AG109" s="7"/>
      <c r="AH109" s="7"/>
      <c r="AI109" s="7"/>
      <c r="AJ109" s="7"/>
      <c r="AK109" s="7"/>
      <c r="AL109" s="7"/>
      <c r="AM109" s="7"/>
      <c r="AN109" s="7"/>
      <c r="AO109" s="2"/>
      <c r="AP109" s="2"/>
      <c r="AQ109" s="2"/>
      <c r="AR109" s="2"/>
      <c r="AS109" s="2"/>
      <c r="AT109" s="2"/>
      <c r="AU109" s="2"/>
      <c r="AV109" s="2"/>
      <c r="AW109" s="2"/>
      <c r="AX109" s="2"/>
    </row>
    <row r="110" spans="1:50" x14ac:dyDescent="0.5">
      <c r="A110" s="277"/>
      <c r="B110" s="273"/>
      <c r="C110" s="275"/>
      <c r="D110" s="275"/>
      <c r="E110" s="290">
        <f t="shared" si="3"/>
        <v>0</v>
      </c>
      <c r="F110" s="291">
        <f t="shared" si="3"/>
        <v>0</v>
      </c>
      <c r="G110" s="291">
        <f t="shared" si="4"/>
        <v>0</v>
      </c>
      <c r="H110" s="290">
        <f t="shared" si="8"/>
        <v>0</v>
      </c>
      <c r="I110" s="291">
        <f t="shared" si="5"/>
        <v>0</v>
      </c>
      <c r="J110" s="291">
        <f t="shared" si="6"/>
        <v>0</v>
      </c>
      <c r="K110" s="292">
        <f t="shared" si="7"/>
        <v>0</v>
      </c>
      <c r="L110" s="45"/>
      <c r="T110" s="7"/>
      <c r="U110" s="2"/>
      <c r="V110" s="2"/>
      <c r="W110" s="2"/>
      <c r="AC110" s="7"/>
      <c r="AD110" s="7"/>
      <c r="AE110" s="7"/>
      <c r="AF110" s="7"/>
      <c r="AG110" s="7"/>
      <c r="AH110" s="7"/>
      <c r="AI110" s="7"/>
      <c r="AJ110" s="7"/>
      <c r="AK110" s="7"/>
      <c r="AL110" s="7"/>
      <c r="AM110" s="7"/>
      <c r="AN110" s="7"/>
      <c r="AO110" s="2"/>
      <c r="AP110" s="2"/>
      <c r="AQ110" s="2"/>
      <c r="AR110" s="2"/>
      <c r="AS110" s="2"/>
      <c r="AT110" s="2"/>
      <c r="AU110" s="2"/>
      <c r="AV110" s="2"/>
      <c r="AW110" s="2"/>
      <c r="AX110" s="2"/>
    </row>
    <row r="111" spans="1:50" x14ac:dyDescent="0.5">
      <c r="A111" s="277"/>
      <c r="B111" s="273"/>
      <c r="C111" s="275"/>
      <c r="D111" s="275"/>
      <c r="E111" s="290">
        <f t="shared" si="3"/>
        <v>0</v>
      </c>
      <c r="F111" s="291">
        <f t="shared" si="3"/>
        <v>0</v>
      </c>
      <c r="G111" s="291">
        <f t="shared" si="4"/>
        <v>0</v>
      </c>
      <c r="H111" s="290">
        <f t="shared" si="8"/>
        <v>0</v>
      </c>
      <c r="I111" s="291">
        <f t="shared" si="5"/>
        <v>0</v>
      </c>
      <c r="J111" s="291">
        <f t="shared" si="6"/>
        <v>0</v>
      </c>
      <c r="K111" s="292">
        <f t="shared" si="7"/>
        <v>0</v>
      </c>
      <c r="L111" s="45"/>
      <c r="T111" s="7"/>
      <c r="U111" s="2"/>
      <c r="V111" s="2"/>
      <c r="W111" s="2"/>
      <c r="AC111" s="7"/>
      <c r="AD111" s="7"/>
      <c r="AE111" s="7"/>
      <c r="AF111" s="7"/>
      <c r="AG111" s="7"/>
      <c r="AH111" s="7"/>
      <c r="AI111" s="7"/>
      <c r="AJ111" s="7"/>
      <c r="AK111" s="7"/>
      <c r="AL111" s="7"/>
      <c r="AM111" s="7"/>
      <c r="AN111" s="7"/>
      <c r="AO111" s="2"/>
      <c r="AP111" s="2"/>
      <c r="AQ111" s="2"/>
      <c r="AR111" s="2"/>
      <c r="AS111" s="2"/>
      <c r="AT111" s="2"/>
      <c r="AU111" s="2"/>
      <c r="AV111" s="2"/>
      <c r="AW111" s="2"/>
      <c r="AX111" s="2"/>
    </row>
    <row r="112" spans="1:50" x14ac:dyDescent="0.5">
      <c r="A112" s="277"/>
      <c r="B112" s="273"/>
      <c r="C112" s="275"/>
      <c r="D112" s="275"/>
      <c r="E112" s="290">
        <f t="shared" si="3"/>
        <v>0</v>
      </c>
      <c r="F112" s="291">
        <f t="shared" si="3"/>
        <v>0</v>
      </c>
      <c r="G112" s="291">
        <f t="shared" si="4"/>
        <v>0</v>
      </c>
      <c r="H112" s="290">
        <f t="shared" si="8"/>
        <v>0</v>
      </c>
      <c r="I112" s="291">
        <f t="shared" si="5"/>
        <v>0</v>
      </c>
      <c r="J112" s="291">
        <f t="shared" si="6"/>
        <v>0</v>
      </c>
      <c r="K112" s="292">
        <f t="shared" si="7"/>
        <v>0</v>
      </c>
      <c r="L112" s="45"/>
      <c r="T112" s="7"/>
      <c r="U112" s="2"/>
      <c r="V112" s="2"/>
      <c r="W112" s="2"/>
      <c r="AC112" s="7"/>
      <c r="AD112" s="7"/>
      <c r="AE112" s="7"/>
      <c r="AF112" s="7"/>
      <c r="AG112" s="7"/>
      <c r="AH112" s="7"/>
      <c r="AI112" s="7"/>
      <c r="AJ112" s="7"/>
      <c r="AK112" s="7"/>
      <c r="AL112" s="7"/>
      <c r="AM112" s="7"/>
      <c r="AN112" s="7"/>
      <c r="AO112" s="2"/>
      <c r="AP112" s="2"/>
      <c r="AQ112" s="2"/>
      <c r="AR112" s="2"/>
      <c r="AS112" s="2"/>
      <c r="AT112" s="2"/>
      <c r="AU112" s="2"/>
      <c r="AV112" s="2"/>
      <c r="AW112" s="2"/>
      <c r="AX112" s="2"/>
    </row>
    <row r="113" spans="1:50" x14ac:dyDescent="0.5">
      <c r="A113" s="277"/>
      <c r="B113" s="273"/>
      <c r="C113" s="275"/>
      <c r="D113" s="275"/>
      <c r="E113" s="290">
        <f t="shared" si="3"/>
        <v>0</v>
      </c>
      <c r="F113" s="291">
        <f t="shared" si="3"/>
        <v>0</v>
      </c>
      <c r="G113" s="291">
        <f t="shared" si="4"/>
        <v>0</v>
      </c>
      <c r="H113" s="290">
        <f t="shared" si="8"/>
        <v>0</v>
      </c>
      <c r="I113" s="291">
        <f t="shared" si="5"/>
        <v>0</v>
      </c>
      <c r="J113" s="291">
        <f t="shared" si="6"/>
        <v>0</v>
      </c>
      <c r="K113" s="292">
        <f t="shared" si="7"/>
        <v>0</v>
      </c>
      <c r="L113" s="45"/>
      <c r="T113" s="7"/>
      <c r="U113" s="2"/>
      <c r="V113" s="2"/>
      <c r="W113" s="2"/>
      <c r="AC113" s="7"/>
      <c r="AD113" s="7"/>
      <c r="AE113" s="7"/>
      <c r="AF113" s="7"/>
      <c r="AG113" s="7"/>
      <c r="AH113" s="7"/>
      <c r="AI113" s="7"/>
      <c r="AJ113" s="7"/>
      <c r="AK113" s="7"/>
      <c r="AL113" s="7"/>
      <c r="AM113" s="7"/>
      <c r="AN113" s="7"/>
      <c r="AO113" s="2"/>
      <c r="AP113" s="2"/>
      <c r="AQ113" s="2"/>
      <c r="AR113" s="2"/>
      <c r="AS113" s="2"/>
      <c r="AT113" s="2"/>
      <c r="AU113" s="2"/>
      <c r="AV113" s="2"/>
      <c r="AW113" s="2"/>
      <c r="AX113" s="2"/>
    </row>
    <row r="114" spans="1:50" x14ac:dyDescent="0.5">
      <c r="A114" s="277"/>
      <c r="B114" s="294" t="s">
        <v>136</v>
      </c>
      <c r="C114" s="275">
        <f>SUM(C105:C113)</f>
        <v>201383.20383348185</v>
      </c>
      <c r="D114" s="275">
        <v>25732.298267611568</v>
      </c>
      <c r="E114" s="290">
        <f t="shared" ref="E114:K114" si="9">SUM(E105:E113)</f>
        <v>0.13896813035240596</v>
      </c>
      <c r="F114" s="291">
        <f t="shared" si="9"/>
        <v>1.7757038878362979E-2</v>
      </c>
      <c r="G114" s="295">
        <f t="shared" si="9"/>
        <v>0.15672516923076893</v>
      </c>
      <c r="H114" s="290">
        <f t="shared" si="9"/>
        <v>0.15705765400198501</v>
      </c>
      <c r="I114" s="291">
        <f t="shared" si="9"/>
        <v>2.0068478011364743E-2</v>
      </c>
      <c r="J114" s="291">
        <f t="shared" si="9"/>
        <v>0.17712613201334976</v>
      </c>
      <c r="K114" s="296">
        <f t="shared" si="9"/>
        <v>2.323954683502388E-2</v>
      </c>
      <c r="L114" s="45"/>
      <c r="T114" s="7"/>
      <c r="U114" s="2"/>
      <c r="V114" s="2"/>
      <c r="W114" s="2"/>
      <c r="AC114" s="7"/>
      <c r="AD114" s="7"/>
      <c r="AE114" s="7"/>
      <c r="AF114" s="7"/>
      <c r="AG114" s="7"/>
      <c r="AH114" s="7"/>
      <c r="AI114" s="7"/>
      <c r="AJ114" s="7"/>
      <c r="AK114" s="7"/>
      <c r="AL114" s="7"/>
      <c r="AM114" s="7"/>
      <c r="AN114" s="7"/>
      <c r="AO114" s="2"/>
      <c r="AP114" s="2"/>
      <c r="AQ114" s="2"/>
      <c r="AR114" s="2"/>
      <c r="AS114" s="2"/>
      <c r="AT114" s="2"/>
      <c r="AU114" s="2"/>
      <c r="AV114" s="2"/>
      <c r="AW114" s="2"/>
      <c r="AX114" s="2"/>
    </row>
    <row r="115" spans="1:50" x14ac:dyDescent="0.5">
      <c r="A115" s="277"/>
      <c r="B115" s="270" t="s">
        <v>56</v>
      </c>
      <c r="C115" s="272" t="s">
        <v>137</v>
      </c>
      <c r="D115" s="272" t="s">
        <v>138</v>
      </c>
      <c r="E115" s="297"/>
      <c r="F115" s="298"/>
      <c r="G115" s="298"/>
      <c r="H115" s="297"/>
      <c r="I115" s="298"/>
      <c r="J115" s="298"/>
      <c r="K115" s="299"/>
      <c r="L115" s="45"/>
      <c r="T115" s="7"/>
      <c r="U115" s="2"/>
      <c r="V115" s="2"/>
      <c r="W115" s="2"/>
      <c r="AC115" s="7"/>
      <c r="AD115" s="7"/>
      <c r="AE115" s="7"/>
      <c r="AF115" s="7"/>
      <c r="AG115" s="7"/>
      <c r="AH115" s="7"/>
      <c r="AI115" s="7"/>
      <c r="AJ115" s="7"/>
      <c r="AK115" s="7"/>
      <c r="AL115" s="7"/>
      <c r="AM115" s="7"/>
      <c r="AN115" s="7"/>
      <c r="AO115" s="2"/>
      <c r="AP115" s="2"/>
      <c r="AQ115" s="2"/>
      <c r="AR115" s="2"/>
      <c r="AS115" s="2"/>
      <c r="AT115" s="2"/>
      <c r="AU115" s="2"/>
      <c r="AV115" s="2"/>
      <c r="AW115" s="2"/>
      <c r="AX115" s="2"/>
    </row>
    <row r="116" spans="1:50" x14ac:dyDescent="0.5">
      <c r="A116" s="277"/>
      <c r="B116" s="273" t="s">
        <v>139</v>
      </c>
      <c r="C116" s="275">
        <v>910.32209999999998</v>
      </c>
      <c r="D116" s="275">
        <v>144.20944158415844</v>
      </c>
      <c r="E116" s="290">
        <f t="shared" ref="E116:F124" si="10">C116*1/(24*365)*$C$71/$C$74*$C$102</f>
        <v>2.3752635671236255E-2</v>
      </c>
      <c r="F116" s="291">
        <f t="shared" si="10"/>
        <v>3.7627937697007931E-3</v>
      </c>
      <c r="G116" s="291">
        <f t="shared" ref="G116:G124" si="11">SUM(E116:F116)</f>
        <v>2.7515429440937048E-2</v>
      </c>
      <c r="H116" s="290">
        <f t="shared" ref="H116:I124" si="12">E116/($C$20/100)/($C$189*$C$188*$C$187)</f>
        <v>2.6844523456047518E-2</v>
      </c>
      <c r="I116" s="291">
        <f t="shared" si="12"/>
        <v>4.2525977752154486E-3</v>
      </c>
      <c r="J116" s="291">
        <f t="shared" ref="J116:J124" si="13">SUM(H116:I116)</f>
        <v>3.1097121231262966E-2</v>
      </c>
      <c r="K116" s="292">
        <f t="shared" ref="K116:K124" si="14">H116/$C$98+I116/$C$101</f>
        <v>4.0050358333011205E-3</v>
      </c>
      <c r="L116" s="45"/>
      <c r="N116" s="2"/>
      <c r="O116" s="2"/>
      <c r="T116" s="4"/>
      <c r="U116" s="2"/>
      <c r="V116" s="4"/>
      <c r="W116" s="4"/>
      <c r="AC116" s="7"/>
      <c r="AD116" s="7"/>
      <c r="AE116" s="7"/>
      <c r="AF116" s="7"/>
      <c r="AG116" s="7"/>
      <c r="AH116" s="7"/>
      <c r="AI116" s="7"/>
      <c r="AJ116" s="7"/>
      <c r="AK116" s="7"/>
      <c r="AL116" s="7"/>
      <c r="AM116" s="7"/>
      <c r="AN116" s="7"/>
      <c r="AO116" s="2"/>
      <c r="AP116" s="2"/>
      <c r="AQ116" s="2"/>
      <c r="AR116" s="2"/>
      <c r="AS116" s="2"/>
      <c r="AT116" s="2"/>
      <c r="AU116" s="2"/>
      <c r="AV116" s="2"/>
      <c r="AW116" s="2"/>
      <c r="AX116" s="2"/>
    </row>
    <row r="117" spans="1:50" x14ac:dyDescent="0.5">
      <c r="A117" s="277"/>
      <c r="B117" s="273" t="s">
        <v>140</v>
      </c>
      <c r="C117" s="275">
        <v>740.81021770373331</v>
      </c>
      <c r="D117" s="275">
        <v>233.2180314993235</v>
      </c>
      <c r="E117" s="290">
        <f t="shared" si="10"/>
        <v>1.9329636403033597E-2</v>
      </c>
      <c r="F117" s="291">
        <f t="shared" si="10"/>
        <v>6.0852559046587268E-3</v>
      </c>
      <c r="G117" s="291">
        <f t="shared" si="11"/>
        <v>2.5414892307692324E-2</v>
      </c>
      <c r="H117" s="290">
        <f t="shared" si="12"/>
        <v>2.184578103248019E-2</v>
      </c>
      <c r="I117" s="291">
        <f t="shared" si="12"/>
        <v>6.8773755102252473E-3</v>
      </c>
      <c r="J117" s="291">
        <f t="shared" si="13"/>
        <v>2.8723156542705436E-2</v>
      </c>
      <c r="K117" s="292">
        <f t="shared" si="14"/>
        <v>3.3959208821918944E-3</v>
      </c>
      <c r="L117" s="45"/>
      <c r="N117" s="2"/>
      <c r="O117" s="2"/>
      <c r="T117" s="4"/>
      <c r="U117" s="2"/>
      <c r="V117" s="4"/>
      <c r="W117" s="4"/>
      <c r="AC117" s="7"/>
      <c r="AD117" s="7"/>
      <c r="AE117" s="7"/>
      <c r="AF117" s="7"/>
      <c r="AG117" s="7"/>
      <c r="AH117" s="7"/>
      <c r="AI117" s="7"/>
      <c r="AJ117" s="7"/>
      <c r="AK117" s="7"/>
      <c r="AL117" s="7"/>
      <c r="AM117" s="7"/>
      <c r="AN117" s="7"/>
      <c r="AO117" s="2"/>
      <c r="AP117" s="2"/>
      <c r="AQ117" s="2"/>
      <c r="AR117" s="2"/>
      <c r="AS117" s="2"/>
      <c r="AT117" s="2"/>
      <c r="AU117" s="2"/>
      <c r="AV117" s="2"/>
      <c r="AW117" s="2"/>
      <c r="AX117" s="2"/>
    </row>
    <row r="118" spans="1:50" x14ac:dyDescent="0.5">
      <c r="A118" s="277"/>
      <c r="B118" s="273" t="s">
        <v>141</v>
      </c>
      <c r="C118" s="275">
        <v>1101.5795675510769</v>
      </c>
      <c r="D118" s="275">
        <v>34.786723185823483</v>
      </c>
      <c r="E118" s="290">
        <f t="shared" si="10"/>
        <v>2.8743032967033004E-2</v>
      </c>
      <c r="F118" s="291">
        <f t="shared" si="10"/>
        <v>9.0767472527472648E-4</v>
      </c>
      <c r="G118" s="291">
        <f t="shared" si="11"/>
        <v>2.965070769230773E-2</v>
      </c>
      <c r="H118" s="290">
        <f t="shared" si="12"/>
        <v>3.2484522280440693E-2</v>
      </c>
      <c r="I118" s="291">
        <f t="shared" si="12"/>
        <v>1.0258270193823377E-3</v>
      </c>
      <c r="J118" s="291">
        <f t="shared" si="13"/>
        <v>3.3510349299823029E-2</v>
      </c>
      <c r="K118" s="292">
        <f t="shared" si="14"/>
        <v>4.6816791208382502E-3</v>
      </c>
      <c r="L118" s="45"/>
      <c r="N118" s="2"/>
      <c r="O118" s="2"/>
      <c r="T118" s="4"/>
      <c r="U118" s="2"/>
      <c r="V118" s="4"/>
      <c r="W118" s="4"/>
      <c r="AC118" s="7"/>
      <c r="AD118" s="7"/>
      <c r="AE118" s="7"/>
      <c r="AF118" s="7"/>
      <c r="AG118" s="7"/>
      <c r="AH118" s="7"/>
      <c r="AI118" s="7"/>
      <c r="AJ118" s="7"/>
      <c r="AK118" s="7"/>
      <c r="AL118" s="7"/>
      <c r="AM118" s="7"/>
      <c r="AN118" s="7"/>
      <c r="AO118" s="2"/>
      <c r="AP118" s="2"/>
      <c r="AQ118" s="2"/>
      <c r="AR118" s="2"/>
      <c r="AS118" s="2"/>
      <c r="AT118" s="2"/>
      <c r="AU118" s="2"/>
      <c r="AV118" s="2"/>
      <c r="AW118" s="2"/>
      <c r="AX118" s="2"/>
    </row>
    <row r="119" spans="1:50" x14ac:dyDescent="0.5">
      <c r="A119" s="277"/>
      <c r="B119" s="273" t="s">
        <v>142</v>
      </c>
      <c r="C119" s="275">
        <v>246.42914704837335</v>
      </c>
      <c r="D119" s="275">
        <v>209.09139749558955</v>
      </c>
      <c r="E119" s="290">
        <f t="shared" si="10"/>
        <v>6.4299677538461573E-3</v>
      </c>
      <c r="F119" s="291">
        <f t="shared" si="10"/>
        <v>5.4557302153846196E-3</v>
      </c>
      <c r="G119" s="291">
        <f t="shared" si="11"/>
        <v>1.1885697969230776E-2</v>
      </c>
      <c r="H119" s="290">
        <f t="shared" si="12"/>
        <v>7.2669586053044745E-3</v>
      </c>
      <c r="I119" s="291">
        <f t="shared" si="12"/>
        <v>6.1659042711674356E-3</v>
      </c>
      <c r="J119" s="291">
        <f t="shared" si="13"/>
        <v>1.3432862876471909E-2</v>
      </c>
      <c r="K119" s="292">
        <f t="shared" si="14"/>
        <v>1.2847731144616224E-3</v>
      </c>
      <c r="L119" s="45"/>
      <c r="N119" s="2"/>
      <c r="O119" s="2"/>
      <c r="T119" s="4"/>
      <c r="U119" s="2"/>
      <c r="V119" s="4"/>
      <c r="W119" s="4"/>
      <c r="AC119" s="7"/>
      <c r="AD119" s="7"/>
      <c r="AE119" s="7"/>
      <c r="AF119" s="7"/>
      <c r="AG119" s="7"/>
      <c r="AH119" s="7"/>
      <c r="AI119" s="7"/>
      <c r="AJ119" s="7"/>
      <c r="AK119" s="7"/>
      <c r="AL119" s="7"/>
      <c r="AM119" s="7"/>
      <c r="AN119" s="7"/>
      <c r="AO119" s="2"/>
      <c r="AP119" s="2"/>
      <c r="AQ119" s="2"/>
      <c r="AR119" s="2"/>
      <c r="AS119" s="2"/>
      <c r="AT119" s="2"/>
      <c r="AU119" s="2"/>
      <c r="AV119" s="2"/>
      <c r="AW119" s="2"/>
      <c r="AX119" s="2"/>
    </row>
    <row r="120" spans="1:50" x14ac:dyDescent="0.5">
      <c r="A120" s="277"/>
      <c r="B120" s="293" t="s">
        <v>135</v>
      </c>
      <c r="C120" s="275"/>
      <c r="D120" s="275"/>
      <c r="E120" s="290">
        <f t="shared" si="10"/>
        <v>0</v>
      </c>
      <c r="F120" s="291">
        <f t="shared" si="10"/>
        <v>0</v>
      </c>
      <c r="G120" s="291">
        <f t="shared" si="11"/>
        <v>0</v>
      </c>
      <c r="H120" s="290">
        <f t="shared" si="12"/>
        <v>0</v>
      </c>
      <c r="I120" s="291">
        <f t="shared" si="12"/>
        <v>0</v>
      </c>
      <c r="J120" s="291">
        <f t="shared" si="13"/>
        <v>0</v>
      </c>
      <c r="K120" s="292">
        <f t="shared" si="14"/>
        <v>0</v>
      </c>
      <c r="L120" s="45"/>
      <c r="T120" s="4"/>
      <c r="U120" s="2"/>
      <c r="V120" s="4"/>
      <c r="W120" s="4"/>
      <c r="AC120" s="7"/>
      <c r="AD120" s="7"/>
      <c r="AE120" s="7"/>
      <c r="AF120" s="7"/>
      <c r="AG120" s="7"/>
      <c r="AH120" s="7"/>
      <c r="AI120" s="7"/>
      <c r="AJ120" s="7"/>
      <c r="AK120" s="7"/>
      <c r="AL120" s="7"/>
      <c r="AM120" s="7"/>
      <c r="AN120" s="7"/>
      <c r="AO120" s="2"/>
      <c r="AP120" s="2"/>
      <c r="AQ120" s="2"/>
      <c r="AR120" s="2"/>
      <c r="AS120" s="2"/>
      <c r="AT120" s="2"/>
      <c r="AU120" s="2"/>
      <c r="AV120" s="2"/>
      <c r="AW120" s="2"/>
      <c r="AX120" s="2"/>
    </row>
    <row r="121" spans="1:50" x14ac:dyDescent="0.5">
      <c r="A121" s="277"/>
      <c r="B121" s="273"/>
      <c r="C121" s="275"/>
      <c r="D121" s="275"/>
      <c r="E121" s="290">
        <f t="shared" si="10"/>
        <v>0</v>
      </c>
      <c r="F121" s="291">
        <f t="shared" si="10"/>
        <v>0</v>
      </c>
      <c r="G121" s="291">
        <f t="shared" si="11"/>
        <v>0</v>
      </c>
      <c r="H121" s="290">
        <f t="shared" si="12"/>
        <v>0</v>
      </c>
      <c r="I121" s="291">
        <f t="shared" si="12"/>
        <v>0</v>
      </c>
      <c r="J121" s="291">
        <f t="shared" si="13"/>
        <v>0</v>
      </c>
      <c r="K121" s="292">
        <f t="shared" si="14"/>
        <v>0</v>
      </c>
      <c r="L121" s="45"/>
      <c r="T121" s="4"/>
      <c r="U121" s="2"/>
      <c r="V121" s="4"/>
      <c r="W121" s="4"/>
      <c r="AC121" s="7"/>
      <c r="AD121" s="7"/>
      <c r="AE121" s="7"/>
      <c r="AF121" s="7"/>
      <c r="AG121" s="7"/>
      <c r="AH121" s="7"/>
      <c r="AI121" s="7"/>
      <c r="AJ121" s="7"/>
      <c r="AK121" s="7"/>
      <c r="AL121" s="7"/>
      <c r="AM121" s="7"/>
      <c r="AN121" s="7"/>
      <c r="AO121" s="2"/>
      <c r="AP121" s="2"/>
      <c r="AQ121" s="2"/>
      <c r="AR121" s="2"/>
      <c r="AS121" s="2"/>
      <c r="AT121" s="2"/>
      <c r="AU121" s="2"/>
      <c r="AV121" s="2"/>
      <c r="AW121" s="2"/>
      <c r="AX121" s="2"/>
    </row>
    <row r="122" spans="1:50" x14ac:dyDescent="0.5">
      <c r="A122" s="277"/>
      <c r="B122" s="273"/>
      <c r="C122" s="275"/>
      <c r="D122" s="275"/>
      <c r="E122" s="290">
        <f t="shared" si="10"/>
        <v>0</v>
      </c>
      <c r="F122" s="291">
        <f t="shared" si="10"/>
        <v>0</v>
      </c>
      <c r="G122" s="291">
        <f t="shared" si="11"/>
        <v>0</v>
      </c>
      <c r="H122" s="290">
        <f t="shared" si="12"/>
        <v>0</v>
      </c>
      <c r="I122" s="291">
        <f t="shared" si="12"/>
        <v>0</v>
      </c>
      <c r="J122" s="291">
        <f t="shared" si="13"/>
        <v>0</v>
      </c>
      <c r="K122" s="292">
        <f t="shared" si="14"/>
        <v>0</v>
      </c>
      <c r="L122" s="45"/>
      <c r="T122" s="4"/>
      <c r="U122" s="2"/>
      <c r="V122" s="4"/>
      <c r="W122" s="4"/>
      <c r="AC122" s="7"/>
      <c r="AD122" s="7"/>
      <c r="AE122" s="7"/>
      <c r="AF122" s="7"/>
      <c r="AG122" s="7"/>
      <c r="AH122" s="7"/>
      <c r="AI122" s="7"/>
      <c r="AJ122" s="7"/>
      <c r="AK122" s="7"/>
      <c r="AL122" s="7"/>
      <c r="AM122" s="7"/>
      <c r="AN122" s="7"/>
      <c r="AO122" s="2"/>
      <c r="AP122" s="2"/>
      <c r="AQ122" s="2"/>
      <c r="AR122" s="2"/>
      <c r="AS122" s="2"/>
      <c r="AT122" s="2"/>
      <c r="AU122" s="2"/>
      <c r="AV122" s="2"/>
      <c r="AW122" s="2"/>
      <c r="AX122" s="2"/>
    </row>
    <row r="123" spans="1:50" x14ac:dyDescent="0.5">
      <c r="A123" s="277"/>
      <c r="B123" s="273"/>
      <c r="C123" s="275"/>
      <c r="D123" s="275"/>
      <c r="E123" s="290">
        <f t="shared" si="10"/>
        <v>0</v>
      </c>
      <c r="F123" s="291">
        <f t="shared" si="10"/>
        <v>0</v>
      </c>
      <c r="G123" s="291">
        <f t="shared" si="11"/>
        <v>0</v>
      </c>
      <c r="H123" s="290">
        <f t="shared" si="12"/>
        <v>0</v>
      </c>
      <c r="I123" s="291">
        <f t="shared" si="12"/>
        <v>0</v>
      </c>
      <c r="J123" s="291">
        <f t="shared" si="13"/>
        <v>0</v>
      </c>
      <c r="K123" s="292">
        <f t="shared" si="14"/>
        <v>0</v>
      </c>
      <c r="L123" s="45"/>
      <c r="T123" s="4"/>
      <c r="U123" s="2"/>
      <c r="V123" s="4"/>
      <c r="W123" s="4"/>
      <c r="AC123" s="7"/>
      <c r="AD123" s="7"/>
      <c r="AE123" s="7"/>
      <c r="AF123" s="7"/>
      <c r="AG123" s="7"/>
      <c r="AH123" s="7"/>
      <c r="AI123" s="7"/>
      <c r="AJ123" s="7"/>
      <c r="AK123" s="7"/>
      <c r="AL123" s="7"/>
      <c r="AM123" s="7"/>
      <c r="AN123" s="7"/>
      <c r="AO123" s="2"/>
      <c r="AP123" s="2"/>
      <c r="AQ123" s="2"/>
      <c r="AR123" s="2"/>
      <c r="AS123" s="2"/>
      <c r="AT123" s="2"/>
      <c r="AU123" s="2"/>
      <c r="AV123" s="2"/>
      <c r="AW123" s="2"/>
      <c r="AX123" s="2"/>
    </row>
    <row r="124" spans="1:50" x14ac:dyDescent="0.5">
      <c r="A124" s="277"/>
      <c r="B124" s="273"/>
      <c r="C124" s="275"/>
      <c r="D124" s="275"/>
      <c r="E124" s="290">
        <f t="shared" si="10"/>
        <v>0</v>
      </c>
      <c r="F124" s="291">
        <f t="shared" si="10"/>
        <v>0</v>
      </c>
      <c r="G124" s="291">
        <f t="shared" si="11"/>
        <v>0</v>
      </c>
      <c r="H124" s="290">
        <f t="shared" si="12"/>
        <v>0</v>
      </c>
      <c r="I124" s="291">
        <f t="shared" si="12"/>
        <v>0</v>
      </c>
      <c r="J124" s="291">
        <f t="shared" si="13"/>
        <v>0</v>
      </c>
      <c r="K124" s="292">
        <f t="shared" si="14"/>
        <v>0</v>
      </c>
      <c r="L124" s="45"/>
      <c r="T124" s="4"/>
      <c r="U124" s="2"/>
      <c r="V124" s="4"/>
      <c r="W124" s="4"/>
      <c r="AC124" s="7"/>
      <c r="AD124" s="7"/>
      <c r="AE124" s="7"/>
      <c r="AF124" s="7"/>
      <c r="AG124" s="7"/>
      <c r="AH124" s="7"/>
      <c r="AI124" s="7"/>
      <c r="AJ124" s="7"/>
      <c r="AK124" s="7"/>
      <c r="AL124" s="7"/>
      <c r="AM124" s="7"/>
      <c r="AN124" s="7"/>
      <c r="AO124" s="2"/>
      <c r="AP124" s="2"/>
      <c r="AQ124" s="2"/>
      <c r="AR124" s="2"/>
      <c r="AS124" s="2"/>
      <c r="AT124" s="2"/>
      <c r="AU124" s="2"/>
      <c r="AV124" s="2"/>
      <c r="AW124" s="2"/>
      <c r="AX124" s="2"/>
    </row>
    <row r="125" spans="1:50" x14ac:dyDescent="0.5">
      <c r="A125" s="277"/>
      <c r="B125" s="294" t="s">
        <v>143</v>
      </c>
      <c r="C125" s="275">
        <f>SUM(C116:C124)</f>
        <v>2999.1410323031832</v>
      </c>
      <c r="D125" s="275">
        <v>621.30559376489487</v>
      </c>
      <c r="E125" s="290">
        <f t="shared" ref="E125:K125" si="15">SUM(E116:E124)</f>
        <v>7.8255272795149017E-2</v>
      </c>
      <c r="F125" s="291">
        <f t="shared" si="15"/>
        <v>1.6211454615018866E-2</v>
      </c>
      <c r="G125" s="295">
        <f t="shared" si="15"/>
        <v>9.4466727410167872E-2</v>
      </c>
      <c r="H125" s="290">
        <f t="shared" si="15"/>
        <v>8.8441785374272872E-2</v>
      </c>
      <c r="I125" s="291">
        <f t="shared" si="15"/>
        <v>1.8321704575990472E-2</v>
      </c>
      <c r="J125" s="291">
        <f t="shared" si="15"/>
        <v>0.10676348995026334</v>
      </c>
      <c r="K125" s="296">
        <f t="shared" si="15"/>
        <v>1.3367408950792888E-2</v>
      </c>
      <c r="L125" s="45"/>
      <c r="O125" s="300"/>
      <c r="P125" s="7"/>
      <c r="R125" s="28"/>
      <c r="S125" s="7"/>
      <c r="T125" s="4"/>
      <c r="U125" s="2"/>
      <c r="V125" s="4"/>
      <c r="W125" s="4"/>
      <c r="X125" s="4"/>
      <c r="Y125" s="2"/>
      <c r="AC125" s="7"/>
      <c r="AD125" s="7"/>
      <c r="AE125" s="7"/>
      <c r="AF125" s="7"/>
      <c r="AG125" s="7"/>
      <c r="AH125" s="7"/>
      <c r="AI125" s="7"/>
      <c r="AJ125" s="7"/>
      <c r="AK125" s="7"/>
      <c r="AL125" s="7"/>
      <c r="AM125" s="7"/>
      <c r="AN125" s="7"/>
      <c r="AO125" s="2"/>
      <c r="AP125" s="2"/>
      <c r="AQ125" s="2"/>
      <c r="AR125" s="2"/>
      <c r="AS125" s="2"/>
      <c r="AT125" s="2"/>
      <c r="AU125" s="2"/>
      <c r="AV125" s="2"/>
      <c r="AW125" s="2"/>
      <c r="AX125" s="2"/>
    </row>
    <row r="126" spans="1:50" x14ac:dyDescent="0.5">
      <c r="A126" s="277"/>
      <c r="B126" s="270" t="s">
        <v>144</v>
      </c>
      <c r="C126" s="272" t="s">
        <v>137</v>
      </c>
      <c r="D126" s="272" t="s">
        <v>138</v>
      </c>
      <c r="E126" s="297"/>
      <c r="F126" s="298"/>
      <c r="G126" s="298"/>
      <c r="H126" s="297"/>
      <c r="I126" s="298"/>
      <c r="J126" s="298"/>
      <c r="K126" s="299"/>
      <c r="L126" s="45"/>
      <c r="O126" s="300"/>
      <c r="P126" s="7"/>
      <c r="R126" s="28"/>
      <c r="S126" s="7"/>
      <c r="T126" s="4"/>
      <c r="U126" s="2"/>
      <c r="V126" s="4"/>
      <c r="W126" s="4"/>
      <c r="X126" s="4"/>
      <c r="Y126" s="2"/>
      <c r="AC126" s="7"/>
      <c r="AD126" s="7"/>
      <c r="AE126" s="7"/>
      <c r="AF126" s="7"/>
      <c r="AG126" s="7"/>
      <c r="AH126" s="7"/>
      <c r="AI126" s="7"/>
      <c r="AJ126" s="7"/>
      <c r="AK126" s="7"/>
      <c r="AL126" s="7"/>
      <c r="AM126" s="7"/>
      <c r="AN126" s="7"/>
      <c r="AO126" s="2"/>
      <c r="AP126" s="2"/>
      <c r="AQ126" s="2"/>
      <c r="AR126" s="2"/>
      <c r="AS126" s="2"/>
      <c r="AT126" s="2"/>
      <c r="AU126" s="2"/>
      <c r="AV126" s="2"/>
      <c r="AW126" s="2"/>
      <c r="AX126" s="2"/>
    </row>
    <row r="127" spans="1:50" x14ac:dyDescent="0.5">
      <c r="A127" s="277"/>
      <c r="B127" s="273" t="s">
        <v>145</v>
      </c>
      <c r="C127" s="275">
        <v>333.95254258390491</v>
      </c>
      <c r="D127" s="275">
        <v>315.39962355146588</v>
      </c>
      <c r="E127" s="290">
        <f t="shared" ref="E127:F139" si="16">C127*1/(24*365)*$C$71/$C$74*$C$102</f>
        <v>8.7136773626373606E-3</v>
      </c>
      <c r="F127" s="291">
        <f t="shared" si="16"/>
        <v>8.229584175824178E-3</v>
      </c>
      <c r="G127" s="291">
        <f t="shared" ref="G127:G139" si="17">SUM(E127:F127)</f>
        <v>1.694326153846154E-2</v>
      </c>
      <c r="H127" s="290">
        <f t="shared" ref="H127:I139" si="18">E127/($C$20/100)/($C$189*$C$188)</f>
        <v>9.3555424167669054E-3</v>
      </c>
      <c r="I127" s="291">
        <f t="shared" si="18"/>
        <v>8.8357900602798606E-3</v>
      </c>
      <c r="J127" s="291">
        <f t="shared" ref="J127:J139" si="19">SUM(H127:I127)</f>
        <v>1.8191332477046768E-2</v>
      </c>
      <c r="K127" s="292">
        <f t="shared" ref="K127:K139" si="20">H127/$C$99+I127/$C$101</f>
        <v>1.6899376619493238E-3</v>
      </c>
      <c r="L127" s="45"/>
      <c r="N127" s="2"/>
      <c r="O127" s="2"/>
      <c r="S127" s="2"/>
      <c r="T127" s="2"/>
      <c r="U127" s="2"/>
      <c r="V127" s="2"/>
      <c r="W127" s="2"/>
      <c r="X127" s="2"/>
      <c r="Y127" s="4"/>
      <c r="AC127" s="2"/>
      <c r="AD127" s="2"/>
      <c r="AE127" s="2"/>
      <c r="AF127" s="2"/>
      <c r="AG127" s="7"/>
      <c r="AH127" s="7"/>
      <c r="AI127" s="7"/>
      <c r="AJ127" s="7"/>
      <c r="AK127" s="7"/>
      <c r="AL127" s="7"/>
      <c r="AM127" s="7"/>
      <c r="AN127" s="7"/>
      <c r="AO127" s="2"/>
      <c r="AP127" s="2"/>
      <c r="AQ127" s="2"/>
      <c r="AR127" s="2"/>
      <c r="AS127" s="2"/>
      <c r="AT127" s="2"/>
      <c r="AU127" s="2"/>
      <c r="AV127" s="2"/>
      <c r="AW127" s="2"/>
      <c r="AX127" s="2"/>
    </row>
    <row r="128" spans="1:50" x14ac:dyDescent="0.5">
      <c r="A128" s="277"/>
      <c r="B128" s="273" t="s">
        <v>146</v>
      </c>
      <c r="C128" s="275">
        <v>1205.250270522881</v>
      </c>
      <c r="D128" s="275">
        <v>125.92167005462933</v>
      </c>
      <c r="E128" s="290">
        <f t="shared" si="16"/>
        <v>3.1448067193347203E-2</v>
      </c>
      <c r="F128" s="291">
        <f t="shared" si="16"/>
        <v>3.2856189604989604E-3</v>
      </c>
      <c r="G128" s="291">
        <f t="shared" si="17"/>
        <v>3.4733686153846165E-2</v>
      </c>
      <c r="H128" s="290">
        <f t="shared" si="18"/>
        <v>3.3764588050302351E-2</v>
      </c>
      <c r="I128" s="291">
        <f t="shared" si="18"/>
        <v>3.5276435276435278E-3</v>
      </c>
      <c r="J128" s="291">
        <f t="shared" si="19"/>
        <v>3.7292231577945881E-2</v>
      </c>
      <c r="K128" s="292">
        <f t="shared" si="20"/>
        <v>4.9646183197203627E-3</v>
      </c>
      <c r="L128" s="45"/>
      <c r="N128" s="2"/>
      <c r="O128" s="2"/>
      <c r="S128" s="2"/>
      <c r="T128" s="2"/>
      <c r="U128" s="2"/>
      <c r="V128" s="2"/>
      <c r="W128" s="2"/>
      <c r="X128" s="2"/>
      <c r="Y128" s="4"/>
      <c r="AC128" s="2"/>
      <c r="AD128" s="2"/>
      <c r="AE128" s="2"/>
      <c r="AF128" s="2"/>
      <c r="AG128" s="7"/>
      <c r="AH128" s="7"/>
      <c r="AI128" s="7"/>
      <c r="AJ128" s="7"/>
      <c r="AK128" s="7"/>
      <c r="AL128" s="7"/>
      <c r="AM128" s="7"/>
      <c r="AN128" s="7"/>
      <c r="AO128" s="2"/>
      <c r="AP128" s="2"/>
      <c r="AQ128" s="2"/>
      <c r="AR128" s="2"/>
      <c r="AS128" s="2"/>
      <c r="AT128" s="2"/>
      <c r="AU128" s="2"/>
      <c r="AV128" s="2"/>
      <c r="AW128" s="2"/>
      <c r="AX128" s="2"/>
    </row>
    <row r="129" spans="1:50" x14ac:dyDescent="0.5">
      <c r="A129" s="277"/>
      <c r="B129" s="273" t="s">
        <v>147</v>
      </c>
      <c r="C129" s="275">
        <v>1894.0714421413197</v>
      </c>
      <c r="D129" s="275">
        <v>175.73858741517401</v>
      </c>
      <c r="E129" s="290">
        <f t="shared" si="16"/>
        <v>4.9421176197387506E-2</v>
      </c>
      <c r="F129" s="291">
        <f t="shared" si="16"/>
        <v>4.5854699564586345E-3</v>
      </c>
      <c r="G129" s="291">
        <f t="shared" si="17"/>
        <v>5.4006646153846143E-2</v>
      </c>
      <c r="H129" s="290">
        <f t="shared" si="18"/>
        <v>5.3061628398555612E-2</v>
      </c>
      <c r="I129" s="291">
        <f t="shared" si="18"/>
        <v>4.9232438720309335E-3</v>
      </c>
      <c r="J129" s="291">
        <f t="shared" si="19"/>
        <v>5.7984872270586546E-2</v>
      </c>
      <c r="K129" s="292">
        <f t="shared" si="20"/>
        <v>7.7771623832463251E-3</v>
      </c>
      <c r="L129" s="45"/>
      <c r="N129" s="2"/>
      <c r="O129" s="2"/>
      <c r="S129" s="2"/>
      <c r="T129" s="2"/>
      <c r="U129" s="2"/>
      <c r="V129" s="2"/>
      <c r="W129" s="2"/>
      <c r="X129" s="2"/>
      <c r="Y129" s="4"/>
      <c r="AC129" s="2"/>
      <c r="AD129" s="2"/>
      <c r="AE129" s="2"/>
      <c r="AF129" s="2"/>
      <c r="AG129" s="7"/>
      <c r="AH129" s="7"/>
      <c r="AI129" s="7"/>
      <c r="AJ129" s="7"/>
      <c r="AK129" s="7"/>
      <c r="AL129" s="7"/>
      <c r="AM129" s="7"/>
      <c r="AN129" s="7"/>
      <c r="AO129" s="2"/>
      <c r="AP129" s="2"/>
      <c r="AQ129" s="2"/>
      <c r="AR129" s="2"/>
      <c r="AS129" s="2"/>
      <c r="AT129" s="2"/>
      <c r="AU129" s="2"/>
      <c r="AV129" s="2"/>
      <c r="AW129" s="2"/>
      <c r="AX129" s="2"/>
    </row>
    <row r="130" spans="1:50" x14ac:dyDescent="0.5">
      <c r="A130" s="277"/>
      <c r="B130" s="273" t="s">
        <v>148</v>
      </c>
      <c r="C130" s="275">
        <v>1183.0081907298309</v>
      </c>
      <c r="D130" s="275">
        <v>75.111631157449551</v>
      </c>
      <c r="E130" s="290">
        <f t="shared" si="16"/>
        <v>3.0867714351320311E-2</v>
      </c>
      <c r="F130" s="291">
        <f t="shared" si="16"/>
        <v>1.9598548794489078E-3</v>
      </c>
      <c r="G130" s="291">
        <f t="shared" si="17"/>
        <v>3.2827569230769217E-2</v>
      </c>
      <c r="H130" s="290">
        <f t="shared" si="18"/>
        <v>3.3141485380291345E-2</v>
      </c>
      <c r="I130" s="291">
        <f t="shared" si="18"/>
        <v>2.104221293986751E-3</v>
      </c>
      <c r="J130" s="291">
        <f t="shared" si="19"/>
        <v>3.5245706674278093E-2</v>
      </c>
      <c r="K130" s="292">
        <f t="shared" si="20"/>
        <v>4.8186667632296627E-3</v>
      </c>
      <c r="L130" s="45"/>
      <c r="N130" s="2"/>
      <c r="O130" s="2"/>
      <c r="S130" s="2"/>
      <c r="T130" s="6"/>
      <c r="U130" s="2"/>
      <c r="V130" s="2"/>
      <c r="W130" s="2"/>
      <c r="X130" s="2"/>
      <c r="Y130" s="4"/>
      <c r="Z130" s="4"/>
      <c r="AA130" s="2"/>
      <c r="AB130" s="2"/>
      <c r="AC130" s="2"/>
      <c r="AD130" s="2"/>
      <c r="AE130" s="2"/>
      <c r="AF130" s="2"/>
      <c r="AG130" s="7"/>
      <c r="AH130" s="7"/>
      <c r="AI130" s="7"/>
      <c r="AJ130" s="7"/>
      <c r="AK130" s="7"/>
      <c r="AL130" s="7"/>
      <c r="AM130" s="7"/>
      <c r="AN130" s="7"/>
      <c r="AO130" s="2"/>
      <c r="AP130" s="2"/>
      <c r="AQ130" s="2"/>
      <c r="AR130" s="2"/>
      <c r="AS130" s="2"/>
      <c r="AT130" s="2"/>
      <c r="AU130" s="2"/>
      <c r="AV130" s="2"/>
      <c r="AW130" s="2"/>
      <c r="AX130" s="2"/>
    </row>
    <row r="131" spans="1:50" s="535" customFormat="1" x14ac:dyDescent="0.5">
      <c r="A131" s="528"/>
      <c r="B131" s="529" t="s">
        <v>149</v>
      </c>
      <c r="C131" s="530">
        <v>1224.4926561409836</v>
      </c>
      <c r="D131" s="530">
        <v>114.79618651321721</v>
      </c>
      <c r="E131" s="531">
        <f t="shared" si="16"/>
        <v>3.1950150329670302E-2</v>
      </c>
      <c r="F131" s="532">
        <f t="shared" si="16"/>
        <v>2.9953265934065903E-3</v>
      </c>
      <c r="G131" s="532">
        <f t="shared" si="17"/>
        <v>3.4945476923076889E-2</v>
      </c>
      <c r="H131" s="531">
        <f t="shared" si="18"/>
        <v>3.4303655528145301E-2</v>
      </c>
      <c r="I131" s="532">
        <f t="shared" si="18"/>
        <v>3.2159677057636209E-3</v>
      </c>
      <c r="J131" s="532">
        <f t="shared" si="19"/>
        <v>3.7519623233908922E-2</v>
      </c>
      <c r="K131" s="533">
        <f t="shared" si="20"/>
        <v>5.0291609265370168E-3</v>
      </c>
      <c r="L131" s="534"/>
      <c r="N131" s="536"/>
      <c r="O131" s="536"/>
      <c r="S131" s="536"/>
      <c r="T131" s="537"/>
      <c r="U131" s="538"/>
      <c r="V131" s="538"/>
      <c r="W131" s="538"/>
      <c r="X131" s="538"/>
      <c r="Y131" s="538"/>
      <c r="Z131" s="538"/>
      <c r="AA131" s="538"/>
      <c r="AB131" s="538"/>
      <c r="AC131" s="538"/>
      <c r="AD131" s="538"/>
      <c r="AE131" s="538"/>
      <c r="AF131" s="538"/>
      <c r="AG131" s="538"/>
      <c r="AH131" s="538"/>
      <c r="AI131" s="538"/>
      <c r="AJ131" s="538"/>
      <c r="AK131" s="538"/>
      <c r="AL131" s="538"/>
      <c r="AM131" s="538"/>
      <c r="AN131" s="538"/>
      <c r="AO131" s="538"/>
      <c r="AP131" s="538"/>
      <c r="AQ131" s="538"/>
      <c r="AR131" s="536"/>
      <c r="AS131" s="536"/>
      <c r="AT131" s="536"/>
      <c r="AU131" s="536"/>
      <c r="AV131" s="536"/>
      <c r="AW131" s="536"/>
      <c r="AX131" s="536"/>
    </row>
    <row r="132" spans="1:50" s="535" customFormat="1" x14ac:dyDescent="0.5">
      <c r="A132" s="528"/>
      <c r="B132" s="529" t="s">
        <v>150</v>
      </c>
      <c r="C132" s="530">
        <v>1971.7307961297981</v>
      </c>
      <c r="D132" s="530">
        <v>179.24825419361798</v>
      </c>
      <c r="E132" s="531">
        <f t="shared" si="16"/>
        <v>5.1447507692307708E-2</v>
      </c>
      <c r="F132" s="532">
        <f t="shared" si="16"/>
        <v>4.6770461538461535E-3</v>
      </c>
      <c r="G132" s="532">
        <f t="shared" si="17"/>
        <v>5.6124553846153863E-2</v>
      </c>
      <c r="H132" s="531">
        <f t="shared" si="18"/>
        <v>5.5237223094365975E-2</v>
      </c>
      <c r="I132" s="532">
        <f t="shared" si="18"/>
        <v>5.0215657358514505E-3</v>
      </c>
      <c r="J132" s="532">
        <f t="shared" si="19"/>
        <v>6.0258788830217423E-2</v>
      </c>
      <c r="K132" s="533">
        <f t="shared" si="20"/>
        <v>8.0918945000577683E-3</v>
      </c>
      <c r="L132" s="534"/>
      <c r="N132" s="536"/>
      <c r="O132" s="536"/>
      <c r="S132" s="536"/>
      <c r="T132" s="537"/>
      <c r="U132" s="538"/>
      <c r="V132" s="538"/>
      <c r="W132" s="538"/>
      <c r="X132" s="538"/>
      <c r="Y132" s="538"/>
      <c r="Z132" s="538"/>
      <c r="AA132" s="538"/>
      <c r="AB132" s="538"/>
      <c r="AC132" s="538"/>
      <c r="AD132" s="538"/>
      <c r="AE132" s="538"/>
      <c r="AF132" s="538"/>
      <c r="AG132" s="538"/>
      <c r="AH132" s="538"/>
      <c r="AI132" s="538"/>
      <c r="AJ132" s="538"/>
      <c r="AK132" s="538"/>
      <c r="AL132" s="538"/>
      <c r="AM132" s="538"/>
      <c r="AN132" s="538"/>
      <c r="AO132" s="538"/>
      <c r="AP132" s="538"/>
      <c r="AQ132" s="538"/>
      <c r="AR132" s="536"/>
      <c r="AS132" s="536"/>
      <c r="AT132" s="536"/>
      <c r="AU132" s="536"/>
      <c r="AV132" s="536"/>
      <c r="AW132" s="536"/>
      <c r="AX132" s="536"/>
    </row>
    <row r="133" spans="1:50" x14ac:dyDescent="0.5">
      <c r="A133" s="277"/>
      <c r="B133" s="273" t="s">
        <v>151</v>
      </c>
      <c r="C133" s="275">
        <v>1176.9508011203579</v>
      </c>
      <c r="D133" s="275">
        <v>121.75353115038186</v>
      </c>
      <c r="E133" s="290">
        <f t="shared" si="16"/>
        <v>3.07096615384615E-2</v>
      </c>
      <c r="F133" s="291">
        <f t="shared" si="16"/>
        <v>3.1768615384615345E-3</v>
      </c>
      <c r="G133" s="291">
        <f t="shared" si="17"/>
        <v>3.3886523076923032E-2</v>
      </c>
      <c r="H133" s="290">
        <f t="shared" si="18"/>
        <v>3.2971790114647216E-2</v>
      </c>
      <c r="I133" s="291">
        <f t="shared" si="18"/>
        <v>3.4108748394462642E-3</v>
      </c>
      <c r="J133" s="291">
        <f t="shared" si="19"/>
        <v>3.638266495409348E-2</v>
      </c>
      <c r="K133" s="292">
        <f t="shared" si="20"/>
        <v>4.8466907242417385E-3</v>
      </c>
      <c r="L133" s="45"/>
      <c r="N133" s="4"/>
      <c r="O133" s="2"/>
      <c r="S133" s="2"/>
      <c r="T133" s="301"/>
      <c r="U133" s="7"/>
      <c r="V133" s="7"/>
      <c r="W133" s="7"/>
      <c r="X133" s="7"/>
      <c r="Y133" s="30"/>
      <c r="Z133" s="30"/>
      <c r="AA133" s="7"/>
      <c r="AB133" s="7"/>
      <c r="AC133" s="7"/>
      <c r="AD133" s="7"/>
      <c r="AE133" s="7"/>
      <c r="AF133" s="7"/>
      <c r="AG133" s="7"/>
      <c r="AH133" s="7"/>
      <c r="AI133" s="7"/>
      <c r="AJ133" s="7"/>
      <c r="AK133" s="7"/>
      <c r="AL133" s="7"/>
      <c r="AM133" s="7"/>
      <c r="AN133" s="7"/>
      <c r="AO133" s="7"/>
      <c r="AP133" s="7"/>
      <c r="AQ133" s="7"/>
      <c r="AR133" s="2"/>
      <c r="AS133" s="2"/>
      <c r="AT133" s="2"/>
      <c r="AU133" s="2"/>
      <c r="AV133" s="2"/>
      <c r="AW133" s="2"/>
      <c r="AX133" s="2"/>
    </row>
    <row r="134" spans="1:50" s="535" customFormat="1" x14ac:dyDescent="0.5">
      <c r="A134" s="528"/>
      <c r="B134" s="529" t="s">
        <v>152</v>
      </c>
      <c r="C134" s="530">
        <v>862.42084564853826</v>
      </c>
      <c r="D134" s="530">
        <v>517.45250738912296</v>
      </c>
      <c r="E134" s="531">
        <f t="shared" si="16"/>
        <v>2.2502769230769201E-2</v>
      </c>
      <c r="F134" s="532">
        <f t="shared" si="16"/>
        <v>1.3501661538461522E-2</v>
      </c>
      <c r="G134" s="532">
        <f t="shared" si="17"/>
        <v>3.6004430769230725E-2</v>
      </c>
      <c r="H134" s="531">
        <f t="shared" si="18"/>
        <v>2.4160363446077703E-2</v>
      </c>
      <c r="I134" s="532">
        <f t="shared" si="18"/>
        <v>1.4496218067646623E-2</v>
      </c>
      <c r="J134" s="532">
        <f t="shared" si="19"/>
        <v>3.8656581513724322E-2</v>
      </c>
      <c r="K134" s="533">
        <f t="shared" si="20"/>
        <v>4.0313292150026799E-3</v>
      </c>
      <c r="L134" s="534"/>
      <c r="N134" s="536"/>
      <c r="O134" s="536"/>
      <c r="S134" s="536"/>
      <c r="T134" s="537"/>
      <c r="U134" s="538"/>
      <c r="V134" s="538"/>
      <c r="W134" s="538"/>
      <c r="X134" s="538"/>
      <c r="Y134" s="538"/>
      <c r="Z134" s="538"/>
      <c r="AA134" s="538"/>
      <c r="AB134" s="538"/>
      <c r="AC134" s="538"/>
      <c r="AD134" s="538"/>
      <c r="AE134" s="538"/>
      <c r="AF134" s="538"/>
      <c r="AG134" s="538"/>
      <c r="AH134" s="538"/>
      <c r="AI134" s="538"/>
      <c r="AJ134" s="538"/>
      <c r="AK134" s="538"/>
      <c r="AL134" s="538"/>
      <c r="AM134" s="538"/>
      <c r="AN134" s="538"/>
      <c r="AO134" s="538"/>
      <c r="AP134" s="538"/>
      <c r="AQ134" s="538"/>
      <c r="AR134" s="536"/>
      <c r="AS134" s="536"/>
      <c r="AT134" s="536"/>
      <c r="AU134" s="536"/>
      <c r="AV134" s="536"/>
      <c r="AW134" s="536"/>
      <c r="AX134" s="536"/>
    </row>
    <row r="135" spans="1:50" x14ac:dyDescent="0.5">
      <c r="A135" s="277"/>
      <c r="B135" s="293" t="s">
        <v>135</v>
      </c>
      <c r="C135" s="275"/>
      <c r="D135" s="275"/>
      <c r="E135" s="290">
        <f t="shared" si="16"/>
        <v>0</v>
      </c>
      <c r="F135" s="291">
        <f t="shared" si="16"/>
        <v>0</v>
      </c>
      <c r="G135" s="291">
        <f t="shared" si="17"/>
        <v>0</v>
      </c>
      <c r="H135" s="290">
        <f t="shared" si="18"/>
        <v>0</v>
      </c>
      <c r="I135" s="291">
        <f t="shared" si="18"/>
        <v>0</v>
      </c>
      <c r="J135" s="291">
        <f t="shared" si="19"/>
        <v>0</v>
      </c>
      <c r="K135" s="292">
        <f t="shared" si="20"/>
        <v>0</v>
      </c>
      <c r="L135" s="45"/>
      <c r="S135" s="2"/>
      <c r="T135" s="301"/>
      <c r="U135" s="7"/>
      <c r="V135" s="7"/>
      <c r="W135" s="7"/>
      <c r="X135" s="7"/>
      <c r="Y135" s="30"/>
      <c r="Z135" s="30"/>
      <c r="AA135" s="7"/>
      <c r="AB135" s="7"/>
      <c r="AC135" s="7"/>
      <c r="AD135" s="7"/>
      <c r="AE135" s="7"/>
      <c r="AF135" s="7"/>
      <c r="AG135" s="7"/>
      <c r="AH135" s="7"/>
      <c r="AI135" s="7"/>
      <c r="AJ135" s="7"/>
      <c r="AK135" s="7"/>
      <c r="AL135" s="7"/>
      <c r="AM135" s="7"/>
      <c r="AN135" s="7"/>
      <c r="AO135" s="7"/>
      <c r="AP135" s="7"/>
      <c r="AQ135" s="7"/>
      <c r="AR135" s="2"/>
      <c r="AS135" s="2"/>
      <c r="AT135" s="2"/>
      <c r="AU135" s="2"/>
      <c r="AV135" s="2"/>
      <c r="AW135" s="2"/>
      <c r="AX135" s="2"/>
    </row>
    <row r="136" spans="1:50" x14ac:dyDescent="0.5">
      <c r="A136" s="277"/>
      <c r="B136" s="273"/>
      <c r="C136" s="275"/>
      <c r="D136" s="275"/>
      <c r="E136" s="290">
        <f t="shared" si="16"/>
        <v>0</v>
      </c>
      <c r="F136" s="291">
        <f t="shared" si="16"/>
        <v>0</v>
      </c>
      <c r="G136" s="291">
        <f t="shared" si="17"/>
        <v>0</v>
      </c>
      <c r="H136" s="290">
        <f t="shared" si="18"/>
        <v>0</v>
      </c>
      <c r="I136" s="291">
        <f t="shared" si="18"/>
        <v>0</v>
      </c>
      <c r="J136" s="291">
        <f t="shared" si="19"/>
        <v>0</v>
      </c>
      <c r="K136" s="292">
        <f t="shared" si="20"/>
        <v>0</v>
      </c>
      <c r="L136" s="45"/>
      <c r="S136" s="2"/>
      <c r="T136" s="301"/>
      <c r="U136" s="7"/>
      <c r="V136" s="7"/>
      <c r="W136" s="7"/>
      <c r="X136" s="7"/>
      <c r="Y136" s="30"/>
      <c r="Z136" s="30"/>
      <c r="AA136" s="7"/>
      <c r="AB136" s="7"/>
      <c r="AC136" s="7"/>
      <c r="AD136" s="7"/>
      <c r="AE136" s="7"/>
      <c r="AF136" s="7"/>
      <c r="AG136" s="7"/>
      <c r="AH136" s="7"/>
      <c r="AI136" s="7"/>
      <c r="AJ136" s="7"/>
      <c r="AK136" s="7"/>
      <c r="AL136" s="7"/>
      <c r="AM136" s="7"/>
      <c r="AN136" s="7"/>
      <c r="AO136" s="7"/>
      <c r="AP136" s="7"/>
      <c r="AQ136" s="7"/>
      <c r="AR136" s="2"/>
      <c r="AS136" s="2"/>
      <c r="AT136" s="2"/>
      <c r="AU136" s="2"/>
      <c r="AV136" s="2"/>
      <c r="AW136" s="2"/>
      <c r="AX136" s="2"/>
    </row>
    <row r="137" spans="1:50" x14ac:dyDescent="0.5">
      <c r="A137" s="277"/>
      <c r="B137" s="273"/>
      <c r="C137" s="275"/>
      <c r="D137" s="275"/>
      <c r="E137" s="290">
        <f t="shared" si="16"/>
        <v>0</v>
      </c>
      <c r="F137" s="291">
        <f t="shared" si="16"/>
        <v>0</v>
      </c>
      <c r="G137" s="291">
        <f t="shared" si="17"/>
        <v>0</v>
      </c>
      <c r="H137" s="290">
        <f t="shared" si="18"/>
        <v>0</v>
      </c>
      <c r="I137" s="291">
        <f t="shared" si="18"/>
        <v>0</v>
      </c>
      <c r="J137" s="291">
        <f t="shared" si="19"/>
        <v>0</v>
      </c>
      <c r="K137" s="292">
        <f t="shared" si="20"/>
        <v>0</v>
      </c>
      <c r="L137" s="45"/>
      <c r="S137" s="2"/>
      <c r="T137" s="301"/>
      <c r="U137" s="7"/>
      <c r="V137" s="7"/>
      <c r="W137" s="7"/>
      <c r="X137" s="7"/>
      <c r="Y137" s="30"/>
      <c r="Z137" s="30"/>
      <c r="AA137" s="7"/>
      <c r="AB137" s="7"/>
      <c r="AC137" s="7"/>
      <c r="AD137" s="7"/>
      <c r="AE137" s="7"/>
      <c r="AF137" s="7"/>
      <c r="AG137" s="7"/>
      <c r="AH137" s="7"/>
      <c r="AI137" s="7"/>
      <c r="AJ137" s="7"/>
      <c r="AK137" s="7"/>
      <c r="AL137" s="7"/>
      <c r="AM137" s="7"/>
      <c r="AN137" s="7"/>
      <c r="AO137" s="7"/>
      <c r="AP137" s="7"/>
      <c r="AQ137" s="7"/>
      <c r="AR137" s="2"/>
      <c r="AS137" s="2"/>
      <c r="AT137" s="2"/>
      <c r="AU137" s="2"/>
      <c r="AV137" s="2"/>
      <c r="AW137" s="2"/>
      <c r="AX137" s="2"/>
    </row>
    <row r="138" spans="1:50" x14ac:dyDescent="0.5">
      <c r="A138" s="277"/>
      <c r="B138" s="273"/>
      <c r="C138" s="275"/>
      <c r="D138" s="275"/>
      <c r="E138" s="290">
        <f t="shared" si="16"/>
        <v>0</v>
      </c>
      <c r="F138" s="291">
        <f t="shared" si="16"/>
        <v>0</v>
      </c>
      <c r="G138" s="291">
        <f t="shared" si="17"/>
        <v>0</v>
      </c>
      <c r="H138" s="290">
        <f t="shared" si="18"/>
        <v>0</v>
      </c>
      <c r="I138" s="291">
        <f t="shared" si="18"/>
        <v>0</v>
      </c>
      <c r="J138" s="291">
        <f t="shared" si="19"/>
        <v>0</v>
      </c>
      <c r="K138" s="292">
        <f t="shared" si="20"/>
        <v>0</v>
      </c>
      <c r="L138" s="45"/>
      <c r="S138" s="2"/>
      <c r="T138" s="301"/>
      <c r="U138" s="7"/>
      <c r="V138" s="7"/>
      <c r="W138" s="7"/>
      <c r="X138" s="7"/>
      <c r="Y138" s="30"/>
      <c r="Z138" s="30"/>
      <c r="AA138" s="7"/>
      <c r="AB138" s="7"/>
      <c r="AC138" s="7"/>
      <c r="AD138" s="7"/>
      <c r="AE138" s="7"/>
      <c r="AF138" s="7"/>
      <c r="AG138" s="7"/>
      <c r="AH138" s="7"/>
      <c r="AI138" s="7"/>
      <c r="AJ138" s="7"/>
      <c r="AK138" s="7"/>
      <c r="AL138" s="7"/>
      <c r="AM138" s="7"/>
      <c r="AN138" s="7"/>
      <c r="AO138" s="7"/>
      <c r="AP138" s="7"/>
      <c r="AQ138" s="7"/>
      <c r="AR138" s="2"/>
      <c r="AS138" s="2"/>
      <c r="AT138" s="2"/>
      <c r="AU138" s="2"/>
      <c r="AV138" s="2"/>
      <c r="AW138" s="2"/>
      <c r="AX138" s="2"/>
    </row>
    <row r="139" spans="1:50" x14ac:dyDescent="0.5">
      <c r="A139" s="277"/>
      <c r="B139" s="273"/>
      <c r="C139" s="275"/>
      <c r="D139" s="275"/>
      <c r="E139" s="290">
        <f t="shared" si="16"/>
        <v>0</v>
      </c>
      <c r="F139" s="291">
        <f t="shared" si="16"/>
        <v>0</v>
      </c>
      <c r="G139" s="291">
        <f t="shared" si="17"/>
        <v>0</v>
      </c>
      <c r="H139" s="290">
        <f t="shared" si="18"/>
        <v>0</v>
      </c>
      <c r="I139" s="291">
        <f t="shared" si="18"/>
        <v>0</v>
      </c>
      <c r="J139" s="291">
        <f t="shared" si="19"/>
        <v>0</v>
      </c>
      <c r="K139" s="292">
        <f t="shared" si="20"/>
        <v>0</v>
      </c>
      <c r="L139" s="45"/>
      <c r="S139" s="2"/>
      <c r="T139" s="301"/>
      <c r="U139" s="7"/>
      <c r="V139" s="7"/>
      <c r="W139" s="7"/>
      <c r="X139" s="7"/>
      <c r="Y139" s="30"/>
      <c r="Z139" s="30"/>
      <c r="AA139" s="7"/>
      <c r="AB139" s="7"/>
      <c r="AC139" s="7"/>
      <c r="AD139" s="7"/>
      <c r="AE139" s="7"/>
      <c r="AF139" s="7"/>
      <c r="AG139" s="7"/>
      <c r="AH139" s="7"/>
      <c r="AI139" s="7"/>
      <c r="AJ139" s="7"/>
      <c r="AK139" s="7"/>
      <c r="AL139" s="7"/>
      <c r="AM139" s="7"/>
      <c r="AN139" s="7"/>
      <c r="AO139" s="7"/>
      <c r="AP139" s="7"/>
      <c r="AQ139" s="7"/>
      <c r="AR139" s="2"/>
      <c r="AS139" s="2"/>
      <c r="AT139" s="2"/>
      <c r="AU139" s="2"/>
      <c r="AV139" s="2"/>
      <c r="AW139" s="2"/>
      <c r="AX139" s="2"/>
    </row>
    <row r="140" spans="1:50" x14ac:dyDescent="0.5">
      <c r="A140" s="277"/>
      <c r="B140" s="294" t="s">
        <v>153</v>
      </c>
      <c r="C140" s="275">
        <f>SUM(C127:C139)</f>
        <v>9851.8775450176145</v>
      </c>
      <c r="D140" s="275">
        <v>1625.4219914250589</v>
      </c>
      <c r="E140" s="290">
        <f t="shared" ref="E140:K140" si="21">SUM(E127:E139)</f>
        <v>0.25706072389590112</v>
      </c>
      <c r="F140" s="291">
        <f t="shared" si="21"/>
        <v>4.2411423796406479E-2</v>
      </c>
      <c r="G140" s="295">
        <f t="shared" si="21"/>
        <v>0.29947214769230757</v>
      </c>
      <c r="H140" s="290">
        <f t="shared" si="21"/>
        <v>0.27599627642915242</v>
      </c>
      <c r="I140" s="291">
        <f t="shared" si="21"/>
        <v>4.5535525102649035E-2</v>
      </c>
      <c r="J140" s="291">
        <f t="shared" si="21"/>
        <v>0.32153180153180144</v>
      </c>
      <c r="K140" s="296">
        <f t="shared" si="21"/>
        <v>4.1249460493984876E-2</v>
      </c>
      <c r="L140" s="45"/>
      <c r="S140" s="2"/>
      <c r="T140" s="301"/>
      <c r="U140" s="7"/>
      <c r="V140" s="7"/>
      <c r="W140" s="7"/>
      <c r="X140" s="7"/>
      <c r="Y140" s="30"/>
      <c r="Z140" s="30"/>
      <c r="AA140" s="7"/>
      <c r="AB140" s="7"/>
      <c r="AC140" s="7"/>
      <c r="AD140" s="7"/>
      <c r="AE140" s="7"/>
      <c r="AF140" s="7"/>
      <c r="AG140" s="7"/>
      <c r="AH140" s="7"/>
      <c r="AI140" s="7"/>
      <c r="AJ140" s="7"/>
      <c r="AK140" s="7"/>
      <c r="AL140" s="7"/>
      <c r="AM140" s="7"/>
      <c r="AN140" s="7"/>
      <c r="AO140" s="7"/>
      <c r="AP140" s="7"/>
      <c r="AQ140" s="7"/>
      <c r="AR140" s="2"/>
      <c r="AS140" s="2"/>
      <c r="AT140" s="2"/>
      <c r="AU140" s="2"/>
      <c r="AV140" s="2"/>
      <c r="AW140" s="2"/>
      <c r="AX140" s="2"/>
    </row>
    <row r="141" spans="1:50" x14ac:dyDescent="0.5">
      <c r="A141" s="277"/>
      <c r="B141" s="270" t="s">
        <v>58</v>
      </c>
      <c r="C141" s="272" t="s">
        <v>154</v>
      </c>
      <c r="D141" s="272" t="s">
        <v>155</v>
      </c>
      <c r="E141" s="297"/>
      <c r="F141" s="298"/>
      <c r="G141" s="298"/>
      <c r="H141" s="297"/>
      <c r="I141" s="298"/>
      <c r="J141" s="298"/>
      <c r="K141" s="299"/>
      <c r="L141" s="45"/>
      <c r="S141" s="2"/>
      <c r="T141" s="301"/>
      <c r="U141" s="7"/>
      <c r="V141" s="7"/>
      <c r="W141" s="7"/>
      <c r="X141" s="7"/>
      <c r="Y141" s="30"/>
      <c r="Z141" s="30"/>
      <c r="AA141" s="7"/>
      <c r="AB141" s="7"/>
      <c r="AC141" s="7"/>
      <c r="AD141" s="7"/>
      <c r="AE141" s="7"/>
      <c r="AF141" s="7"/>
      <c r="AG141" s="7"/>
      <c r="AH141" s="7"/>
      <c r="AI141" s="7"/>
      <c r="AJ141" s="7"/>
      <c r="AK141" s="7"/>
      <c r="AL141" s="7"/>
      <c r="AM141" s="7"/>
      <c r="AN141" s="7"/>
      <c r="AO141" s="7"/>
      <c r="AP141" s="7"/>
      <c r="AQ141" s="7"/>
      <c r="AR141" s="2"/>
      <c r="AS141" s="2"/>
      <c r="AT141" s="2"/>
      <c r="AU141" s="2"/>
      <c r="AV141" s="2"/>
      <c r="AW141" s="2"/>
      <c r="AX141" s="2"/>
    </row>
    <row r="142" spans="1:50" x14ac:dyDescent="0.5">
      <c r="A142" s="277"/>
      <c r="B142" s="273" t="s">
        <v>156</v>
      </c>
      <c r="C142" s="275">
        <v>42924.110238202324</v>
      </c>
      <c r="D142" s="275">
        <v>21462.055119101158</v>
      </c>
      <c r="E142" s="290">
        <f t="shared" ref="E142:F149" si="22">C142*1/(24*365)*1/$C$74*$C$102</f>
        <v>1.8666666666666703E-2</v>
      </c>
      <c r="F142" s="291">
        <f t="shared" si="22"/>
        <v>9.3333333333333497E-3</v>
      </c>
      <c r="G142" s="291">
        <f t="shared" ref="G142:G150" si="23">SUM(E142:F142)</f>
        <v>2.8000000000000053E-2</v>
      </c>
      <c r="H142" s="290">
        <f t="shared" ref="H142:I150" si="24">E142/($C$20/100)/($C$189)</f>
        <v>1.9640852974186346E-2</v>
      </c>
      <c r="I142" s="291">
        <f t="shared" si="24"/>
        <v>9.8204264870931715E-3</v>
      </c>
      <c r="J142" s="291">
        <f t="shared" ref="J142:J150" si="25">SUM(H142:I142)</f>
        <v>2.9461279461279518E-2</v>
      </c>
      <c r="K142" s="292">
        <f t="shared" ref="K142:K150" si="26">H142/$C$100+I142/$C$101</f>
        <v>3.1986531986532046E-3</v>
      </c>
      <c r="L142" s="45"/>
      <c r="N142" s="4"/>
      <c r="O142" s="2"/>
      <c r="S142" s="2"/>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2"/>
      <c r="AS142" s="2"/>
      <c r="AT142" s="2"/>
      <c r="AU142" s="2"/>
      <c r="AV142" s="2"/>
      <c r="AW142" s="2"/>
      <c r="AX142" s="2"/>
    </row>
    <row r="143" spans="1:50" x14ac:dyDescent="0.5">
      <c r="A143" s="277"/>
      <c r="B143" s="273" t="s">
        <v>157</v>
      </c>
      <c r="C143" s="275">
        <v>40744.370265168531</v>
      </c>
      <c r="D143" s="275">
        <v>7545.253752808987</v>
      </c>
      <c r="E143" s="290">
        <f t="shared" si="22"/>
        <v>1.7718749999999995E-2</v>
      </c>
      <c r="F143" s="291">
        <f t="shared" si="22"/>
        <v>3.2812499999999994E-3</v>
      </c>
      <c r="G143" s="291">
        <f t="shared" si="23"/>
        <v>2.0999999999999994E-2</v>
      </c>
      <c r="H143" s="290">
        <f t="shared" si="24"/>
        <v>1.8643465909090905E-2</v>
      </c>
      <c r="I143" s="291">
        <f t="shared" si="24"/>
        <v>3.4524936868686865E-3</v>
      </c>
      <c r="J143" s="291">
        <f t="shared" si="25"/>
        <v>2.2095959595959593E-2</v>
      </c>
      <c r="K143" s="292">
        <f t="shared" si="26"/>
        <v>2.8014520202020196E-3</v>
      </c>
      <c r="L143" s="45"/>
      <c r="N143" s="4"/>
      <c r="O143" s="2"/>
      <c r="S143" s="2"/>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2"/>
      <c r="AS143" s="2"/>
      <c r="AT143" s="2"/>
      <c r="AU143" s="2"/>
      <c r="AV143" s="2"/>
      <c r="AW143" s="2"/>
      <c r="AX143" s="2"/>
    </row>
    <row r="144" spans="1:50" x14ac:dyDescent="0.5">
      <c r="A144" s="277"/>
      <c r="B144" s="273" t="s">
        <v>158</v>
      </c>
      <c r="C144" s="275">
        <v>16556.44252044944</v>
      </c>
      <c r="D144" s="275">
        <v>3895.633534223397</v>
      </c>
      <c r="E144" s="290">
        <f t="shared" si="22"/>
        <v>7.2000000000000007E-3</v>
      </c>
      <c r="F144" s="291">
        <f t="shared" si="22"/>
        <v>1.6941176470588236E-3</v>
      </c>
      <c r="G144" s="291">
        <f t="shared" si="23"/>
        <v>8.8941176470588249E-3</v>
      </c>
      <c r="H144" s="290">
        <f t="shared" si="24"/>
        <v>7.5757575757575768E-3</v>
      </c>
      <c r="I144" s="291">
        <f t="shared" si="24"/>
        <v>1.7825311942959003E-3</v>
      </c>
      <c r="J144" s="291">
        <f t="shared" si="25"/>
        <v>9.3582887700534769E-3</v>
      </c>
      <c r="K144" s="292">
        <f t="shared" si="26"/>
        <v>1.1535523300229185E-3</v>
      </c>
      <c r="L144" s="45"/>
      <c r="N144" s="4"/>
      <c r="O144" s="2"/>
      <c r="S144" s="2"/>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2"/>
      <c r="AS144" s="2"/>
      <c r="AT144" s="2"/>
      <c r="AU144" s="2"/>
      <c r="AV144" s="2"/>
      <c r="AW144" s="2"/>
      <c r="AX144" s="2"/>
    </row>
    <row r="145" spans="1:50" x14ac:dyDescent="0.5">
      <c r="A145" s="277"/>
      <c r="B145" s="273" t="s">
        <v>159</v>
      </c>
      <c r="C145" s="275">
        <v>47829.722836853922</v>
      </c>
      <c r="D145" s="275">
        <v>12299.071586619581</v>
      </c>
      <c r="E145" s="290">
        <f t="shared" si="22"/>
        <v>2.0799999999999996E-2</v>
      </c>
      <c r="F145" s="291">
        <f t="shared" si="22"/>
        <v>5.3485714285714282E-3</v>
      </c>
      <c r="G145" s="291">
        <f t="shared" si="23"/>
        <v>2.6148571428571424E-2</v>
      </c>
      <c r="H145" s="290">
        <f t="shared" si="24"/>
        <v>2.1885521885521883E-2</v>
      </c>
      <c r="I145" s="291">
        <f t="shared" si="24"/>
        <v>5.6277056277056273E-3</v>
      </c>
      <c r="J145" s="291">
        <f t="shared" si="25"/>
        <v>2.751322751322751E-2</v>
      </c>
      <c r="K145" s="292">
        <f t="shared" si="26"/>
        <v>3.3516113516113511E-3</v>
      </c>
      <c r="L145" s="45"/>
      <c r="N145" s="4"/>
      <c r="O145" s="2"/>
      <c r="S145" s="2"/>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2"/>
      <c r="AS145" s="2"/>
      <c r="AT145" s="2"/>
      <c r="AU145" s="2"/>
      <c r="AV145" s="2"/>
      <c r="AW145" s="2"/>
      <c r="AX145" s="2"/>
    </row>
    <row r="146" spans="1:50" x14ac:dyDescent="0.5">
      <c r="A146" s="277"/>
      <c r="B146" s="273" t="s">
        <v>160</v>
      </c>
      <c r="C146" s="275">
        <v>23914.861418426968</v>
      </c>
      <c r="D146" s="275">
        <v>7033.7827701255792</v>
      </c>
      <c r="E146" s="290">
        <f t="shared" si="22"/>
        <v>1.0400000000000001E-2</v>
      </c>
      <c r="F146" s="291">
        <f t="shared" si="22"/>
        <v>3.0588235294117653E-3</v>
      </c>
      <c r="G146" s="291">
        <f t="shared" si="23"/>
        <v>1.3458823529411766E-2</v>
      </c>
      <c r="H146" s="290">
        <f t="shared" si="24"/>
        <v>1.0942760942760945E-2</v>
      </c>
      <c r="I146" s="291">
        <f t="shared" si="24"/>
        <v>3.2184591008120426E-3</v>
      </c>
      <c r="J146" s="291">
        <f t="shared" si="25"/>
        <v>1.4161220043572988E-2</v>
      </c>
      <c r="K146" s="292">
        <f t="shared" si="26"/>
        <v>1.6919899272840452E-3</v>
      </c>
      <c r="L146" s="45"/>
      <c r="N146" s="4"/>
      <c r="O146" s="2"/>
      <c r="S146" s="2"/>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2"/>
      <c r="AS146" s="2"/>
      <c r="AT146" s="2"/>
      <c r="AU146" s="2"/>
      <c r="AV146" s="2"/>
      <c r="AW146" s="2"/>
      <c r="AX146" s="2"/>
    </row>
    <row r="147" spans="1:50" x14ac:dyDescent="0.5">
      <c r="A147" s="277"/>
      <c r="B147" s="273" t="s">
        <v>161</v>
      </c>
      <c r="C147" s="275">
        <v>12325.351654112357</v>
      </c>
      <c r="D147" s="275">
        <v>2054.2252756853927</v>
      </c>
      <c r="E147" s="290">
        <f t="shared" si="22"/>
        <v>5.3599999999999993E-3</v>
      </c>
      <c r="F147" s="291">
        <f t="shared" si="22"/>
        <v>8.9333333333333311E-4</v>
      </c>
      <c r="G147" s="291">
        <f t="shared" si="23"/>
        <v>6.2533333333333321E-3</v>
      </c>
      <c r="H147" s="290">
        <f t="shared" si="24"/>
        <v>5.639730639730639E-3</v>
      </c>
      <c r="I147" s="291">
        <f t="shared" si="24"/>
        <v>9.3995510662177306E-4</v>
      </c>
      <c r="J147" s="291">
        <f t="shared" si="25"/>
        <v>6.5796857463524122E-3</v>
      </c>
      <c r="K147" s="292">
        <f t="shared" si="26"/>
        <v>8.4327400994067641E-4</v>
      </c>
      <c r="L147" s="45"/>
      <c r="N147" s="4"/>
      <c r="O147" s="2"/>
      <c r="S147" s="2"/>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2"/>
      <c r="AS147" s="2"/>
      <c r="AT147" s="2"/>
      <c r="AU147" s="2"/>
      <c r="AV147" s="2"/>
      <c r="AW147" s="2"/>
      <c r="AX147" s="2"/>
    </row>
    <row r="148" spans="1:50" x14ac:dyDescent="0.5">
      <c r="A148" s="277"/>
      <c r="B148" s="273" t="s">
        <v>162</v>
      </c>
      <c r="C148" s="275">
        <v>28105.072179775227</v>
      </c>
      <c r="D148" s="275">
        <v>22484.057743820176</v>
      </c>
      <c r="E148" s="290">
        <f t="shared" si="22"/>
        <v>1.2222222222222199E-2</v>
      </c>
      <c r="F148" s="291">
        <f t="shared" si="22"/>
        <v>9.7777777777777568E-3</v>
      </c>
      <c r="G148" s="291">
        <f t="shared" si="23"/>
        <v>2.1999999999999957E-2</v>
      </c>
      <c r="H148" s="290">
        <f t="shared" si="24"/>
        <v>1.2860082304526723E-2</v>
      </c>
      <c r="I148" s="291">
        <f t="shared" si="24"/>
        <v>1.0288065843621377E-2</v>
      </c>
      <c r="J148" s="291">
        <f t="shared" si="25"/>
        <v>2.3148148148148098E-2</v>
      </c>
      <c r="K148" s="292">
        <f t="shared" si="26"/>
        <v>2.2486772486772439E-3</v>
      </c>
      <c r="L148" s="45"/>
      <c r="N148" s="4"/>
      <c r="O148" s="2"/>
      <c r="S148" s="2"/>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2"/>
      <c r="AS148" s="2"/>
      <c r="AT148" s="2"/>
      <c r="AU148" s="2"/>
      <c r="AV148" s="2"/>
      <c r="AW148" s="2"/>
      <c r="AX148" s="2"/>
    </row>
    <row r="149" spans="1:50" x14ac:dyDescent="0.5">
      <c r="A149" s="277"/>
      <c r="B149" s="293" t="s">
        <v>135</v>
      </c>
      <c r="C149" s="275"/>
      <c r="D149" s="275"/>
      <c r="E149" s="290">
        <f t="shared" si="22"/>
        <v>0</v>
      </c>
      <c r="F149" s="291">
        <f t="shared" si="22"/>
        <v>0</v>
      </c>
      <c r="G149" s="291">
        <f t="shared" si="23"/>
        <v>0</v>
      </c>
      <c r="H149" s="290">
        <f t="shared" si="24"/>
        <v>0</v>
      </c>
      <c r="I149" s="291">
        <f t="shared" si="24"/>
        <v>0</v>
      </c>
      <c r="J149" s="291">
        <f t="shared" si="25"/>
        <v>0</v>
      </c>
      <c r="K149" s="292">
        <f t="shared" si="26"/>
        <v>0</v>
      </c>
      <c r="O149" s="300"/>
      <c r="P149" s="7"/>
      <c r="Q149" s="22"/>
      <c r="R149" s="2"/>
      <c r="S149" s="2"/>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2"/>
      <c r="AS149" s="2"/>
      <c r="AT149" s="2"/>
      <c r="AU149" s="2"/>
      <c r="AV149" s="2"/>
      <c r="AW149" s="2"/>
      <c r="AX149" s="2"/>
    </row>
    <row r="150" spans="1:50" x14ac:dyDescent="0.5">
      <c r="A150" s="277"/>
      <c r="B150" s="273"/>
      <c r="C150" s="275"/>
      <c r="D150" s="275"/>
      <c r="E150" s="290">
        <f>C150*1/(24*365)*1/$C$74</f>
        <v>0</v>
      </c>
      <c r="F150" s="291">
        <f>D150*1/(24*365)*1/$C$74</f>
        <v>0</v>
      </c>
      <c r="G150" s="291">
        <f t="shared" si="23"/>
        <v>0</v>
      </c>
      <c r="H150" s="290">
        <f t="shared" si="24"/>
        <v>0</v>
      </c>
      <c r="I150" s="291">
        <f t="shared" si="24"/>
        <v>0</v>
      </c>
      <c r="J150" s="291">
        <f t="shared" si="25"/>
        <v>0</v>
      </c>
      <c r="K150" s="292">
        <f t="shared" si="26"/>
        <v>0</v>
      </c>
      <c r="O150" s="300"/>
      <c r="P150" s="7"/>
      <c r="Q150" s="22"/>
      <c r="R150" s="2"/>
      <c r="S150" s="2"/>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2"/>
      <c r="AS150" s="2"/>
      <c r="AT150" s="2"/>
      <c r="AU150" s="2"/>
      <c r="AV150" s="2"/>
      <c r="AW150" s="2"/>
      <c r="AX150" s="2"/>
    </row>
    <row r="151" spans="1:50" x14ac:dyDescent="0.5">
      <c r="A151" s="277"/>
      <c r="B151" s="302" t="s">
        <v>163</v>
      </c>
      <c r="C151" s="303">
        <f t="shared" ref="C151:K151" si="27">SUM(C142:C150)</f>
        <v>212399.93111298876</v>
      </c>
      <c r="D151" s="303">
        <f t="shared" si="27"/>
        <v>76774.079782384273</v>
      </c>
      <c r="E151" s="297">
        <f t="shared" si="27"/>
        <v>9.2367638888888909E-2</v>
      </c>
      <c r="F151" s="298">
        <f t="shared" si="27"/>
        <v>3.3387207049486459E-2</v>
      </c>
      <c r="G151" s="304">
        <f t="shared" si="27"/>
        <v>0.12575484593837535</v>
      </c>
      <c r="H151" s="297">
        <f t="shared" si="27"/>
        <v>9.7188172231575012E-2</v>
      </c>
      <c r="I151" s="298">
        <f t="shared" si="27"/>
        <v>3.5129637047018575E-2</v>
      </c>
      <c r="J151" s="298">
        <f t="shared" si="27"/>
        <v>0.1323178092785936</v>
      </c>
      <c r="K151" s="305">
        <f t="shared" si="27"/>
        <v>1.5289210086391461E-2</v>
      </c>
      <c r="O151" s="300"/>
      <c r="P151" s="7"/>
      <c r="Q151" s="22"/>
      <c r="R151" s="2"/>
      <c r="S151" s="2"/>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2"/>
      <c r="AS151" s="2"/>
      <c r="AT151" s="2"/>
      <c r="AU151" s="2"/>
      <c r="AV151" s="2"/>
      <c r="AW151" s="2"/>
      <c r="AX151" s="2"/>
    </row>
    <row r="152" spans="1:50" x14ac:dyDescent="0.5">
      <c r="A152" s="277"/>
      <c r="B152" s="306"/>
      <c r="C152" s="307"/>
      <c r="D152" s="308" t="s">
        <v>164</v>
      </c>
      <c r="E152" s="309">
        <f t="shared" ref="E152:K152" si="28">SUM(E151,E140,E125,E114)</f>
        <v>0.56665176593234501</v>
      </c>
      <c r="F152" s="310">
        <f t="shared" si="28"/>
        <v>0.1097671243392748</v>
      </c>
      <c r="G152" s="311">
        <f t="shared" si="28"/>
        <v>0.67641889027161972</v>
      </c>
      <c r="H152" s="309">
        <f t="shared" si="28"/>
        <v>0.61868388803698537</v>
      </c>
      <c r="I152" s="310">
        <f t="shared" si="28"/>
        <v>0.11905534473702283</v>
      </c>
      <c r="J152" s="310">
        <f t="shared" si="28"/>
        <v>0.73773923277400821</v>
      </c>
      <c r="K152" s="312">
        <f t="shared" si="28"/>
        <v>9.3145626366193113E-2</v>
      </c>
      <c r="O152" s="300"/>
      <c r="P152" s="7"/>
      <c r="Q152" s="22"/>
      <c r="R152" s="2"/>
      <c r="S152" s="2"/>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2"/>
      <c r="AS152" s="2"/>
      <c r="AT152" s="2"/>
      <c r="AU152" s="2"/>
      <c r="AV152" s="2"/>
      <c r="AW152" s="2"/>
      <c r="AX152" s="2"/>
    </row>
    <row r="153" spans="1:50" x14ac:dyDescent="0.5">
      <c r="A153" s="277"/>
      <c r="B153" s="7"/>
      <c r="C153" s="7"/>
      <c r="D153" s="7"/>
      <c r="E153" s="50"/>
      <c r="F153" s="50"/>
      <c r="G153" s="7"/>
      <c r="H153" s="7"/>
      <c r="I153" s="7"/>
      <c r="J153" s="7"/>
      <c r="K153" s="7"/>
      <c r="L153" s="7"/>
      <c r="M153" s="28"/>
      <c r="N153" s="313"/>
      <c r="O153" s="313"/>
      <c r="P153" s="313"/>
      <c r="R153" s="2"/>
      <c r="S153" s="2"/>
      <c r="T153" s="7"/>
      <c r="U153" s="16"/>
      <c r="V153" s="7"/>
      <c r="W153" s="7"/>
      <c r="X153" s="16"/>
      <c r="Y153" s="50"/>
      <c r="Z153" s="7"/>
      <c r="AA153" s="7"/>
      <c r="AB153" s="7"/>
      <c r="AC153" s="7"/>
      <c r="AD153" s="7"/>
      <c r="AE153" s="7"/>
      <c r="AF153" s="7"/>
      <c r="AG153" s="7"/>
      <c r="AH153" s="7"/>
      <c r="AI153" s="7"/>
      <c r="AJ153" s="7"/>
      <c r="AK153" s="7"/>
      <c r="AL153" s="7"/>
      <c r="AM153" s="7"/>
      <c r="AN153" s="7"/>
      <c r="AO153" s="7"/>
      <c r="AP153" s="7"/>
      <c r="AQ153" s="7"/>
      <c r="AR153" s="2"/>
      <c r="AS153" s="2"/>
      <c r="AT153" s="2"/>
      <c r="AU153" s="2"/>
      <c r="AV153" s="2"/>
      <c r="AW153" s="2"/>
      <c r="AX153" s="2"/>
    </row>
    <row r="154" spans="1:50" x14ac:dyDescent="0.5">
      <c r="A154" s="277"/>
      <c r="B154" s="314" t="s">
        <v>60</v>
      </c>
      <c r="C154" s="315"/>
      <c r="D154" s="316"/>
      <c r="E154" s="7"/>
      <c r="F154" s="7"/>
      <c r="G154" s="2"/>
      <c r="H154" s="256"/>
      <c r="I154" s="2"/>
      <c r="J154" s="7"/>
      <c r="K154" s="7"/>
      <c r="L154" s="7"/>
      <c r="M154" s="28"/>
      <c r="N154" s="313"/>
      <c r="O154" s="313"/>
      <c r="P154" s="313"/>
      <c r="R154" s="2"/>
      <c r="S154" s="2"/>
      <c r="T154" s="7"/>
      <c r="U154" s="7"/>
      <c r="V154" s="7"/>
      <c r="W154" s="7"/>
      <c r="X154" s="7"/>
      <c r="Y154" s="7"/>
      <c r="Z154" s="7"/>
      <c r="AA154" s="28"/>
      <c r="AB154" s="7"/>
      <c r="AC154" s="28"/>
      <c r="AD154" s="7"/>
      <c r="AE154" s="7"/>
      <c r="AF154" s="28"/>
      <c r="AG154" s="7"/>
      <c r="AH154" s="7"/>
      <c r="AI154" s="7"/>
      <c r="AJ154" s="7"/>
      <c r="AK154" s="7"/>
      <c r="AL154" s="7"/>
      <c r="AM154" s="7"/>
      <c r="AN154" s="7"/>
      <c r="AO154" s="7"/>
      <c r="AP154" s="7"/>
      <c r="AQ154" s="7"/>
      <c r="AR154" s="2"/>
      <c r="AS154" s="2"/>
      <c r="AT154" s="2"/>
      <c r="AU154" s="2"/>
      <c r="AV154" s="2"/>
      <c r="AW154" s="2"/>
      <c r="AX154" s="2"/>
    </row>
    <row r="155" spans="1:50" x14ac:dyDescent="0.5">
      <c r="A155" s="8"/>
      <c r="B155" s="317" t="s">
        <v>165</v>
      </c>
      <c r="C155" s="318">
        <v>0.05</v>
      </c>
      <c r="D155" s="319" t="s">
        <v>20</v>
      </c>
      <c r="E155" s="320"/>
      <c r="F155" s="7"/>
      <c r="G155" s="2"/>
      <c r="H155" s="2"/>
      <c r="I155" s="2"/>
      <c r="J155" s="7"/>
      <c r="K155" s="321"/>
      <c r="L155" s="7"/>
      <c r="M155" s="28"/>
      <c r="N155" s="313"/>
      <c r="O155" s="313"/>
      <c r="P155" s="313"/>
      <c r="R155" s="10"/>
      <c r="S155" s="2"/>
      <c r="T155" s="7"/>
      <c r="U155" s="7"/>
      <c r="V155" s="7"/>
      <c r="W155" s="7"/>
      <c r="X155" s="322"/>
      <c r="Y155" s="7"/>
      <c r="Z155" s="7"/>
      <c r="AA155" s="7"/>
      <c r="AB155" s="7"/>
      <c r="AC155" s="7"/>
      <c r="AD155" s="7"/>
      <c r="AE155" s="7"/>
      <c r="AF155" s="7"/>
      <c r="AG155" s="7"/>
      <c r="AH155" s="7"/>
      <c r="AI155" s="28"/>
      <c r="AJ155" s="7"/>
      <c r="AK155" s="7"/>
      <c r="AL155" s="7"/>
      <c r="AM155" s="7"/>
      <c r="AN155" s="7"/>
      <c r="AO155" s="7"/>
      <c r="AP155" s="7"/>
      <c r="AQ155" s="7"/>
      <c r="AR155" s="2"/>
      <c r="AS155" s="2"/>
      <c r="AT155" s="2"/>
      <c r="AU155" s="2"/>
      <c r="AV155" s="2"/>
      <c r="AW155" s="2"/>
      <c r="AX155" s="2"/>
    </row>
    <row r="156" spans="1:50" x14ac:dyDescent="0.5">
      <c r="A156" s="8"/>
      <c r="B156" s="317" t="s">
        <v>166</v>
      </c>
      <c r="C156" s="318">
        <v>0.03</v>
      </c>
      <c r="D156" s="319" t="s">
        <v>20</v>
      </c>
      <c r="E156" s="320"/>
      <c r="F156" s="7"/>
      <c r="G156" s="2"/>
      <c r="H156" s="2"/>
      <c r="I156" s="2"/>
      <c r="J156" s="7"/>
      <c r="K156" s="7"/>
      <c r="L156" s="7"/>
      <c r="M156" s="28"/>
      <c r="N156" s="313"/>
      <c r="O156" s="313"/>
      <c r="P156" s="313"/>
      <c r="R156" s="2"/>
      <c r="S156" s="2"/>
      <c r="T156" s="7"/>
      <c r="U156" s="7"/>
      <c r="V156" s="7"/>
      <c r="W156" s="7"/>
      <c r="X156" s="7"/>
      <c r="Y156" s="7"/>
      <c r="Z156" s="7"/>
      <c r="AA156" s="7"/>
      <c r="AB156" s="7"/>
      <c r="AC156" s="7"/>
      <c r="AD156" s="7"/>
      <c r="AE156" s="7"/>
      <c r="AF156" s="7"/>
      <c r="AG156" s="7"/>
      <c r="AH156" s="7"/>
      <c r="AI156" s="7"/>
      <c r="AJ156" s="50"/>
      <c r="AK156" s="7"/>
      <c r="AL156" s="7"/>
      <c r="AM156" s="7"/>
      <c r="AN156" s="7"/>
      <c r="AO156" s="7"/>
      <c r="AP156" s="7"/>
      <c r="AQ156" s="7"/>
      <c r="AR156" s="2"/>
      <c r="AS156" s="2"/>
      <c r="AT156" s="2"/>
      <c r="AU156" s="2"/>
      <c r="AV156" s="2"/>
      <c r="AW156" s="2"/>
      <c r="AX156" s="2"/>
    </row>
    <row r="157" spans="1:50" x14ac:dyDescent="0.5">
      <c r="A157" s="8"/>
      <c r="B157" s="317"/>
      <c r="C157" s="323" t="s">
        <v>167</v>
      </c>
      <c r="D157" s="324"/>
      <c r="E157" s="7"/>
      <c r="F157" s="7"/>
      <c r="G157" s="2"/>
      <c r="H157" s="2"/>
      <c r="I157" s="2"/>
      <c r="J157" s="7"/>
      <c r="K157" s="7"/>
      <c r="L157" s="7"/>
      <c r="M157" s="28"/>
      <c r="N157" s="313"/>
      <c r="O157" s="313"/>
      <c r="P157" s="313"/>
      <c r="R157" s="2"/>
      <c r="S157" s="2"/>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2"/>
      <c r="AS157" s="2"/>
      <c r="AT157" s="2"/>
      <c r="AU157" s="2"/>
      <c r="AV157" s="2"/>
      <c r="AW157" s="2"/>
      <c r="AX157" s="2"/>
    </row>
    <row r="158" spans="1:50" x14ac:dyDescent="0.5">
      <c r="A158" s="8"/>
      <c r="B158" s="317" t="s">
        <v>55</v>
      </c>
      <c r="C158" s="325">
        <f>H114*C155+I114*C156</f>
        <v>8.4549370404401938E-3</v>
      </c>
      <c r="D158" s="326"/>
      <c r="E158" s="7"/>
      <c r="F158" s="7"/>
      <c r="G158" s="327"/>
      <c r="H158" s="327"/>
      <c r="I158" s="2"/>
      <c r="J158" s="7"/>
      <c r="K158" s="7"/>
      <c r="L158" s="7"/>
      <c r="M158" s="28"/>
      <c r="N158" s="313"/>
      <c r="O158" s="313"/>
      <c r="P158" s="313"/>
      <c r="R158" s="2"/>
      <c r="S158" s="2"/>
      <c r="T158" s="27"/>
      <c r="U158" s="28"/>
      <c r="V158" s="28"/>
      <c r="W158" s="28"/>
      <c r="X158" s="28"/>
      <c r="Y158" s="28"/>
      <c r="Z158" s="28"/>
      <c r="AA158" s="28"/>
      <c r="AB158" s="328"/>
      <c r="AC158" s="28"/>
      <c r="AD158" s="29"/>
      <c r="AE158" s="28"/>
      <c r="AF158" s="28"/>
      <c r="AG158" s="28"/>
      <c r="AH158" s="7"/>
      <c r="AI158" s="27"/>
      <c r="AJ158" s="7"/>
      <c r="AK158" s="28"/>
      <c r="AL158" s="29"/>
      <c r="AM158" s="7"/>
      <c r="AN158" s="329"/>
      <c r="AO158" s="7"/>
      <c r="AP158" s="7"/>
      <c r="AQ158" s="7"/>
      <c r="AR158" s="2"/>
      <c r="AS158" s="2"/>
      <c r="AT158" s="2"/>
      <c r="AU158" s="2"/>
      <c r="AV158" s="2"/>
      <c r="AW158" s="2"/>
      <c r="AX158" s="2"/>
    </row>
    <row r="159" spans="1:50" x14ac:dyDescent="0.5">
      <c r="A159" s="8"/>
      <c r="B159" s="317" t="s">
        <v>56</v>
      </c>
      <c r="C159" s="325">
        <f>H125*C155+I125*C156</f>
        <v>4.9717404059933584E-3</v>
      </c>
      <c r="D159" s="326"/>
      <c r="E159" s="7"/>
      <c r="F159" s="7"/>
      <c r="G159" s="327"/>
      <c r="H159" s="327"/>
      <c r="I159" s="2"/>
      <c r="J159" s="7"/>
      <c r="K159" s="7"/>
      <c r="L159" s="7"/>
      <c r="M159" s="28"/>
      <c r="N159" s="313"/>
      <c r="O159" s="313"/>
      <c r="P159" s="313"/>
      <c r="R159" s="29"/>
      <c r="S159" s="2"/>
      <c r="T159" s="27"/>
      <c r="U159" s="28"/>
      <c r="V159" s="28"/>
      <c r="W159" s="28"/>
      <c r="X159" s="28"/>
      <c r="Y159" s="28"/>
      <c r="Z159" s="28"/>
      <c r="AA159" s="28"/>
      <c r="AB159" s="328"/>
      <c r="AC159" s="28"/>
      <c r="AD159" s="29"/>
      <c r="AE159" s="28"/>
      <c r="AF159" s="28"/>
      <c r="AG159" s="28"/>
      <c r="AH159" s="7"/>
      <c r="AI159" s="27"/>
      <c r="AJ159" s="7"/>
      <c r="AK159" s="28"/>
      <c r="AL159" s="29"/>
      <c r="AM159" s="7"/>
      <c r="AN159" s="329"/>
      <c r="AO159" s="7"/>
      <c r="AP159" s="7"/>
      <c r="AQ159" s="7"/>
      <c r="AR159" s="2"/>
      <c r="AS159" s="2"/>
      <c r="AT159" s="2"/>
      <c r="AU159" s="2"/>
      <c r="AV159" s="2"/>
      <c r="AW159" s="2"/>
      <c r="AX159" s="2"/>
    </row>
    <row r="160" spans="1:50" x14ac:dyDescent="0.5">
      <c r="A160" s="8"/>
      <c r="B160" s="317" t="s">
        <v>144</v>
      </c>
      <c r="C160" s="325">
        <f>H140*C155+I140*C156</f>
        <v>1.5165879574537093E-2</v>
      </c>
      <c r="D160" s="326"/>
      <c r="E160" s="7"/>
      <c r="F160" s="7"/>
      <c r="G160" s="2"/>
      <c r="H160" s="2"/>
      <c r="I160" s="2"/>
      <c r="J160" s="7"/>
      <c r="K160" s="7"/>
      <c r="L160" s="7"/>
      <c r="M160" s="28"/>
      <c r="N160" s="313"/>
      <c r="O160" s="313"/>
      <c r="P160" s="313"/>
      <c r="R160" s="2"/>
      <c r="S160" s="2"/>
      <c r="T160" s="7"/>
      <c r="U160" s="7"/>
      <c r="V160" s="7"/>
      <c r="W160" s="7"/>
      <c r="X160" s="7"/>
      <c r="Y160" s="7"/>
      <c r="Z160" s="7"/>
      <c r="AA160" s="7"/>
      <c r="AB160" s="330"/>
      <c r="AC160" s="28"/>
      <c r="AD160" s="29"/>
      <c r="AE160" s="28"/>
      <c r="AF160" s="28"/>
      <c r="AG160" s="28"/>
      <c r="AH160" s="7"/>
      <c r="AI160" s="33"/>
      <c r="AJ160" s="7"/>
      <c r="AK160" s="28"/>
      <c r="AL160" s="29"/>
      <c r="AM160" s="7"/>
      <c r="AN160" s="329"/>
      <c r="AO160" s="7"/>
      <c r="AP160" s="7"/>
      <c r="AQ160" s="7"/>
      <c r="AR160" s="10"/>
      <c r="AS160" s="2"/>
      <c r="AT160" s="2"/>
      <c r="AU160" s="2"/>
      <c r="AV160" s="2"/>
      <c r="AW160" s="2"/>
      <c r="AX160" s="2"/>
    </row>
    <row r="161" spans="1:50" x14ac:dyDescent="0.5">
      <c r="A161" s="8"/>
      <c r="B161" s="317" t="s">
        <v>58</v>
      </c>
      <c r="C161" s="325">
        <f>H151*C155+I151*C156</f>
        <v>5.9132977229893087E-3</v>
      </c>
      <c r="D161" s="326"/>
      <c r="E161" s="7"/>
      <c r="F161" s="7"/>
      <c r="G161" s="2"/>
      <c r="H161" s="2"/>
      <c r="I161" s="2"/>
      <c r="J161" s="7"/>
      <c r="K161" s="7"/>
      <c r="L161" s="7"/>
      <c r="M161" s="28"/>
      <c r="N161" s="313"/>
      <c r="O161" s="313"/>
      <c r="P161" s="313"/>
      <c r="R161" s="2"/>
      <c r="S161" s="2"/>
      <c r="T161" s="27"/>
      <c r="U161" s="28"/>
      <c r="V161" s="28"/>
      <c r="W161" s="28"/>
      <c r="X161" s="28"/>
      <c r="Y161" s="28"/>
      <c r="Z161" s="28"/>
      <c r="AA161" s="28"/>
      <c r="AB161" s="328"/>
      <c r="AC161" s="28"/>
      <c r="AD161" s="29"/>
      <c r="AE161" s="28"/>
      <c r="AF161" s="28"/>
      <c r="AG161" s="28"/>
      <c r="AH161" s="7"/>
      <c r="AI161" s="27"/>
      <c r="AJ161" s="7"/>
      <c r="AK161" s="28"/>
      <c r="AL161" s="29"/>
      <c r="AM161" s="7"/>
      <c r="AN161" s="329"/>
      <c r="AO161" s="7"/>
      <c r="AP161" s="7"/>
      <c r="AQ161" s="7"/>
      <c r="AR161" s="10"/>
      <c r="AS161" s="2"/>
      <c r="AT161" s="2"/>
      <c r="AU161" s="2"/>
      <c r="AV161" s="2"/>
      <c r="AW161" s="2"/>
      <c r="AX161" s="2"/>
    </row>
    <row r="162" spans="1:50" x14ac:dyDescent="0.5">
      <c r="A162" s="8"/>
      <c r="B162" s="331" t="s">
        <v>168</v>
      </c>
      <c r="C162" s="332">
        <f>SUM(C158:C161)</f>
        <v>3.4505854743959952E-2</v>
      </c>
      <c r="D162" s="333"/>
      <c r="E162" s="7"/>
      <c r="F162" s="7"/>
      <c r="G162" s="2"/>
      <c r="H162" s="2"/>
      <c r="I162" s="2"/>
      <c r="J162" s="7"/>
      <c r="K162" s="7"/>
      <c r="L162" s="7"/>
      <c r="M162" s="28"/>
      <c r="N162" s="313"/>
      <c r="O162" s="313"/>
      <c r="P162" s="313"/>
      <c r="R162" s="2"/>
      <c r="S162" s="2"/>
      <c r="T162" s="33"/>
      <c r="U162" s="28"/>
      <c r="V162" s="28"/>
      <c r="W162" s="28"/>
      <c r="X162" s="28"/>
      <c r="Y162" s="28"/>
      <c r="Z162" s="28"/>
      <c r="AA162" s="28"/>
      <c r="AB162" s="328"/>
      <c r="AC162" s="28"/>
      <c r="AD162" s="29"/>
      <c r="AE162" s="28"/>
      <c r="AF162" s="28"/>
      <c r="AG162" s="28"/>
      <c r="AH162" s="28"/>
      <c r="AI162" s="27"/>
      <c r="AJ162" s="7"/>
      <c r="AK162" s="28"/>
      <c r="AL162" s="29"/>
      <c r="AM162" s="7"/>
      <c r="AN162" s="329"/>
      <c r="AO162" s="7"/>
      <c r="AP162" s="7"/>
      <c r="AQ162" s="7"/>
      <c r="AR162" s="2"/>
      <c r="AS162" s="2"/>
      <c r="AT162" s="2"/>
      <c r="AU162" s="2"/>
      <c r="AV162" s="2"/>
      <c r="AW162" s="2"/>
      <c r="AX162" s="2"/>
    </row>
    <row r="163" spans="1:50" x14ac:dyDescent="0.5">
      <c r="A163" s="8"/>
      <c r="B163" s="2"/>
      <c r="C163" s="2"/>
      <c r="D163" s="2"/>
      <c r="E163" s="2"/>
      <c r="F163" s="2"/>
      <c r="G163" s="2"/>
      <c r="H163" s="2"/>
      <c r="I163" s="2"/>
      <c r="J163" s="7"/>
      <c r="K163" s="7"/>
      <c r="L163" s="7"/>
      <c r="M163" s="28"/>
      <c r="N163" s="313"/>
      <c r="O163" s="313"/>
      <c r="P163" s="313"/>
      <c r="R163" s="2"/>
      <c r="S163" s="2"/>
      <c r="T163" s="27"/>
      <c r="U163" s="28"/>
      <c r="V163" s="28"/>
      <c r="W163" s="28"/>
      <c r="X163" s="28"/>
      <c r="Y163" s="28"/>
      <c r="Z163" s="28"/>
      <c r="AA163" s="28"/>
      <c r="AB163" s="328"/>
      <c r="AC163" s="28"/>
      <c r="AD163" s="29"/>
      <c r="AE163" s="28"/>
      <c r="AF163" s="28"/>
      <c r="AG163" s="28"/>
      <c r="AH163" s="28"/>
      <c r="AI163" s="27"/>
      <c r="AJ163" s="7"/>
      <c r="AK163" s="28"/>
      <c r="AL163" s="29"/>
      <c r="AM163" s="7"/>
      <c r="AN163" s="329"/>
      <c r="AO163" s="7"/>
      <c r="AP163" s="7"/>
      <c r="AQ163" s="7"/>
      <c r="AR163" s="2"/>
      <c r="AS163" s="2"/>
      <c r="AT163" s="2"/>
      <c r="AU163" s="2"/>
      <c r="AV163" s="2"/>
      <c r="AW163" s="2"/>
      <c r="AX163" s="2"/>
    </row>
    <row r="164" spans="1:50" x14ac:dyDescent="0.5">
      <c r="A164" s="8"/>
      <c r="B164" s="334" t="s">
        <v>62</v>
      </c>
      <c r="C164" s="335"/>
      <c r="D164" s="336"/>
      <c r="E164" s="336"/>
      <c r="F164" s="336"/>
      <c r="G164" s="337"/>
      <c r="H164" s="336"/>
      <c r="I164" s="336"/>
      <c r="J164" s="336"/>
      <c r="K164" s="336"/>
      <c r="L164" s="338"/>
      <c r="R164" s="2"/>
      <c r="S164" s="2"/>
      <c r="T164" s="27"/>
      <c r="U164" s="28"/>
      <c r="V164" s="28"/>
      <c r="W164" s="28"/>
      <c r="X164" s="28"/>
      <c r="Y164" s="28"/>
      <c r="Z164" s="28"/>
      <c r="AA164" s="28"/>
      <c r="AB164" s="328"/>
      <c r="AC164" s="28"/>
      <c r="AD164" s="29"/>
      <c r="AE164" s="28"/>
      <c r="AF164" s="28"/>
      <c r="AG164" s="28"/>
      <c r="AH164" s="28"/>
      <c r="AI164" s="27"/>
      <c r="AJ164" s="7"/>
      <c r="AK164" s="28"/>
      <c r="AL164" s="29"/>
      <c r="AM164" s="7"/>
      <c r="AN164" s="329"/>
      <c r="AO164" s="7"/>
      <c r="AP164" s="7"/>
      <c r="AQ164" s="7"/>
      <c r="AR164" s="2"/>
      <c r="AS164" s="2"/>
      <c r="AT164" s="2"/>
      <c r="AU164" s="2"/>
      <c r="AV164" s="2"/>
      <c r="AW164" s="2"/>
      <c r="AX164" s="2"/>
    </row>
    <row r="165" spans="1:50" x14ac:dyDescent="0.5">
      <c r="A165" s="8"/>
      <c r="B165" s="339"/>
      <c r="C165" s="340" t="s">
        <v>169</v>
      </c>
      <c r="D165" s="341" t="s">
        <v>170</v>
      </c>
      <c r="E165" s="341" t="s">
        <v>171</v>
      </c>
      <c r="F165" s="342" t="s">
        <v>172</v>
      </c>
      <c r="G165" s="343" t="s">
        <v>173</v>
      </c>
      <c r="H165" s="343" t="s">
        <v>174</v>
      </c>
      <c r="I165" s="342" t="s">
        <v>175</v>
      </c>
      <c r="J165" s="343" t="s">
        <v>176</v>
      </c>
      <c r="K165" s="343" t="s">
        <v>177</v>
      </c>
      <c r="L165" s="344" t="s">
        <v>178</v>
      </c>
      <c r="R165" s="2"/>
      <c r="S165" s="2"/>
      <c r="T165" s="27"/>
      <c r="U165" s="28"/>
      <c r="V165" s="28"/>
      <c r="W165" s="28"/>
      <c r="X165" s="28"/>
      <c r="Y165" s="28"/>
      <c r="Z165" s="28"/>
      <c r="AA165" s="28"/>
      <c r="AB165" s="328"/>
      <c r="AC165" s="28"/>
      <c r="AD165" s="29"/>
      <c r="AE165" s="28"/>
      <c r="AF165" s="28"/>
      <c r="AG165" s="28"/>
      <c r="AH165" s="28"/>
      <c r="AI165" s="27"/>
      <c r="AJ165" s="7"/>
      <c r="AK165" s="28"/>
      <c r="AL165" s="29"/>
      <c r="AM165" s="7"/>
      <c r="AN165" s="329"/>
      <c r="AO165" s="7"/>
      <c r="AP165" s="7"/>
      <c r="AQ165" s="7"/>
      <c r="AR165" s="2"/>
      <c r="AS165" s="2"/>
      <c r="AT165" s="2"/>
      <c r="AU165" s="2"/>
      <c r="AV165" s="2"/>
      <c r="AW165" s="2"/>
      <c r="AX165" s="2"/>
    </row>
    <row r="166" spans="1:50" x14ac:dyDescent="0.5">
      <c r="A166" s="8"/>
      <c r="B166" s="339" t="s">
        <v>179</v>
      </c>
      <c r="C166" s="345">
        <v>0.31200417198965624</v>
      </c>
      <c r="D166" s="345">
        <v>7.1195582870132057E-2</v>
      </c>
      <c r="E166" s="345">
        <v>1.9055288356416344E-2</v>
      </c>
      <c r="F166" s="105">
        <f>C166*1/(24*365)*$C$81*$C$71/$C$74*1000000</f>
        <v>0.14142312197758064</v>
      </c>
      <c r="G166" s="107">
        <f>D166*1/(24*365)*$C$81*$C$71/$C$74*1000000</f>
        <v>3.2271047968042678E-2</v>
      </c>
      <c r="H166" s="107">
        <f>E166*1/(24*365)*$C$81*$C$71/$C$74*1000000</f>
        <v>8.637251073799047E-3</v>
      </c>
      <c r="I166" s="105">
        <f>F166/($C$20/100)/($C$189*$C$188*$C$187*$C$186)</f>
        <v>0.15983221263112313</v>
      </c>
      <c r="J166" s="107">
        <f>G166/($C$20/100)/($C$189*$C$188*$C$187*$C$186)</f>
        <v>3.6471780063482437E-2</v>
      </c>
      <c r="K166" s="107">
        <f>H166/($C$20/100)/($C$189*$C$188*$C$187*$C$186)</f>
        <v>9.761564664049021E-3</v>
      </c>
      <c r="L166" s="346">
        <f>(I166*$C$14+J166*$C$15+K166*$C$16)*$C$17*24*365/1000000</f>
        <v>3.8714548866690519E-2</v>
      </c>
      <c r="R166" s="2"/>
      <c r="S166" s="2"/>
      <c r="T166" s="27"/>
      <c r="U166" s="28"/>
      <c r="V166" s="28"/>
      <c r="W166" s="28"/>
      <c r="X166" s="28"/>
      <c r="Y166" s="28"/>
      <c r="Z166" s="28"/>
      <c r="AA166" s="28"/>
      <c r="AB166" s="328"/>
      <c r="AC166" s="28"/>
      <c r="AD166" s="29"/>
      <c r="AE166" s="28"/>
      <c r="AF166" s="28"/>
      <c r="AG166" s="28"/>
      <c r="AH166" s="28"/>
      <c r="AI166" s="27"/>
      <c r="AJ166" s="7"/>
      <c r="AK166" s="28"/>
      <c r="AL166" s="29"/>
      <c r="AM166" s="7"/>
      <c r="AN166" s="329"/>
      <c r="AO166" s="7"/>
      <c r="AP166" s="7"/>
      <c r="AQ166" s="7"/>
      <c r="AR166" s="2"/>
      <c r="AS166" s="2"/>
      <c r="AT166" s="2"/>
      <c r="AU166" s="2"/>
      <c r="AV166" s="2"/>
      <c r="AW166" s="2"/>
      <c r="AX166" s="2"/>
    </row>
    <row r="167" spans="1:50" x14ac:dyDescent="0.5">
      <c r="A167" s="8"/>
      <c r="B167" s="339" t="s">
        <v>180</v>
      </c>
      <c r="C167" s="345">
        <v>3.1809831693863089E-3</v>
      </c>
      <c r="D167" s="345">
        <v>6.5152667325918401E-4</v>
      </c>
      <c r="E167" s="345">
        <v>1.9162549213458391E-4</v>
      </c>
      <c r="F167" s="339">
        <f t="shared" ref="F167:H168" si="29">C167*1/(24*365)*$C$71/$C$74*1000000</f>
        <v>8.2999999998645962E-2</v>
      </c>
      <c r="G167" s="98">
        <f t="shared" si="29"/>
        <v>1.7000000000019756E-2</v>
      </c>
      <c r="H167" s="98">
        <f t="shared" si="29"/>
        <v>4.9999999999935417E-3</v>
      </c>
      <c r="I167" s="105">
        <f>F167/($C$20/100)/($C$189*$C$188*$C$187)</f>
        <v>9.380413515598833E-2</v>
      </c>
      <c r="J167" s="107">
        <f>G167/($C$20/100)/($C$189*$C$188*$C$187)</f>
        <v>1.9212895152767109E-2</v>
      </c>
      <c r="K167" s="107">
        <f>H167/($C$20/100)/($C$189*$C$188*$C$187)</f>
        <v>5.6508515155058708E-3</v>
      </c>
      <c r="L167" s="346">
        <f>(I167*$C$14+J167*$C$15+K167*$C$16)*$C$17*24*365/1000000</f>
        <v>2.2172114471531008E-2</v>
      </c>
      <c r="R167" s="2"/>
      <c r="S167" s="2"/>
      <c r="T167" s="27"/>
      <c r="U167" s="28"/>
      <c r="V167" s="28"/>
      <c r="W167" s="28"/>
      <c r="X167" s="28"/>
      <c r="Y167" s="28"/>
      <c r="Z167" s="28"/>
      <c r="AA167" s="28"/>
      <c r="AB167" s="328"/>
      <c r="AC167" s="28"/>
      <c r="AD167" s="29"/>
      <c r="AE167" s="328"/>
      <c r="AF167" s="28"/>
      <c r="AG167" s="28"/>
      <c r="AH167" s="28"/>
      <c r="AI167" s="27"/>
      <c r="AJ167" s="7"/>
      <c r="AK167" s="28"/>
      <c r="AL167" s="29"/>
      <c r="AM167" s="7"/>
      <c r="AN167" s="329"/>
      <c r="AO167" s="7"/>
      <c r="AP167" s="7"/>
      <c r="AQ167" s="7"/>
      <c r="AR167" s="2"/>
      <c r="AS167" s="2"/>
      <c r="AT167" s="2"/>
      <c r="AU167" s="2"/>
      <c r="AV167" s="2"/>
      <c r="AW167" s="2"/>
      <c r="AX167" s="2"/>
    </row>
    <row r="168" spans="1:50" x14ac:dyDescent="0.5">
      <c r="A168" s="8"/>
      <c r="B168" s="339" t="s">
        <v>181</v>
      </c>
      <c r="C168" s="345">
        <v>2.529456496063176E-3</v>
      </c>
      <c r="D168" s="345">
        <v>1.303053346518368E-3</v>
      </c>
      <c r="E168" s="345">
        <v>1.9162549213458391E-4</v>
      </c>
      <c r="F168" s="339">
        <f t="shared" si="29"/>
        <v>6.5999999996957631E-2</v>
      </c>
      <c r="G168" s="98">
        <f t="shared" si="29"/>
        <v>3.4000000000039513E-2</v>
      </c>
      <c r="H168" s="98">
        <f t="shared" si="29"/>
        <v>4.9999999999935417E-3</v>
      </c>
      <c r="I168" s="105">
        <f>F168/($C$20/100)/($C$189*$C$188)</f>
        <v>7.0861678001268691E-2</v>
      </c>
      <c r="J168" s="107">
        <f>G168/($C$20/100)/($C$189*$C$188)</f>
        <v>3.6504500790257501E-2</v>
      </c>
      <c r="K168" s="107">
        <f>H168/($C$20/100)/($C$189*$C$188)</f>
        <v>5.3683089397305777E-3</v>
      </c>
      <c r="L168" s="346">
        <f>(I168*$C$14+J168*$C$15+K168*$C$16)*$C$17*24*365/1000000</f>
        <v>2.2357935895407494E-2</v>
      </c>
      <c r="R168" s="2"/>
      <c r="S168" s="2"/>
      <c r="T168" s="27"/>
      <c r="U168" s="28"/>
      <c r="V168" s="28"/>
      <c r="W168" s="28"/>
      <c r="X168" s="28"/>
      <c r="Y168" s="28"/>
      <c r="Z168" s="28"/>
      <c r="AA168" s="28"/>
      <c r="AB168" s="328"/>
      <c r="AC168" s="28"/>
      <c r="AD168" s="29"/>
      <c r="AE168" s="328"/>
      <c r="AF168" s="28"/>
      <c r="AG168" s="28"/>
      <c r="AH168" s="28"/>
      <c r="AI168" s="27"/>
      <c r="AJ168" s="7"/>
      <c r="AK168" s="28"/>
      <c r="AL168" s="29"/>
      <c r="AM168" s="7"/>
      <c r="AN168" s="329"/>
      <c r="AO168" s="7"/>
      <c r="AP168" s="7"/>
      <c r="AQ168" s="7"/>
      <c r="AR168" s="2"/>
      <c r="AS168" s="2"/>
      <c r="AT168" s="2"/>
      <c r="AU168" s="2"/>
      <c r="AV168" s="2"/>
      <c r="AW168" s="2"/>
      <c r="AX168" s="2"/>
    </row>
    <row r="169" spans="1:50" x14ac:dyDescent="0.5">
      <c r="A169" s="8"/>
      <c r="B169" s="339" t="s">
        <v>182</v>
      </c>
      <c r="C169" s="345">
        <v>0.14256936614810911</v>
      </c>
      <c r="D169" s="345">
        <v>7.8183200791045238E-2</v>
      </c>
      <c r="E169" s="345">
        <v>1.1037628346969086E-2</v>
      </c>
      <c r="F169" s="339">
        <f>C169*1/(24*365)*1/$C$74*1000000</f>
        <v>6.199999999991064E-2</v>
      </c>
      <c r="G169" s="98">
        <f>D169*1/(24*365)*1/$C$74*1000000</f>
        <v>3.4000000000014789E-2</v>
      </c>
      <c r="H169" s="98">
        <f>E169*1/(24*365)*1/$C$74*1000000</f>
        <v>4.8000000000012156E-3</v>
      </c>
      <c r="I169" s="105">
        <f>F169/($C$20/100)/($C$189)</f>
        <v>6.5235690235596208E-2</v>
      </c>
      <c r="J169" s="107">
        <f>G169/($C$20/100)/($C$189)</f>
        <v>3.5774410774426335E-2</v>
      </c>
      <c r="K169" s="107">
        <f>H169/($C$20/100)/($C$189)</f>
        <v>5.0505050505063294E-3</v>
      </c>
      <c r="L169" s="346">
        <f>(I169*$C$14+J169*$C$15+K169*$C$16)*$C$17*24*365/1000000</f>
        <v>2.1135829179281231E-2</v>
      </c>
      <c r="R169" s="2"/>
      <c r="S169" s="2"/>
      <c r="T169" s="27"/>
      <c r="U169" s="28"/>
      <c r="V169" s="28"/>
      <c r="W169" s="28"/>
      <c r="X169" s="28"/>
      <c r="Y169" s="28"/>
      <c r="Z169" s="28"/>
      <c r="AA169" s="28"/>
      <c r="AB169" s="328"/>
      <c r="AC169" s="28"/>
      <c r="AD169" s="29"/>
      <c r="AE169" s="328"/>
      <c r="AF169" s="28"/>
      <c r="AG169" s="28"/>
      <c r="AH169" s="28"/>
      <c r="AI169" s="27"/>
      <c r="AJ169" s="7"/>
      <c r="AK169" s="28"/>
      <c r="AL169" s="29"/>
      <c r="AM169" s="7"/>
      <c r="AN169" s="329"/>
      <c r="AO169" s="7"/>
      <c r="AP169" s="7"/>
      <c r="AQ169" s="7"/>
      <c r="AR169" s="2"/>
      <c r="AS169" s="2"/>
      <c r="AT169" s="2"/>
      <c r="AU169" s="2"/>
      <c r="AV169" s="2"/>
      <c r="AW169" s="2"/>
      <c r="AX169" s="2"/>
    </row>
    <row r="170" spans="1:50" x14ac:dyDescent="0.5">
      <c r="A170" s="8"/>
      <c r="B170" s="347"/>
      <c r="C170" s="348"/>
      <c r="D170" s="348"/>
      <c r="E170" s="348"/>
      <c r="F170" s="340"/>
      <c r="G170" s="349"/>
      <c r="H170" s="350"/>
      <c r="I170" s="350"/>
      <c r="J170" s="341"/>
      <c r="K170" s="341"/>
      <c r="L170" s="351">
        <f>SUM(L166:L169)</f>
        <v>0.10438042841291026</v>
      </c>
      <c r="R170" s="2"/>
      <c r="S170" s="2"/>
      <c r="T170" s="27"/>
      <c r="U170" s="28"/>
      <c r="V170" s="28"/>
      <c r="W170" s="28"/>
      <c r="X170" s="28"/>
      <c r="Y170" s="28"/>
      <c r="Z170" s="28"/>
      <c r="AA170" s="28"/>
      <c r="AB170" s="328"/>
      <c r="AC170" s="28"/>
      <c r="AD170" s="29"/>
      <c r="AE170" s="328"/>
      <c r="AF170" s="28"/>
      <c r="AG170" s="28"/>
      <c r="AH170" s="28"/>
      <c r="AI170" s="27"/>
      <c r="AJ170" s="7"/>
      <c r="AK170" s="28"/>
      <c r="AL170" s="29"/>
      <c r="AM170" s="7"/>
      <c r="AN170" s="329"/>
      <c r="AO170" s="7"/>
      <c r="AP170" s="7"/>
      <c r="AQ170" s="7"/>
      <c r="AR170" s="2"/>
      <c r="AS170" s="2"/>
      <c r="AT170" s="2"/>
      <c r="AU170" s="2"/>
      <c r="AV170" s="2"/>
      <c r="AW170" s="2"/>
      <c r="AX170" s="2"/>
    </row>
    <row r="171" spans="1:50" x14ac:dyDescent="0.5">
      <c r="A171" s="8"/>
      <c r="B171" s="7"/>
      <c r="C171" s="313"/>
      <c r="D171" s="313"/>
      <c r="E171" s="313"/>
      <c r="F171" s="352"/>
      <c r="G171" s="11"/>
      <c r="H171" s="353"/>
      <c r="I171" s="353"/>
      <c r="R171" s="2"/>
      <c r="S171" s="2"/>
      <c r="T171" s="27"/>
      <c r="U171" s="28"/>
      <c r="V171" s="28"/>
      <c r="W171" s="28"/>
      <c r="X171" s="28"/>
      <c r="Y171" s="28"/>
      <c r="Z171" s="28"/>
      <c r="AA171" s="28"/>
      <c r="AB171" s="328"/>
      <c r="AC171" s="28"/>
      <c r="AD171" s="29"/>
      <c r="AE171" s="328"/>
      <c r="AF171" s="28"/>
      <c r="AG171" s="28"/>
      <c r="AH171" s="28"/>
      <c r="AI171" s="27"/>
      <c r="AJ171" s="7"/>
      <c r="AK171" s="28"/>
      <c r="AL171" s="29"/>
      <c r="AM171" s="7"/>
      <c r="AN171" s="329"/>
      <c r="AO171" s="7"/>
      <c r="AP171" s="7"/>
      <c r="AQ171" s="7"/>
      <c r="AR171" s="2"/>
      <c r="AS171" s="2"/>
      <c r="AT171" s="2"/>
      <c r="AU171" s="2"/>
      <c r="AV171" s="2"/>
      <c r="AW171" s="2"/>
      <c r="AX171" s="2"/>
    </row>
    <row r="172" spans="1:50" x14ac:dyDescent="0.5">
      <c r="A172" s="8"/>
      <c r="B172" s="354" t="s">
        <v>63</v>
      </c>
      <c r="C172" s="355"/>
      <c r="D172" s="356"/>
      <c r="E172" s="357"/>
      <c r="F172" s="352"/>
      <c r="G172" s="11"/>
      <c r="H172" s="353"/>
      <c r="I172" s="353"/>
      <c r="R172" s="2"/>
      <c r="S172" s="2"/>
      <c r="T172" s="27"/>
      <c r="U172" s="28"/>
      <c r="V172" s="28"/>
      <c r="W172" s="28"/>
      <c r="X172" s="28"/>
      <c r="Y172" s="28"/>
      <c r="Z172" s="28"/>
      <c r="AA172" s="28"/>
      <c r="AB172" s="328"/>
      <c r="AC172" s="28"/>
      <c r="AD172" s="29"/>
      <c r="AE172" s="328"/>
      <c r="AF172" s="28"/>
      <c r="AG172" s="28"/>
      <c r="AH172" s="28"/>
      <c r="AI172" s="27"/>
      <c r="AJ172" s="7"/>
      <c r="AK172" s="28"/>
      <c r="AL172" s="29"/>
      <c r="AM172" s="7"/>
      <c r="AN172" s="329"/>
      <c r="AO172" s="7"/>
      <c r="AP172" s="7"/>
      <c r="AQ172" s="7"/>
      <c r="AR172" s="2"/>
      <c r="AS172" s="2"/>
      <c r="AT172" s="2"/>
      <c r="AU172" s="2"/>
      <c r="AV172" s="2"/>
      <c r="AW172" s="2"/>
      <c r="AX172" s="2"/>
    </row>
    <row r="173" spans="1:50" x14ac:dyDescent="0.5">
      <c r="A173" s="8"/>
      <c r="B173" s="358" t="s">
        <v>107</v>
      </c>
      <c r="C173" s="359">
        <v>13.6</v>
      </c>
      <c r="D173" s="360" t="s">
        <v>7</v>
      </c>
      <c r="E173" s="361"/>
      <c r="F173" s="352"/>
      <c r="G173" s="11"/>
      <c r="H173" s="11"/>
      <c r="I173" s="362"/>
      <c r="J173" s="11"/>
      <c r="R173" s="2"/>
      <c r="S173" s="2"/>
      <c r="T173" s="27"/>
      <c r="U173" s="28"/>
      <c r="V173" s="28"/>
      <c r="W173" s="28"/>
      <c r="X173" s="28"/>
      <c r="Y173" s="28"/>
      <c r="Z173" s="28"/>
      <c r="AA173" s="28"/>
      <c r="AB173" s="328"/>
      <c r="AC173" s="28"/>
      <c r="AD173" s="29"/>
      <c r="AE173" s="328"/>
      <c r="AF173" s="28"/>
      <c r="AG173" s="28"/>
      <c r="AH173" s="28"/>
      <c r="AI173" s="27"/>
      <c r="AJ173" s="7"/>
      <c r="AK173" s="28"/>
      <c r="AL173" s="29"/>
      <c r="AM173" s="7"/>
      <c r="AN173" s="329"/>
      <c r="AO173" s="7"/>
      <c r="AP173" s="7"/>
      <c r="AQ173" s="7"/>
      <c r="AR173" s="2"/>
      <c r="AS173" s="2"/>
      <c r="AT173" s="2"/>
      <c r="AU173" s="2"/>
      <c r="AV173" s="2"/>
      <c r="AW173" s="2"/>
      <c r="AX173" s="2"/>
    </row>
    <row r="174" spans="1:50" x14ac:dyDescent="0.5">
      <c r="A174" s="8"/>
      <c r="B174" s="363" t="s">
        <v>183</v>
      </c>
      <c r="C174" s="364">
        <v>25.4</v>
      </c>
      <c r="D174" s="109" t="s">
        <v>184</v>
      </c>
      <c r="E174" s="361"/>
      <c r="F174" s="352"/>
      <c r="G174" s="11"/>
      <c r="H174" s="11"/>
      <c r="I174" s="362"/>
      <c r="J174" s="11"/>
      <c r="R174" s="2"/>
      <c r="S174" s="2"/>
      <c r="T174" s="27"/>
      <c r="U174" s="28"/>
      <c r="V174" s="28"/>
      <c r="W174" s="28"/>
      <c r="X174" s="28"/>
      <c r="Y174" s="28"/>
      <c r="Z174" s="28"/>
      <c r="AA174" s="28"/>
      <c r="AB174" s="328"/>
      <c r="AC174" s="28"/>
      <c r="AD174" s="29"/>
      <c r="AE174" s="328"/>
      <c r="AF174" s="28"/>
      <c r="AG174" s="28"/>
      <c r="AH174" s="28"/>
      <c r="AI174" s="27"/>
      <c r="AJ174" s="7"/>
      <c r="AK174" s="28"/>
      <c r="AL174" s="29"/>
      <c r="AM174" s="7"/>
      <c r="AN174" s="329"/>
      <c r="AO174" s="7"/>
      <c r="AP174" s="7"/>
      <c r="AQ174" s="7"/>
      <c r="AR174" s="2"/>
      <c r="AS174" s="2"/>
      <c r="AT174" s="2"/>
      <c r="AU174" s="2"/>
      <c r="AV174" s="2"/>
      <c r="AW174" s="2"/>
      <c r="AX174" s="2"/>
    </row>
    <row r="175" spans="1:50" x14ac:dyDescent="0.5">
      <c r="A175" s="8"/>
      <c r="B175" s="363" t="s">
        <v>185</v>
      </c>
      <c r="C175" s="118">
        <v>0.2</v>
      </c>
      <c r="D175" s="109" t="s">
        <v>186</v>
      </c>
      <c r="E175" s="361"/>
      <c r="F175" s="352"/>
      <c r="G175" s="11"/>
      <c r="H175" s="11"/>
      <c r="I175" s="362"/>
      <c r="J175" s="11"/>
      <c r="R175" s="2"/>
      <c r="S175" s="2"/>
      <c r="T175" s="27"/>
      <c r="U175" s="28"/>
      <c r="V175" s="28"/>
      <c r="W175" s="28"/>
      <c r="X175" s="28"/>
      <c r="Y175" s="28"/>
      <c r="Z175" s="28"/>
      <c r="AA175" s="28"/>
      <c r="AB175" s="328"/>
      <c r="AC175" s="28"/>
      <c r="AD175" s="29"/>
      <c r="AE175" s="328"/>
      <c r="AF175" s="28"/>
      <c r="AG175" s="28"/>
      <c r="AH175" s="28"/>
      <c r="AI175" s="27"/>
      <c r="AJ175" s="7"/>
      <c r="AK175" s="28"/>
      <c r="AL175" s="29"/>
      <c r="AM175" s="7"/>
      <c r="AN175" s="329"/>
      <c r="AO175" s="7"/>
      <c r="AP175" s="7"/>
      <c r="AQ175" s="7"/>
      <c r="AR175" s="2"/>
      <c r="AS175" s="2"/>
      <c r="AT175" s="2"/>
      <c r="AU175" s="2"/>
      <c r="AV175" s="2"/>
      <c r="AW175" s="2"/>
      <c r="AX175" s="2"/>
    </row>
    <row r="176" spans="1:50" x14ac:dyDescent="0.5">
      <c r="A176" s="8"/>
      <c r="B176" s="363" t="s">
        <v>187</v>
      </c>
      <c r="C176" s="118">
        <v>0.34</v>
      </c>
      <c r="D176" s="109" t="s">
        <v>186</v>
      </c>
      <c r="E176" s="365"/>
      <c r="F176" s="352"/>
      <c r="G176" s="11"/>
      <c r="H176" s="11"/>
      <c r="I176" s="362"/>
      <c r="J176" s="11"/>
      <c r="R176" s="2"/>
      <c r="S176" s="2"/>
      <c r="T176" s="27"/>
      <c r="U176" s="28"/>
      <c r="V176" s="28"/>
      <c r="W176" s="28"/>
      <c r="X176" s="28"/>
      <c r="Y176" s="28"/>
      <c r="Z176" s="28"/>
      <c r="AA176" s="28"/>
      <c r="AB176" s="328"/>
      <c r="AC176" s="28"/>
      <c r="AD176" s="29"/>
      <c r="AE176" s="328"/>
      <c r="AF176" s="28"/>
      <c r="AG176" s="28"/>
      <c r="AH176" s="28"/>
      <c r="AI176" s="27"/>
      <c r="AJ176" s="7"/>
      <c r="AK176" s="28"/>
      <c r="AL176" s="29"/>
      <c r="AM176" s="7"/>
      <c r="AN176" s="329"/>
      <c r="AO176" s="7"/>
      <c r="AP176" s="7"/>
      <c r="AQ176" s="7"/>
      <c r="AR176" s="2"/>
      <c r="AS176" s="2"/>
      <c r="AT176" s="2"/>
      <c r="AU176" s="2"/>
      <c r="AV176" s="2"/>
      <c r="AW176" s="2"/>
      <c r="AX176" s="2"/>
    </row>
    <row r="177" spans="1:50" x14ac:dyDescent="0.5">
      <c r="A177" s="8"/>
      <c r="B177" s="363" t="s">
        <v>188</v>
      </c>
      <c r="C177" s="118">
        <v>0.05</v>
      </c>
      <c r="D177" s="109" t="s">
        <v>186</v>
      </c>
      <c r="E177" s="365"/>
      <c r="F177" s="352"/>
      <c r="G177" s="11"/>
      <c r="H177" s="353"/>
      <c r="I177" s="353"/>
      <c r="R177" s="2"/>
      <c r="S177" s="2"/>
      <c r="T177" s="27"/>
      <c r="U177" s="28"/>
      <c r="V177" s="28"/>
      <c r="W177" s="28"/>
      <c r="X177" s="28"/>
      <c r="Y177" s="28"/>
      <c r="Z177" s="28"/>
      <c r="AA177" s="28"/>
      <c r="AB177" s="328"/>
      <c r="AC177" s="28"/>
      <c r="AD177" s="29"/>
      <c r="AE177" s="328"/>
      <c r="AF177" s="28"/>
      <c r="AG177" s="28"/>
      <c r="AH177" s="28"/>
      <c r="AI177" s="27"/>
      <c r="AJ177" s="7"/>
      <c r="AK177" s="28"/>
      <c r="AL177" s="29"/>
      <c r="AM177" s="7"/>
      <c r="AN177" s="329"/>
      <c r="AO177" s="7"/>
      <c r="AP177" s="7"/>
      <c r="AQ177" s="7"/>
      <c r="AR177" s="2"/>
      <c r="AS177" s="2"/>
      <c r="AT177" s="2"/>
      <c r="AU177" s="2"/>
      <c r="AV177" s="2"/>
      <c r="AW177" s="2"/>
      <c r="AX177" s="2"/>
    </row>
    <row r="178" spans="1:50" x14ac:dyDescent="0.5">
      <c r="A178" s="8"/>
      <c r="B178" s="363"/>
      <c r="C178" s="109" t="s">
        <v>189</v>
      </c>
      <c r="D178" s="109" t="s">
        <v>190</v>
      </c>
      <c r="E178" s="366" t="s">
        <v>53</v>
      </c>
      <c r="F178" s="352"/>
      <c r="G178" s="11"/>
      <c r="H178" s="353"/>
      <c r="I178" s="353"/>
      <c r="R178" s="2"/>
      <c r="S178" s="2"/>
      <c r="T178" s="27"/>
      <c r="U178" s="28"/>
      <c r="V178" s="28"/>
      <c r="W178" s="28"/>
      <c r="X178" s="28"/>
      <c r="Y178" s="28"/>
      <c r="Z178" s="28"/>
      <c r="AA178" s="28"/>
      <c r="AB178" s="328"/>
      <c r="AC178" s="28"/>
      <c r="AD178" s="29"/>
      <c r="AE178" s="328"/>
      <c r="AF178" s="28"/>
      <c r="AG178" s="28"/>
      <c r="AH178" s="28"/>
      <c r="AI178" s="27"/>
      <c r="AJ178" s="7"/>
      <c r="AK178" s="28"/>
      <c r="AL178" s="29"/>
      <c r="AM178" s="7"/>
      <c r="AN178" s="329"/>
      <c r="AO178" s="7"/>
      <c r="AP178" s="7"/>
      <c r="AQ178" s="7"/>
      <c r="AR178" s="2"/>
      <c r="AS178" s="2"/>
      <c r="AT178" s="2"/>
      <c r="AU178" s="2"/>
      <c r="AV178" s="2"/>
      <c r="AW178" s="2"/>
      <c r="AX178" s="2"/>
    </row>
    <row r="179" spans="1:50" x14ac:dyDescent="0.5">
      <c r="A179" s="8"/>
      <c r="B179" s="367" t="s">
        <v>191</v>
      </c>
      <c r="C179" s="368">
        <f>C174*C37/1000*C18</f>
        <v>7.5174353743938062E-3</v>
      </c>
      <c r="D179" s="368">
        <f>$C$186*$C$187*$C$188*$C$189</f>
        <v>0.9216899999999999</v>
      </c>
      <c r="E179" s="369">
        <f>C179/D179</f>
        <v>8.1561429270077864E-3</v>
      </c>
      <c r="F179" s="352"/>
      <c r="G179" s="11"/>
      <c r="H179" s="353"/>
      <c r="I179" s="353"/>
      <c r="R179" s="2"/>
      <c r="S179" s="2"/>
      <c r="T179" s="27"/>
      <c r="U179" s="28"/>
      <c r="V179" s="28"/>
      <c r="W179" s="28"/>
      <c r="X179" s="28"/>
      <c r="Y179" s="28"/>
      <c r="Z179" s="28"/>
      <c r="AA179" s="28"/>
      <c r="AB179" s="328"/>
      <c r="AC179" s="28"/>
      <c r="AD179" s="29"/>
      <c r="AE179" s="328"/>
      <c r="AF179" s="28"/>
      <c r="AG179" s="28"/>
      <c r="AH179" s="28"/>
      <c r="AI179" s="27"/>
      <c r="AJ179" s="7"/>
      <c r="AK179" s="28"/>
      <c r="AL179" s="29"/>
      <c r="AM179" s="7"/>
      <c r="AN179" s="329"/>
      <c r="AO179" s="7"/>
      <c r="AP179" s="7"/>
      <c r="AQ179" s="7"/>
      <c r="AR179" s="2"/>
      <c r="AS179" s="2"/>
      <c r="AT179" s="2"/>
      <c r="AU179" s="2"/>
      <c r="AV179" s="2"/>
      <c r="AW179" s="2"/>
      <c r="AX179" s="2"/>
    </row>
    <row r="180" spans="1:50" x14ac:dyDescent="0.5">
      <c r="A180" s="8"/>
      <c r="B180" s="367" t="s">
        <v>192</v>
      </c>
      <c r="C180" s="368">
        <f>C18*C175*(C173/C8)</f>
        <v>1.1679E-2</v>
      </c>
      <c r="D180" s="368">
        <f>$C$187*$C$188*$C$189</f>
        <v>0.9216899999999999</v>
      </c>
      <c r="E180" s="369">
        <f>C180/D180</f>
        <v>1.2671288611138237E-2</v>
      </c>
      <c r="F180" s="352"/>
      <c r="G180" s="11"/>
      <c r="H180" s="353"/>
      <c r="I180" s="353"/>
      <c r="R180" s="2"/>
      <c r="S180" s="2"/>
      <c r="T180" s="27"/>
      <c r="U180" s="28"/>
      <c r="V180" s="28"/>
      <c r="W180" s="28"/>
      <c r="X180" s="28"/>
      <c r="Y180" s="28"/>
      <c r="Z180" s="28"/>
      <c r="AA180" s="28"/>
      <c r="AB180" s="328"/>
      <c r="AC180" s="28"/>
      <c r="AD180" s="29"/>
      <c r="AE180" s="328"/>
      <c r="AF180" s="28"/>
      <c r="AG180" s="28"/>
      <c r="AH180" s="28"/>
      <c r="AI180" s="27"/>
      <c r="AJ180" s="7"/>
      <c r="AK180" s="28"/>
      <c r="AL180" s="29"/>
      <c r="AM180" s="7"/>
      <c r="AN180" s="329"/>
      <c r="AO180" s="7"/>
      <c r="AP180" s="7"/>
      <c r="AQ180" s="7"/>
      <c r="AR180" s="2"/>
      <c r="AS180" s="2"/>
      <c r="AT180" s="2"/>
      <c r="AU180" s="2"/>
      <c r="AV180" s="2"/>
      <c r="AW180" s="2"/>
      <c r="AX180" s="2"/>
    </row>
    <row r="181" spans="1:50" x14ac:dyDescent="0.5">
      <c r="A181" s="8"/>
      <c r="B181" s="367" t="s">
        <v>193</v>
      </c>
      <c r="C181" s="368">
        <f>C18*C176*(C173/C8)</f>
        <v>1.9854299999999998E-2</v>
      </c>
      <c r="D181" s="368">
        <f>$C$188*$C$189</f>
        <v>0.97019999999999995</v>
      </c>
      <c r="E181" s="369">
        <f>C181/D181</f>
        <v>2.0464131106988248E-2</v>
      </c>
      <c r="F181" s="352"/>
      <c r="G181" s="11"/>
      <c r="H181" s="353"/>
      <c r="I181" s="353"/>
      <c r="R181" s="2"/>
      <c r="S181" s="2"/>
      <c r="T181" s="27"/>
      <c r="U181" s="28"/>
      <c r="V181" s="28"/>
      <c r="W181" s="28"/>
      <c r="X181" s="28"/>
      <c r="Y181" s="28"/>
      <c r="Z181" s="28"/>
      <c r="AA181" s="28"/>
      <c r="AB181" s="328"/>
      <c r="AC181" s="28"/>
      <c r="AD181" s="29"/>
      <c r="AE181" s="328"/>
      <c r="AF181" s="28"/>
      <c r="AG181" s="28"/>
      <c r="AH181" s="28"/>
      <c r="AI181" s="27"/>
      <c r="AJ181" s="7"/>
      <c r="AK181" s="28"/>
      <c r="AL181" s="29"/>
      <c r="AM181" s="7"/>
      <c r="AN181" s="329"/>
      <c r="AO181" s="7"/>
      <c r="AP181" s="7"/>
      <c r="AQ181" s="7"/>
      <c r="AR181" s="2"/>
      <c r="AS181" s="2"/>
      <c r="AT181" s="2"/>
      <c r="AU181" s="2"/>
      <c r="AV181" s="2"/>
      <c r="AW181" s="2"/>
      <c r="AX181" s="2"/>
    </row>
    <row r="182" spans="1:50" x14ac:dyDescent="0.5">
      <c r="A182" s="8"/>
      <c r="B182" s="367" t="s">
        <v>194</v>
      </c>
      <c r="C182" s="368">
        <f>C18*C177*(C173/C8)</f>
        <v>2.91975E-3</v>
      </c>
      <c r="D182" s="368">
        <f>$C$189</f>
        <v>0.99</v>
      </c>
      <c r="E182" s="369">
        <f>C182/D182</f>
        <v>2.9492424242424241E-3</v>
      </c>
      <c r="F182" s="352"/>
      <c r="G182" s="11"/>
      <c r="H182" s="353"/>
      <c r="I182" s="353"/>
      <c r="R182" s="2"/>
      <c r="S182" s="2"/>
      <c r="T182" s="27"/>
      <c r="U182" s="28"/>
      <c r="V182" s="28"/>
      <c r="W182" s="28"/>
      <c r="X182" s="28"/>
      <c r="Y182" s="28"/>
      <c r="Z182" s="28"/>
      <c r="AA182" s="28"/>
      <c r="AB182" s="328"/>
      <c r="AC182" s="28"/>
      <c r="AD182" s="29"/>
      <c r="AE182" s="328"/>
      <c r="AF182" s="28"/>
      <c r="AG182" s="28"/>
      <c r="AH182" s="28"/>
      <c r="AI182" s="27"/>
      <c r="AJ182" s="7"/>
      <c r="AK182" s="28"/>
      <c r="AL182" s="29"/>
      <c r="AM182" s="7"/>
      <c r="AN182" s="329"/>
      <c r="AO182" s="7"/>
      <c r="AP182" s="7"/>
      <c r="AQ182" s="7"/>
      <c r="AR182" s="2"/>
      <c r="AS182" s="2"/>
      <c r="AT182" s="2"/>
      <c r="AU182" s="2"/>
      <c r="AV182" s="2"/>
      <c r="AW182" s="2"/>
      <c r="AX182" s="2"/>
    </row>
    <row r="183" spans="1:50" x14ac:dyDescent="0.5">
      <c r="A183" s="8"/>
      <c r="B183" s="370" t="s">
        <v>195</v>
      </c>
      <c r="C183" s="371"/>
      <c r="D183" s="372"/>
      <c r="E183" s="373">
        <f>SUM(E179:E182)</f>
        <v>4.4240805069376693E-2</v>
      </c>
      <c r="F183" s="352"/>
      <c r="G183" s="11"/>
      <c r="H183" s="353"/>
      <c r="I183" s="353"/>
      <c r="R183" s="2"/>
      <c r="S183" s="2"/>
      <c r="T183" s="27"/>
      <c r="U183" s="28"/>
      <c r="V183" s="28"/>
      <c r="W183" s="28"/>
      <c r="X183" s="28"/>
      <c r="Y183" s="28"/>
      <c r="Z183" s="28"/>
      <c r="AA183" s="28"/>
      <c r="AB183" s="328"/>
      <c r="AC183" s="28"/>
      <c r="AD183" s="29"/>
      <c r="AE183" s="328"/>
      <c r="AF183" s="28"/>
      <c r="AG183" s="28"/>
      <c r="AH183" s="28"/>
      <c r="AI183" s="27"/>
      <c r="AJ183" s="7"/>
      <c r="AK183" s="28"/>
      <c r="AL183" s="29"/>
      <c r="AM183" s="7"/>
      <c r="AN183" s="329"/>
      <c r="AO183" s="7"/>
      <c r="AP183" s="7"/>
      <c r="AQ183" s="7"/>
      <c r="AR183" s="2"/>
      <c r="AS183" s="2"/>
      <c r="AT183" s="2"/>
      <c r="AU183" s="2"/>
      <c r="AV183" s="2"/>
      <c r="AW183" s="2"/>
      <c r="AX183" s="2"/>
    </row>
    <row r="184" spans="1:50" x14ac:dyDescent="0.5">
      <c r="A184" s="8"/>
      <c r="E184" s="374"/>
      <c r="F184" s="352"/>
      <c r="G184" s="11"/>
      <c r="H184" s="353"/>
      <c r="I184" s="353"/>
      <c r="R184" s="2"/>
      <c r="S184" s="2"/>
      <c r="T184" s="27"/>
      <c r="U184" s="28"/>
      <c r="V184" s="28"/>
      <c r="W184" s="28"/>
      <c r="X184" s="28"/>
      <c r="Y184" s="28"/>
      <c r="Z184" s="28"/>
      <c r="AA184" s="28"/>
      <c r="AB184" s="328"/>
      <c r="AC184" s="28"/>
      <c r="AD184" s="29"/>
      <c r="AE184" s="328"/>
      <c r="AF184" s="28"/>
      <c r="AG184" s="28"/>
      <c r="AH184" s="28"/>
      <c r="AI184" s="27"/>
      <c r="AJ184" s="7"/>
      <c r="AK184" s="28"/>
      <c r="AL184" s="29"/>
      <c r="AM184" s="7"/>
      <c r="AN184" s="329"/>
      <c r="AO184" s="7"/>
      <c r="AP184" s="7"/>
      <c r="AQ184" s="7"/>
      <c r="AR184" s="2"/>
      <c r="AS184" s="2"/>
      <c r="AT184" s="2"/>
      <c r="AU184" s="2"/>
      <c r="AV184" s="2"/>
      <c r="AW184" s="2"/>
      <c r="AX184" s="2"/>
    </row>
    <row r="185" spans="1:50" x14ac:dyDescent="0.5">
      <c r="A185" s="8"/>
      <c r="B185" s="375" t="s">
        <v>196</v>
      </c>
      <c r="C185" s="376"/>
      <c r="D185" s="377"/>
      <c r="E185" s="378"/>
      <c r="F185" s="352"/>
      <c r="G185" s="11"/>
      <c r="H185" s="353"/>
      <c r="I185" s="353"/>
      <c r="R185" s="2"/>
      <c r="S185" s="2"/>
      <c r="T185" s="27"/>
      <c r="U185" s="28"/>
      <c r="V185" s="28"/>
      <c r="W185" s="28"/>
      <c r="X185" s="28"/>
      <c r="Y185" s="28"/>
      <c r="Z185" s="28"/>
      <c r="AA185" s="28"/>
      <c r="AB185" s="328"/>
      <c r="AC185" s="28"/>
      <c r="AD185" s="29"/>
      <c r="AE185" s="328"/>
      <c r="AF185" s="28"/>
      <c r="AG185" s="28"/>
      <c r="AH185" s="28"/>
      <c r="AI185" s="27"/>
      <c r="AJ185" s="7"/>
      <c r="AK185" s="28"/>
      <c r="AL185" s="29"/>
      <c r="AM185" s="7"/>
      <c r="AN185" s="329"/>
      <c r="AO185" s="7"/>
      <c r="AP185" s="7"/>
      <c r="AQ185" s="7"/>
      <c r="AR185" s="2"/>
      <c r="AS185" s="2"/>
      <c r="AT185" s="2"/>
      <c r="AU185" s="2"/>
      <c r="AV185" s="2"/>
      <c r="AW185" s="2"/>
      <c r="AX185" s="2"/>
    </row>
    <row r="186" spans="1:50" x14ac:dyDescent="0.5">
      <c r="A186" s="8"/>
      <c r="B186" s="379" t="s">
        <v>197</v>
      </c>
      <c r="C186" s="380">
        <v>1</v>
      </c>
      <c r="D186" s="381" t="s">
        <v>20</v>
      </c>
      <c r="E186" s="378"/>
      <c r="F186" s="352"/>
      <c r="G186" s="11"/>
      <c r="H186" s="353"/>
      <c r="I186" s="353"/>
      <c r="R186" s="2"/>
      <c r="S186" s="2"/>
      <c r="T186" s="27"/>
      <c r="U186" s="28"/>
      <c r="V186" s="28"/>
      <c r="W186" s="28"/>
      <c r="X186" s="28"/>
      <c r="Y186" s="28"/>
      <c r="Z186" s="28"/>
      <c r="AA186" s="28"/>
      <c r="AB186" s="328"/>
      <c r="AC186" s="28"/>
      <c r="AD186" s="29"/>
      <c r="AE186" s="328"/>
      <c r="AF186" s="28"/>
      <c r="AG186" s="28"/>
      <c r="AH186" s="28"/>
      <c r="AI186" s="27"/>
      <c r="AJ186" s="7"/>
      <c r="AK186" s="28"/>
      <c r="AL186" s="29"/>
      <c r="AM186" s="7"/>
      <c r="AN186" s="329"/>
      <c r="AO186" s="7"/>
      <c r="AP186" s="7"/>
      <c r="AQ186" s="7"/>
      <c r="AR186" s="2"/>
      <c r="AS186" s="2"/>
      <c r="AT186" s="2"/>
      <c r="AU186" s="2"/>
      <c r="AV186" s="2"/>
      <c r="AW186" s="2"/>
      <c r="AX186" s="2"/>
    </row>
    <row r="187" spans="1:50" x14ac:dyDescent="0.5">
      <c r="A187" s="8"/>
      <c r="B187" s="382" t="s">
        <v>198</v>
      </c>
      <c r="C187" s="383">
        <v>0.95</v>
      </c>
      <c r="D187" s="384" t="s">
        <v>20</v>
      </c>
      <c r="F187" s="352"/>
      <c r="G187" s="11"/>
      <c r="H187" s="353"/>
      <c r="I187" s="353"/>
      <c r="R187" s="2"/>
      <c r="S187" s="2"/>
      <c r="T187" s="27"/>
      <c r="U187" s="28"/>
      <c r="V187" s="28"/>
      <c r="W187" s="28"/>
      <c r="X187" s="28"/>
      <c r="Y187" s="28"/>
      <c r="Z187" s="28"/>
      <c r="AA187" s="28"/>
      <c r="AB187" s="328"/>
      <c r="AC187" s="28"/>
      <c r="AD187" s="29"/>
      <c r="AE187" s="328"/>
      <c r="AF187" s="28"/>
      <c r="AG187" s="28"/>
      <c r="AH187" s="28"/>
      <c r="AI187" s="27"/>
      <c r="AJ187" s="7"/>
      <c r="AK187" s="28"/>
      <c r="AL187" s="29"/>
      <c r="AM187" s="7"/>
      <c r="AN187" s="329"/>
      <c r="AO187" s="7"/>
      <c r="AP187" s="7"/>
      <c r="AQ187" s="7"/>
      <c r="AR187" s="2"/>
      <c r="AS187" s="2"/>
      <c r="AT187" s="2"/>
      <c r="AU187" s="2"/>
      <c r="AV187" s="2"/>
      <c r="AW187" s="2"/>
      <c r="AX187" s="2"/>
    </row>
    <row r="188" spans="1:50" x14ac:dyDescent="0.5">
      <c r="A188" s="8"/>
      <c r="B188" s="382" t="s">
        <v>199</v>
      </c>
      <c r="C188" s="383">
        <f>0.98</f>
        <v>0.98</v>
      </c>
      <c r="D188" s="384" t="s">
        <v>20</v>
      </c>
      <c r="F188" s="352"/>
      <c r="G188" s="11"/>
      <c r="H188" s="353"/>
      <c r="I188" s="353"/>
      <c r="R188" s="2"/>
      <c r="S188" s="2"/>
      <c r="T188" s="27"/>
      <c r="U188" s="28"/>
      <c r="V188" s="28"/>
      <c r="W188" s="28"/>
      <c r="X188" s="28"/>
      <c r="Y188" s="28"/>
      <c r="Z188" s="28"/>
      <c r="AA188" s="28"/>
      <c r="AB188" s="328"/>
      <c r="AC188" s="28"/>
      <c r="AD188" s="29"/>
      <c r="AE188" s="328"/>
      <c r="AF188" s="28"/>
      <c r="AG188" s="28"/>
      <c r="AH188" s="28"/>
      <c r="AI188" s="27"/>
      <c r="AJ188" s="7"/>
      <c r="AK188" s="28"/>
      <c r="AL188" s="29"/>
      <c r="AM188" s="7"/>
      <c r="AN188" s="329"/>
      <c r="AO188" s="7"/>
      <c r="AP188" s="7"/>
      <c r="AQ188" s="7"/>
      <c r="AR188" s="2"/>
      <c r="AS188" s="2"/>
      <c r="AT188" s="2"/>
      <c r="AU188" s="2"/>
      <c r="AV188" s="2"/>
      <c r="AW188" s="2"/>
      <c r="AX188" s="2"/>
    </row>
    <row r="189" spans="1:50" x14ac:dyDescent="0.5">
      <c r="A189" s="8"/>
      <c r="B189" s="382" t="s">
        <v>200</v>
      </c>
      <c r="C189" s="383">
        <f>0.99</f>
        <v>0.99</v>
      </c>
      <c r="D189" s="384" t="s">
        <v>20</v>
      </c>
      <c r="F189" s="352"/>
      <c r="G189" s="11"/>
      <c r="H189" s="353"/>
      <c r="I189" s="353"/>
      <c r="R189" s="2"/>
      <c r="S189" s="2"/>
      <c r="T189" s="27"/>
      <c r="U189" s="28"/>
      <c r="V189" s="28"/>
      <c r="W189" s="28"/>
      <c r="X189" s="28"/>
      <c r="Y189" s="28"/>
      <c r="Z189" s="28"/>
      <c r="AA189" s="28"/>
      <c r="AB189" s="328"/>
      <c r="AC189" s="28"/>
      <c r="AD189" s="29"/>
      <c r="AE189" s="328"/>
      <c r="AF189" s="28"/>
      <c r="AG189" s="28"/>
      <c r="AH189" s="28"/>
      <c r="AI189" s="27"/>
      <c r="AJ189" s="7"/>
      <c r="AK189" s="28"/>
      <c r="AL189" s="29"/>
      <c r="AM189" s="7"/>
      <c r="AN189" s="329"/>
      <c r="AO189" s="7"/>
      <c r="AP189" s="7"/>
      <c r="AQ189" s="7"/>
      <c r="AR189" s="2"/>
      <c r="AS189" s="2"/>
      <c r="AT189" s="2"/>
      <c r="AU189" s="2"/>
      <c r="AV189" s="2"/>
      <c r="AW189" s="2"/>
      <c r="AX189" s="2"/>
    </row>
    <row r="190" spans="1:50" x14ac:dyDescent="0.5">
      <c r="A190" s="8"/>
      <c r="B190" s="385" t="s">
        <v>201</v>
      </c>
      <c r="C190" s="386">
        <f>C186*C187*C188*C189</f>
        <v>0.9216899999999999</v>
      </c>
      <c r="D190" s="387" t="s">
        <v>20</v>
      </c>
      <c r="F190" s="352"/>
      <c r="G190" s="11"/>
      <c r="H190" s="353"/>
      <c r="I190" s="353"/>
      <c r="R190" s="2"/>
      <c r="S190" s="2"/>
      <c r="T190" s="27"/>
      <c r="U190" s="28"/>
      <c r="V190" s="28"/>
      <c r="W190" s="28"/>
      <c r="X190" s="28"/>
      <c r="Y190" s="28"/>
      <c r="Z190" s="28"/>
      <c r="AA190" s="28"/>
      <c r="AB190" s="328"/>
      <c r="AC190" s="28"/>
      <c r="AD190" s="29"/>
      <c r="AE190" s="328"/>
      <c r="AF190" s="28"/>
      <c r="AG190" s="28"/>
      <c r="AH190" s="28"/>
      <c r="AI190" s="27"/>
      <c r="AJ190" s="7"/>
      <c r="AK190" s="28"/>
      <c r="AL190" s="29"/>
      <c r="AM190" s="7"/>
      <c r="AN190" s="329"/>
      <c r="AO190" s="7"/>
      <c r="AP190" s="7"/>
      <c r="AQ190" s="7"/>
      <c r="AR190" s="2"/>
      <c r="AS190" s="2"/>
      <c r="AT190" s="2"/>
      <c r="AU190" s="2"/>
      <c r="AV190" s="2"/>
      <c r="AW190" s="2"/>
      <c r="AX190" s="2"/>
    </row>
    <row r="191" spans="1:50" x14ac:dyDescent="0.5">
      <c r="A191" s="8"/>
      <c r="B191" s="7"/>
      <c r="C191" s="313"/>
      <c r="D191" s="313"/>
      <c r="E191" s="313"/>
      <c r="F191" s="352"/>
      <c r="G191" s="11"/>
      <c r="H191" s="353"/>
      <c r="I191" s="353"/>
      <c r="R191" s="2"/>
      <c r="S191" s="2"/>
      <c r="T191" s="27"/>
      <c r="U191" s="28"/>
      <c r="V191" s="28"/>
      <c r="W191" s="28"/>
      <c r="X191" s="28"/>
      <c r="Y191" s="28"/>
      <c r="Z191" s="28"/>
      <c r="AA191" s="28"/>
      <c r="AB191" s="328"/>
      <c r="AC191" s="28"/>
      <c r="AD191" s="29"/>
      <c r="AE191" s="328"/>
      <c r="AF191" s="28"/>
      <c r="AG191" s="28"/>
      <c r="AH191" s="28"/>
      <c r="AI191" s="27"/>
      <c r="AJ191" s="7"/>
      <c r="AK191" s="28"/>
      <c r="AL191" s="29"/>
      <c r="AM191" s="7"/>
      <c r="AN191" s="329"/>
      <c r="AO191" s="7"/>
      <c r="AP191" s="7"/>
      <c r="AQ191" s="7"/>
      <c r="AR191" s="2"/>
      <c r="AS191" s="2"/>
      <c r="AT191" s="2"/>
      <c r="AU191" s="2"/>
      <c r="AV191" s="2"/>
      <c r="AW191" s="2"/>
      <c r="AX191" s="2"/>
    </row>
    <row r="192" spans="1:50" x14ac:dyDescent="0.5">
      <c r="A192" s="8"/>
      <c r="B192" s="7"/>
      <c r="C192" s="313"/>
      <c r="D192" s="313"/>
      <c r="E192" s="313"/>
      <c r="F192" s="352"/>
      <c r="G192" s="11"/>
      <c r="H192" s="353"/>
      <c r="I192" s="353"/>
      <c r="R192" s="2"/>
      <c r="S192" s="2"/>
      <c r="T192" s="27"/>
      <c r="U192" s="28"/>
      <c r="V192" s="28"/>
      <c r="W192" s="28"/>
      <c r="X192" s="28"/>
      <c r="Y192" s="28"/>
      <c r="Z192" s="28"/>
      <c r="AA192" s="28"/>
      <c r="AB192" s="328"/>
      <c r="AC192" s="28"/>
      <c r="AD192" s="29"/>
      <c r="AE192" s="328"/>
      <c r="AF192" s="28"/>
      <c r="AG192" s="28"/>
      <c r="AH192" s="28"/>
      <c r="AI192" s="27"/>
      <c r="AJ192" s="7"/>
      <c r="AK192" s="28"/>
      <c r="AL192" s="29"/>
      <c r="AM192" s="7"/>
      <c r="AN192" s="329"/>
      <c r="AO192" s="7"/>
      <c r="AP192" s="7"/>
      <c r="AQ192" s="7"/>
      <c r="AR192" s="2"/>
      <c r="AS192" s="2"/>
      <c r="AT192" s="2"/>
      <c r="AU192" s="2"/>
      <c r="AV192" s="2"/>
      <c r="AW192" s="2"/>
      <c r="AX192" s="2"/>
    </row>
    <row r="193" spans="1:50" x14ac:dyDescent="0.5">
      <c r="A193" s="8"/>
      <c r="B193" s="388" t="s">
        <v>65</v>
      </c>
      <c r="C193" s="389"/>
      <c r="D193" s="390"/>
      <c r="E193" s="313"/>
      <c r="F193" s="352"/>
      <c r="G193" s="11"/>
      <c r="H193" s="353"/>
      <c r="I193" s="353"/>
      <c r="R193" s="2"/>
      <c r="S193" s="2"/>
      <c r="T193" s="27"/>
      <c r="U193" s="28"/>
      <c r="V193" s="28"/>
      <c r="W193" s="28"/>
      <c r="X193" s="28"/>
      <c r="Y193" s="28"/>
      <c r="Z193" s="28"/>
      <c r="AA193" s="28"/>
      <c r="AB193" s="328"/>
      <c r="AC193" s="28"/>
      <c r="AD193" s="29"/>
      <c r="AE193" s="328"/>
      <c r="AF193" s="28"/>
      <c r="AG193" s="28"/>
      <c r="AH193" s="28"/>
      <c r="AI193" s="27"/>
      <c r="AJ193" s="7"/>
      <c r="AK193" s="28"/>
      <c r="AL193" s="29"/>
      <c r="AM193" s="7"/>
      <c r="AN193" s="329"/>
      <c r="AO193" s="7"/>
      <c r="AP193" s="7"/>
      <c r="AQ193" s="7"/>
      <c r="AR193" s="2"/>
      <c r="AS193" s="2"/>
      <c r="AT193" s="2"/>
      <c r="AU193" s="2"/>
      <c r="AV193" s="2"/>
      <c r="AW193" s="2"/>
      <c r="AX193" s="2"/>
    </row>
    <row r="194" spans="1:50" x14ac:dyDescent="0.5">
      <c r="A194" s="8"/>
      <c r="B194" s="391" t="s">
        <v>202</v>
      </c>
      <c r="C194" s="392">
        <v>150</v>
      </c>
      <c r="D194" s="390" t="s">
        <v>203</v>
      </c>
      <c r="E194" s="313"/>
      <c r="F194" s="352"/>
      <c r="G194" s="11"/>
      <c r="H194" s="353"/>
      <c r="I194" s="353"/>
      <c r="J194" s="7"/>
      <c r="K194" s="7"/>
      <c r="L194" s="7"/>
      <c r="R194" s="2"/>
      <c r="S194" s="2"/>
      <c r="T194" s="27"/>
      <c r="U194" s="28"/>
      <c r="V194" s="28"/>
      <c r="W194" s="28"/>
      <c r="X194" s="28"/>
      <c r="Y194" s="28"/>
      <c r="Z194" s="28"/>
      <c r="AA194" s="28"/>
      <c r="AB194" s="328"/>
      <c r="AC194" s="28"/>
      <c r="AD194" s="29"/>
      <c r="AE194" s="328"/>
      <c r="AF194" s="28"/>
      <c r="AG194" s="28"/>
      <c r="AH194" s="28"/>
      <c r="AI194" s="27"/>
      <c r="AJ194" s="7"/>
      <c r="AK194" s="28"/>
      <c r="AL194" s="29"/>
      <c r="AM194" s="7"/>
      <c r="AN194" s="329"/>
      <c r="AO194" s="7"/>
      <c r="AP194" s="7"/>
      <c r="AQ194" s="7"/>
      <c r="AR194" s="2"/>
      <c r="AS194" s="2"/>
      <c r="AT194" s="2"/>
      <c r="AU194" s="2"/>
      <c r="AV194" s="2"/>
      <c r="AW194" s="2"/>
      <c r="AX194" s="2"/>
    </row>
    <row r="195" spans="1:50" x14ac:dyDescent="0.5">
      <c r="A195" s="8"/>
      <c r="B195" s="393" t="s">
        <v>204</v>
      </c>
      <c r="C195" s="394">
        <v>400</v>
      </c>
      <c r="D195" s="395" t="s">
        <v>205</v>
      </c>
      <c r="E195" s="313"/>
      <c r="F195" s="352"/>
      <c r="G195" s="11"/>
      <c r="H195" s="353"/>
      <c r="I195" s="257"/>
      <c r="R195" s="2"/>
      <c r="S195" s="2"/>
      <c r="T195" s="27"/>
      <c r="U195" s="28"/>
      <c r="V195" s="28"/>
      <c r="W195" s="28"/>
      <c r="X195" s="28"/>
      <c r="Y195" s="28"/>
      <c r="Z195" s="28"/>
      <c r="AA195" s="28"/>
      <c r="AB195" s="328"/>
      <c r="AC195" s="28"/>
      <c r="AD195" s="29"/>
      <c r="AE195" s="328"/>
      <c r="AF195" s="28"/>
      <c r="AG195" s="28"/>
      <c r="AH195" s="28"/>
      <c r="AI195" s="27"/>
      <c r="AJ195" s="7"/>
      <c r="AK195" s="28"/>
      <c r="AL195" s="29"/>
      <c r="AM195" s="7"/>
      <c r="AN195" s="329"/>
      <c r="AO195" s="7"/>
      <c r="AP195" s="7"/>
      <c r="AQ195" s="7"/>
      <c r="AR195" s="2"/>
      <c r="AS195" s="2"/>
      <c r="AT195" s="2"/>
      <c r="AU195" s="2"/>
      <c r="AV195" s="2"/>
      <c r="AW195" s="2"/>
      <c r="AX195" s="2"/>
    </row>
    <row r="196" spans="1:50" x14ac:dyDescent="0.5">
      <c r="A196" s="8"/>
      <c r="B196" s="393" t="s">
        <v>206</v>
      </c>
      <c r="C196" s="394">
        <v>5</v>
      </c>
      <c r="D196" s="395" t="s">
        <v>20</v>
      </c>
      <c r="E196" s="313"/>
      <c r="F196" s="352"/>
      <c r="G196" s="11"/>
      <c r="H196" s="353"/>
      <c r="I196" s="257"/>
      <c r="R196" s="2"/>
      <c r="S196" s="2"/>
      <c r="T196" s="27"/>
      <c r="U196" s="28"/>
      <c r="V196" s="28"/>
      <c r="W196" s="28"/>
      <c r="X196" s="28"/>
      <c r="Y196" s="28"/>
      <c r="Z196" s="28"/>
      <c r="AA196" s="28"/>
      <c r="AB196" s="328"/>
      <c r="AC196" s="28"/>
      <c r="AD196" s="29"/>
      <c r="AE196" s="328"/>
      <c r="AF196" s="28"/>
      <c r="AG196" s="28"/>
      <c r="AH196" s="28"/>
      <c r="AI196" s="27"/>
      <c r="AJ196" s="7"/>
      <c r="AK196" s="28"/>
      <c r="AL196" s="29"/>
      <c r="AM196" s="7"/>
      <c r="AN196" s="329"/>
      <c r="AO196" s="7"/>
      <c r="AP196" s="7"/>
      <c r="AQ196" s="7"/>
      <c r="AR196" s="2"/>
      <c r="AS196" s="2"/>
      <c r="AT196" s="2"/>
      <c r="AU196" s="2"/>
      <c r="AV196" s="2"/>
      <c r="AW196" s="2"/>
      <c r="AX196" s="2"/>
    </row>
    <row r="197" spans="1:50" x14ac:dyDescent="0.5">
      <c r="A197" s="8"/>
      <c r="B197" s="393" t="s">
        <v>207</v>
      </c>
      <c r="C197" s="396">
        <f>(C195/C196)/C194*C37/1000</f>
        <v>2.2976188072891175E-3</v>
      </c>
      <c r="D197" s="395" t="s">
        <v>36</v>
      </c>
      <c r="E197" s="313"/>
      <c r="G197" s="11"/>
      <c r="H197" s="353"/>
      <c r="I197" s="353"/>
      <c r="R197" s="2"/>
      <c r="S197" s="2"/>
      <c r="T197" s="27"/>
      <c r="U197" s="28"/>
      <c r="V197" s="28"/>
      <c r="W197" s="28"/>
      <c r="X197" s="28"/>
      <c r="Y197" s="28"/>
      <c r="Z197" s="28"/>
      <c r="AA197" s="28"/>
      <c r="AB197" s="328"/>
      <c r="AC197" s="28"/>
      <c r="AD197" s="29"/>
      <c r="AE197" s="328"/>
      <c r="AF197" s="28"/>
      <c r="AG197" s="28"/>
      <c r="AH197" s="28"/>
      <c r="AI197" s="328"/>
      <c r="AJ197" s="7"/>
      <c r="AK197" s="28"/>
      <c r="AL197" s="29"/>
      <c r="AM197" s="7"/>
      <c r="AN197" s="329"/>
      <c r="AO197" s="7"/>
      <c r="AP197" s="7"/>
      <c r="AQ197" s="7"/>
      <c r="AR197" s="2"/>
      <c r="AS197" s="2"/>
      <c r="AT197" s="2"/>
      <c r="AU197" s="2"/>
      <c r="AV197" s="2"/>
      <c r="AW197" s="2"/>
      <c r="AX197" s="2"/>
    </row>
    <row r="198" spans="1:50" x14ac:dyDescent="0.5">
      <c r="A198" s="8"/>
      <c r="B198" s="393" t="s">
        <v>100</v>
      </c>
      <c r="C198" s="132">
        <f>$C$186*$C$187*$C$188*$C$189</f>
        <v>0.9216899999999999</v>
      </c>
      <c r="D198" s="395" t="s">
        <v>20</v>
      </c>
      <c r="E198" s="313"/>
      <c r="G198" s="11"/>
      <c r="H198" s="353"/>
      <c r="I198" s="353"/>
      <c r="R198" s="2"/>
      <c r="S198" s="2"/>
      <c r="T198" s="27"/>
      <c r="U198" s="28"/>
      <c r="V198" s="28"/>
      <c r="W198" s="28"/>
      <c r="X198" s="28"/>
      <c r="Y198" s="28"/>
      <c r="Z198" s="28"/>
      <c r="AA198" s="28"/>
      <c r="AB198" s="328"/>
      <c r="AC198" s="28"/>
      <c r="AD198" s="29"/>
      <c r="AE198" s="328"/>
      <c r="AF198" s="28"/>
      <c r="AG198" s="28"/>
      <c r="AH198" s="28"/>
      <c r="AI198" s="27"/>
      <c r="AJ198" s="7"/>
      <c r="AK198" s="28"/>
      <c r="AL198" s="29"/>
      <c r="AM198" s="7"/>
      <c r="AN198" s="329"/>
      <c r="AO198" s="7"/>
      <c r="AP198" s="7"/>
      <c r="AQ198" s="7"/>
      <c r="AR198" s="2"/>
      <c r="AS198" s="2"/>
      <c r="AT198" s="2"/>
      <c r="AU198" s="2"/>
      <c r="AV198" s="2"/>
      <c r="AW198" s="2"/>
      <c r="AX198" s="2"/>
    </row>
    <row r="199" spans="1:50" x14ac:dyDescent="0.5">
      <c r="A199" s="8"/>
      <c r="B199" s="397" t="s">
        <v>204</v>
      </c>
      <c r="C199" s="398">
        <f>C197/C198</f>
        <v>2.4928325220943243E-3</v>
      </c>
      <c r="D199" s="399" t="s">
        <v>36</v>
      </c>
      <c r="E199" s="313"/>
      <c r="G199" s="11"/>
      <c r="H199" s="353"/>
      <c r="I199" s="353"/>
      <c r="R199" s="2"/>
      <c r="S199" s="2"/>
      <c r="T199" s="27"/>
      <c r="U199" s="28"/>
      <c r="V199" s="28"/>
      <c r="W199" s="28"/>
      <c r="X199" s="28"/>
      <c r="Y199" s="28"/>
      <c r="Z199" s="28"/>
      <c r="AA199" s="28"/>
      <c r="AB199" s="328"/>
      <c r="AC199" s="28"/>
      <c r="AD199" s="29"/>
      <c r="AE199" s="328"/>
      <c r="AF199" s="28"/>
      <c r="AG199" s="28"/>
      <c r="AH199" s="28"/>
      <c r="AI199" s="27"/>
      <c r="AJ199" s="7"/>
      <c r="AK199" s="28"/>
      <c r="AL199" s="29"/>
      <c r="AM199" s="7"/>
      <c r="AN199" s="329"/>
      <c r="AO199" s="7"/>
      <c r="AP199" s="7"/>
      <c r="AQ199" s="7"/>
      <c r="AR199" s="2"/>
      <c r="AS199" s="2"/>
      <c r="AT199" s="2"/>
      <c r="AU199" s="2"/>
      <c r="AV199" s="2"/>
      <c r="AW199" s="2"/>
      <c r="AX199" s="2"/>
    </row>
    <row r="200" spans="1:50" x14ac:dyDescent="0.5">
      <c r="A200" s="8"/>
      <c r="B200" s="50"/>
      <c r="C200" s="11"/>
      <c r="D200" s="50"/>
      <c r="E200" s="313"/>
      <c r="G200" s="11"/>
      <c r="H200" s="353"/>
      <c r="I200" s="353"/>
      <c r="R200" s="2"/>
      <c r="S200" s="2"/>
      <c r="T200" s="27"/>
      <c r="U200" s="28"/>
      <c r="V200" s="28"/>
      <c r="W200" s="28"/>
      <c r="X200" s="28"/>
      <c r="Y200" s="28"/>
      <c r="Z200" s="28"/>
      <c r="AA200" s="28"/>
      <c r="AB200" s="328"/>
      <c r="AC200" s="28"/>
      <c r="AD200" s="29"/>
      <c r="AE200" s="328"/>
      <c r="AF200" s="28"/>
      <c r="AG200" s="28"/>
      <c r="AH200" s="28"/>
      <c r="AI200" s="27"/>
      <c r="AJ200" s="7"/>
      <c r="AK200" s="28"/>
      <c r="AL200" s="29"/>
      <c r="AM200" s="7"/>
      <c r="AN200" s="329"/>
      <c r="AO200" s="7"/>
      <c r="AP200" s="7"/>
      <c r="AQ200" s="7"/>
      <c r="AR200" s="2"/>
      <c r="AS200" s="2"/>
      <c r="AT200" s="2"/>
      <c r="AU200" s="2"/>
      <c r="AV200" s="2"/>
      <c r="AW200" s="2"/>
      <c r="AX200" s="2"/>
    </row>
    <row r="201" spans="1:50" x14ac:dyDescent="0.5">
      <c r="A201" s="8"/>
      <c r="B201" s="400" t="s">
        <v>66</v>
      </c>
      <c r="C201" s="401"/>
      <c r="D201" s="402"/>
      <c r="E201" s="313"/>
      <c r="I201" s="353"/>
      <c r="R201" s="2"/>
      <c r="S201" s="2"/>
      <c r="T201" s="33"/>
      <c r="U201" s="28"/>
      <c r="V201" s="27"/>
      <c r="W201" s="28"/>
      <c r="X201" s="27"/>
      <c r="Y201" s="28"/>
      <c r="Z201" s="27"/>
      <c r="AA201" s="28"/>
      <c r="AB201" s="328"/>
      <c r="AC201" s="28"/>
      <c r="AD201" s="29"/>
      <c r="AE201" s="28"/>
      <c r="AF201" s="28"/>
      <c r="AG201" s="28"/>
      <c r="AH201" s="28"/>
      <c r="AI201" s="27"/>
      <c r="AJ201" s="7"/>
      <c r="AK201" s="28"/>
      <c r="AL201" s="29"/>
      <c r="AM201" s="7"/>
      <c r="AN201" s="329"/>
      <c r="AO201" s="7"/>
      <c r="AP201" s="7"/>
      <c r="AQ201" s="7"/>
      <c r="AR201" s="2"/>
      <c r="AS201" s="2"/>
      <c r="AT201" s="2"/>
      <c r="AU201" s="2"/>
      <c r="AV201" s="2"/>
      <c r="AW201" s="2"/>
      <c r="AX201" s="2"/>
    </row>
    <row r="202" spans="1:50" x14ac:dyDescent="0.5">
      <c r="A202" s="8"/>
      <c r="B202" s="403" t="s">
        <v>208</v>
      </c>
      <c r="C202" s="401">
        <v>0.5</v>
      </c>
      <c r="D202" s="402" t="s">
        <v>209</v>
      </c>
      <c r="E202" s="404"/>
      <c r="I202" s="353"/>
      <c r="R202" s="2"/>
      <c r="S202" s="2"/>
      <c r="T202" s="33"/>
      <c r="U202" s="28"/>
      <c r="V202" s="27"/>
      <c r="W202" s="28"/>
      <c r="X202" s="27"/>
      <c r="Y202" s="28"/>
      <c r="Z202" s="27"/>
      <c r="AA202" s="28"/>
      <c r="AB202" s="328"/>
      <c r="AC202" s="28"/>
      <c r="AD202" s="29"/>
      <c r="AE202" s="28"/>
      <c r="AF202" s="28"/>
      <c r="AG202" s="28"/>
      <c r="AH202" s="28"/>
      <c r="AI202" s="28"/>
      <c r="AJ202" s="7"/>
      <c r="AK202" s="28"/>
      <c r="AL202" s="29"/>
      <c r="AM202" s="7"/>
      <c r="AN202" s="329"/>
      <c r="AO202" s="7"/>
      <c r="AP202" s="7"/>
      <c r="AQ202" s="7"/>
      <c r="AR202" s="2"/>
      <c r="AS202" s="2"/>
      <c r="AT202" s="2"/>
      <c r="AU202" s="2"/>
      <c r="AV202" s="2"/>
      <c r="AW202" s="2"/>
      <c r="AX202" s="2"/>
    </row>
    <row r="203" spans="1:50" x14ac:dyDescent="0.5">
      <c r="A203" s="8"/>
      <c r="B203" s="405" t="s">
        <v>210</v>
      </c>
      <c r="C203" s="406">
        <v>15</v>
      </c>
      <c r="D203" s="407" t="s">
        <v>211</v>
      </c>
      <c r="E203" s="313"/>
      <c r="I203" s="353"/>
      <c r="R203" s="2"/>
      <c r="S203" s="2"/>
      <c r="T203" s="33"/>
      <c r="U203" s="7"/>
      <c r="V203" s="7"/>
      <c r="W203" s="7"/>
      <c r="X203" s="7"/>
      <c r="Y203" s="7"/>
      <c r="Z203" s="7"/>
      <c r="AA203" s="7"/>
      <c r="AB203" s="330"/>
      <c r="AC203" s="28"/>
      <c r="AD203" s="29"/>
      <c r="AE203" s="28"/>
      <c r="AF203" s="28"/>
      <c r="AG203" s="28"/>
      <c r="AH203" s="28"/>
      <c r="AI203" s="28"/>
      <c r="AJ203" s="7"/>
      <c r="AK203" s="28"/>
      <c r="AL203" s="29"/>
      <c r="AM203" s="7"/>
      <c r="AN203" s="329"/>
      <c r="AO203" s="7"/>
      <c r="AP203" s="7"/>
      <c r="AQ203" s="7"/>
      <c r="AR203" s="2"/>
      <c r="AS203" s="2"/>
      <c r="AT203" s="2"/>
      <c r="AU203" s="2"/>
      <c r="AV203" s="2"/>
      <c r="AW203" s="2"/>
      <c r="AX203" s="2"/>
    </row>
    <row r="204" spans="1:50" x14ac:dyDescent="0.5">
      <c r="A204" s="8"/>
      <c r="B204" s="405" t="s">
        <v>212</v>
      </c>
      <c r="C204" s="406">
        <v>210</v>
      </c>
      <c r="D204" s="407" t="s">
        <v>213</v>
      </c>
      <c r="E204" s="313"/>
      <c r="I204" s="353"/>
      <c r="R204" s="2"/>
      <c r="S204" s="2"/>
      <c r="T204" s="33"/>
      <c r="U204" s="7"/>
      <c r="V204" s="7"/>
      <c r="W204" s="7"/>
      <c r="X204" s="7"/>
      <c r="Y204" s="7"/>
      <c r="Z204" s="7"/>
      <c r="AA204" s="7"/>
      <c r="AB204" s="330"/>
      <c r="AC204" s="28"/>
      <c r="AD204" s="29"/>
      <c r="AE204" s="28"/>
      <c r="AF204" s="28"/>
      <c r="AG204" s="408"/>
      <c r="AH204" s="408"/>
      <c r="AI204" s="408"/>
      <c r="AJ204" s="7"/>
      <c r="AK204" s="28"/>
      <c r="AL204" s="29"/>
      <c r="AM204" s="7"/>
      <c r="AN204" s="329"/>
      <c r="AO204" s="7"/>
      <c r="AP204" s="7"/>
      <c r="AQ204" s="7"/>
      <c r="AR204" s="2"/>
      <c r="AS204" s="2"/>
      <c r="AT204" s="2"/>
      <c r="AU204" s="2"/>
      <c r="AV204" s="2"/>
      <c r="AW204" s="2"/>
      <c r="AX204" s="2"/>
    </row>
    <row r="205" spans="1:50" x14ac:dyDescent="0.5">
      <c r="A205" s="8"/>
      <c r="B205" s="405" t="s">
        <v>214</v>
      </c>
      <c r="C205" s="406">
        <v>1.73</v>
      </c>
      <c r="D205" s="407" t="s">
        <v>215</v>
      </c>
      <c r="E205" s="313"/>
      <c r="I205" s="353"/>
      <c r="R205" s="2"/>
      <c r="S205" s="2"/>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2"/>
      <c r="AS205" s="2"/>
      <c r="AT205" s="2"/>
      <c r="AU205" s="2"/>
      <c r="AV205" s="2"/>
      <c r="AW205" s="2"/>
      <c r="AX205" s="2"/>
    </row>
    <row r="206" spans="1:50" x14ac:dyDescent="0.5">
      <c r="A206" s="8"/>
      <c r="B206" s="405" t="s">
        <v>216</v>
      </c>
      <c r="C206" s="406">
        <v>130</v>
      </c>
      <c r="D206" s="407" t="s">
        <v>217</v>
      </c>
      <c r="E206" s="313"/>
      <c r="I206" s="353"/>
      <c r="R206" s="2"/>
      <c r="S206" s="2"/>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2"/>
      <c r="AS206" s="2"/>
      <c r="AT206" s="2"/>
      <c r="AU206" s="2"/>
      <c r="AV206" s="2"/>
      <c r="AW206" s="2"/>
      <c r="AX206" s="2"/>
    </row>
    <row r="207" spans="1:50" x14ac:dyDescent="0.5">
      <c r="A207" s="8"/>
      <c r="B207" s="409" t="s">
        <v>218</v>
      </c>
      <c r="C207" s="410">
        <f>(156/1000*20)/4</f>
        <v>0.78</v>
      </c>
      <c r="D207" s="407" t="s">
        <v>215</v>
      </c>
      <c r="E207" s="313"/>
      <c r="I207" s="353"/>
      <c r="R207" s="2"/>
      <c r="S207" s="2"/>
      <c r="T207" s="33"/>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2"/>
      <c r="AS207" s="2"/>
      <c r="AT207" s="2"/>
      <c r="AU207" s="2"/>
      <c r="AV207" s="2"/>
      <c r="AW207" s="2"/>
      <c r="AX207" s="2"/>
    </row>
    <row r="208" spans="1:50" x14ac:dyDescent="0.5">
      <c r="A208" s="8"/>
      <c r="B208" s="405" t="s">
        <v>219</v>
      </c>
      <c r="C208" s="406">
        <f>156*1000/C204/60</f>
        <v>12.380952380952381</v>
      </c>
      <c r="D208" s="407" t="s">
        <v>220</v>
      </c>
      <c r="E208" s="313"/>
      <c r="R208" s="2"/>
      <c r="S208" s="2"/>
      <c r="T208" s="7"/>
      <c r="U208" s="7"/>
      <c r="V208" s="7"/>
      <c r="W208" s="7"/>
      <c r="X208" s="7"/>
      <c r="Y208" s="7"/>
      <c r="Z208" s="7"/>
      <c r="AA208" s="7"/>
      <c r="AB208" s="50"/>
      <c r="AC208" s="7"/>
      <c r="AD208" s="7"/>
      <c r="AE208" s="7"/>
      <c r="AF208" s="7"/>
      <c r="AG208" s="7"/>
      <c r="AH208" s="7"/>
      <c r="AI208" s="7"/>
      <c r="AJ208" s="7"/>
      <c r="AK208" s="7"/>
      <c r="AL208" s="7"/>
      <c r="AM208" s="7"/>
      <c r="AN208" s="7"/>
      <c r="AO208" s="7"/>
      <c r="AP208" s="7"/>
      <c r="AQ208" s="7"/>
      <c r="AR208" s="2"/>
      <c r="AS208" s="2"/>
      <c r="AT208" s="2"/>
      <c r="AU208" s="2"/>
      <c r="AV208" s="2"/>
      <c r="AW208" s="2"/>
      <c r="AX208" s="2"/>
    </row>
    <row r="209" spans="1:50" x14ac:dyDescent="0.5">
      <c r="A209" s="8"/>
      <c r="B209" s="405" t="s">
        <v>221</v>
      </c>
      <c r="C209" s="411">
        <f>C207*C213/1000</f>
        <v>4.3529032258064513</v>
      </c>
      <c r="D209" s="407" t="s">
        <v>222</v>
      </c>
      <c r="E209" s="313"/>
      <c r="I209" s="353"/>
      <c r="R209" s="2"/>
      <c r="S209" s="2"/>
      <c r="T209" s="7"/>
      <c r="U209" s="7"/>
      <c r="V209" s="7"/>
      <c r="W209" s="7"/>
      <c r="X209" s="7"/>
      <c r="Y209" s="7"/>
      <c r="Z209" s="7"/>
      <c r="AA209" s="7"/>
      <c r="AB209" s="50"/>
      <c r="AC209" s="7"/>
      <c r="AD209" s="7"/>
      <c r="AE209" s="7"/>
      <c r="AF209" s="7"/>
      <c r="AG209" s="7"/>
      <c r="AH209" s="7"/>
      <c r="AI209" s="7"/>
      <c r="AJ209" s="7"/>
      <c r="AK209" s="7"/>
      <c r="AL209" s="7"/>
      <c r="AM209" s="7"/>
      <c r="AN209" s="7"/>
      <c r="AO209" s="7"/>
      <c r="AP209" s="7"/>
      <c r="AQ209" s="7"/>
      <c r="AR209" s="2"/>
      <c r="AS209" s="2"/>
      <c r="AT209" s="2"/>
      <c r="AU209" s="2"/>
      <c r="AV209" s="2"/>
      <c r="AW209" s="2"/>
      <c r="AX209" s="2"/>
    </row>
    <row r="210" spans="1:50" x14ac:dyDescent="0.5">
      <c r="A210" s="8"/>
      <c r="B210" s="405" t="s">
        <v>223</v>
      </c>
      <c r="C210" s="412">
        <f>C203*C208*3600/1000</f>
        <v>668.57142857142867</v>
      </c>
      <c r="D210" s="407" t="s">
        <v>222</v>
      </c>
      <c r="E210" s="313"/>
      <c r="I210" s="353"/>
      <c r="R210" s="2"/>
      <c r="S210" s="2"/>
      <c r="T210" s="7"/>
      <c r="U210" s="7"/>
      <c r="V210" s="7"/>
      <c r="W210" s="7"/>
      <c r="X210" s="7"/>
      <c r="Y210" s="7"/>
      <c r="Z210" s="7"/>
      <c r="AA210" s="7"/>
      <c r="AB210" s="50"/>
      <c r="AC210" s="7"/>
      <c r="AD210" s="7"/>
      <c r="AE210" s="7"/>
      <c r="AF210" s="7"/>
      <c r="AG210" s="7"/>
      <c r="AH210" s="7"/>
      <c r="AI210" s="7"/>
      <c r="AJ210" s="7"/>
      <c r="AK210" s="7"/>
      <c r="AL210" s="7"/>
      <c r="AM210" s="7"/>
      <c r="AN210" s="7"/>
      <c r="AO210" s="7"/>
      <c r="AP210" s="7"/>
      <c r="AQ210" s="7"/>
      <c r="AR210" s="2"/>
      <c r="AS210" s="2"/>
      <c r="AT210" s="2"/>
      <c r="AU210" s="2"/>
      <c r="AV210" s="2"/>
      <c r="AW210" s="2"/>
      <c r="AX210" s="2"/>
    </row>
    <row r="211" spans="1:50" x14ac:dyDescent="0.5">
      <c r="A211" s="8"/>
      <c r="B211" s="405" t="s">
        <v>224</v>
      </c>
      <c r="C211" s="412">
        <f>C209+C210</f>
        <v>672.92433179723514</v>
      </c>
      <c r="D211" s="407" t="s">
        <v>222</v>
      </c>
      <c r="E211" s="313"/>
      <c r="I211" s="353"/>
      <c r="R211" s="2"/>
      <c r="S211" s="2"/>
      <c r="T211" s="7"/>
      <c r="U211" s="7"/>
      <c r="V211" s="7"/>
      <c r="W211" s="7"/>
      <c r="X211" s="7"/>
      <c r="Y211" s="7"/>
      <c r="Z211" s="7"/>
      <c r="AA211" s="7"/>
      <c r="AB211" s="50"/>
      <c r="AC211" s="7"/>
      <c r="AD211" s="7"/>
      <c r="AE211" s="7"/>
      <c r="AF211" s="7"/>
      <c r="AG211" s="7"/>
      <c r="AH211" s="7"/>
      <c r="AI211" s="7"/>
      <c r="AJ211" s="7"/>
      <c r="AK211" s="7"/>
      <c r="AL211" s="7"/>
      <c r="AM211" s="7"/>
      <c r="AN211" s="7"/>
      <c r="AO211" s="7"/>
      <c r="AP211" s="7"/>
      <c r="AQ211" s="7"/>
      <c r="AR211" s="2"/>
      <c r="AS211" s="2"/>
      <c r="AT211" s="2"/>
      <c r="AU211" s="2"/>
      <c r="AV211" s="2"/>
      <c r="AW211" s="2"/>
      <c r="AX211" s="2"/>
    </row>
    <row r="212" spans="1:50" x14ac:dyDescent="0.5">
      <c r="A212" s="8"/>
      <c r="B212" s="405" t="s">
        <v>225</v>
      </c>
      <c r="C212" s="406">
        <f>C211*C202</f>
        <v>336.46216589861757</v>
      </c>
      <c r="D212" s="407" t="s">
        <v>226</v>
      </c>
      <c r="E212" s="313"/>
      <c r="I212" s="353"/>
      <c r="R212" s="2"/>
      <c r="S212" s="2"/>
      <c r="T212" s="7"/>
      <c r="U212" s="7"/>
      <c r="V212" s="7"/>
      <c r="W212" s="7"/>
      <c r="X212" s="7"/>
      <c r="Y212" s="7"/>
      <c r="Z212" s="7"/>
      <c r="AA212" s="7"/>
      <c r="AB212" s="50"/>
      <c r="AC212" s="7"/>
      <c r="AD212" s="7"/>
      <c r="AE212" s="7"/>
      <c r="AF212" s="7"/>
      <c r="AG212" s="7"/>
      <c r="AH212" s="7"/>
      <c r="AI212" s="7"/>
      <c r="AJ212" s="7"/>
      <c r="AK212" s="7"/>
      <c r="AL212" s="7"/>
      <c r="AM212" s="7"/>
      <c r="AN212" s="7"/>
      <c r="AO212" s="7"/>
      <c r="AP212" s="7"/>
      <c r="AQ212" s="7"/>
      <c r="AR212" s="2"/>
      <c r="AS212" s="2"/>
      <c r="AT212" s="2"/>
      <c r="AU212" s="2"/>
      <c r="AV212" s="2"/>
      <c r="AW212" s="2"/>
      <c r="AX212" s="2"/>
    </row>
    <row r="213" spans="1:50" x14ac:dyDescent="0.5">
      <c r="A213" s="8"/>
      <c r="B213" s="405" t="s">
        <v>227</v>
      </c>
      <c r="C213" s="413">
        <f>C205*1000000/(C206+C9)</f>
        <v>5580.6451612903229</v>
      </c>
      <c r="D213" s="407" t="s">
        <v>228</v>
      </c>
      <c r="E213" s="313"/>
      <c r="I213" s="353"/>
      <c r="R213" s="2"/>
      <c r="S213" s="2"/>
      <c r="T213" s="7"/>
      <c r="U213" s="7"/>
      <c r="V213" s="7"/>
      <c r="W213" s="7"/>
      <c r="X213" s="7"/>
      <c r="Y213" s="7"/>
      <c r="Z213" s="7"/>
      <c r="AA213" s="7"/>
      <c r="AB213" s="50"/>
      <c r="AC213" s="7"/>
      <c r="AD213" s="7"/>
      <c r="AE213" s="7"/>
      <c r="AF213" s="7"/>
      <c r="AG213" s="7"/>
      <c r="AH213" s="7"/>
      <c r="AI213" s="7"/>
      <c r="AJ213" s="7"/>
      <c r="AK213" s="7"/>
      <c r="AL213" s="7"/>
      <c r="AM213" s="7"/>
      <c r="AN213" s="7"/>
      <c r="AO213" s="7"/>
      <c r="AP213" s="7"/>
      <c r="AQ213" s="7"/>
      <c r="AR213" s="2"/>
      <c r="AS213" s="2"/>
      <c r="AT213" s="2"/>
      <c r="AU213" s="2"/>
      <c r="AV213" s="2"/>
      <c r="AW213" s="2"/>
      <c r="AX213" s="2"/>
    </row>
    <row r="214" spans="1:50" x14ac:dyDescent="0.5">
      <c r="A214" s="8"/>
      <c r="B214" s="405" t="s">
        <v>229</v>
      </c>
      <c r="C214" s="410">
        <f>C212/C213</f>
        <v>6.0290908340214708E-2</v>
      </c>
      <c r="D214" s="407" t="s">
        <v>230</v>
      </c>
      <c r="E214" s="313"/>
      <c r="I214" s="353"/>
      <c r="R214" s="2"/>
      <c r="S214" s="2"/>
      <c r="T214" s="7"/>
      <c r="U214" s="7"/>
      <c r="V214" s="7"/>
      <c r="W214" s="7"/>
      <c r="X214" s="7"/>
      <c r="Y214" s="7"/>
      <c r="Z214" s="7"/>
      <c r="AA214" s="7"/>
      <c r="AB214" s="50"/>
      <c r="AC214" s="7"/>
      <c r="AD214" s="7"/>
      <c r="AE214" s="7"/>
      <c r="AF214" s="7"/>
      <c r="AG214" s="7"/>
      <c r="AH214" s="7"/>
      <c r="AI214" s="7"/>
      <c r="AJ214" s="7"/>
      <c r="AK214" s="7"/>
      <c r="AL214" s="7"/>
      <c r="AM214" s="7"/>
      <c r="AN214" s="7"/>
      <c r="AO214" s="7"/>
      <c r="AP214" s="7"/>
      <c r="AQ214" s="7"/>
      <c r="AR214" s="2"/>
      <c r="AS214" s="2"/>
      <c r="AT214" s="2"/>
      <c r="AU214" s="2"/>
      <c r="AV214" s="2"/>
      <c r="AW214" s="2"/>
      <c r="AX214" s="2"/>
    </row>
    <row r="215" spans="1:50" x14ac:dyDescent="0.5">
      <c r="A215" s="8"/>
      <c r="B215" s="405" t="s">
        <v>100</v>
      </c>
      <c r="C215" s="143">
        <f>$C$187*$C$188*$C$189</f>
        <v>0.9216899999999999</v>
      </c>
      <c r="D215" s="407" t="s">
        <v>20</v>
      </c>
      <c r="E215" s="313"/>
      <c r="I215" s="353"/>
      <c r="R215" s="2"/>
      <c r="S215" s="2"/>
      <c r="T215" s="7"/>
      <c r="U215" s="7"/>
      <c r="V215" s="7"/>
      <c r="W215" s="7"/>
      <c r="X215" s="7"/>
      <c r="Y215" s="7"/>
      <c r="Z215" s="7"/>
      <c r="AA215" s="7"/>
      <c r="AB215" s="50"/>
      <c r="AC215" s="7"/>
      <c r="AD215" s="7"/>
      <c r="AE215" s="7"/>
      <c r="AF215" s="7"/>
      <c r="AG215" s="7"/>
      <c r="AH215" s="7"/>
      <c r="AI215" s="7"/>
      <c r="AJ215" s="7"/>
      <c r="AK215" s="7"/>
      <c r="AL215" s="7"/>
      <c r="AM215" s="7"/>
      <c r="AN215" s="7"/>
      <c r="AO215" s="7"/>
      <c r="AP215" s="7"/>
      <c r="AQ215" s="7"/>
      <c r="AR215" s="2"/>
      <c r="AS215" s="2"/>
      <c r="AT215" s="2"/>
      <c r="AU215" s="2"/>
      <c r="AV215" s="2"/>
      <c r="AW215" s="2"/>
      <c r="AX215" s="2"/>
    </row>
    <row r="216" spans="1:50" x14ac:dyDescent="0.5">
      <c r="A216" s="8"/>
      <c r="B216" s="414" t="s">
        <v>231</v>
      </c>
      <c r="C216" s="415">
        <f>C214/C215</f>
        <v>6.5413434387065844E-2</v>
      </c>
      <c r="D216" s="416" t="s">
        <v>230</v>
      </c>
      <c r="E216" s="313"/>
      <c r="I216" s="353"/>
      <c r="R216" s="2"/>
      <c r="S216" s="2"/>
      <c r="T216" s="2"/>
      <c r="U216" s="2"/>
      <c r="V216" s="2"/>
      <c r="W216" s="2"/>
      <c r="X216" s="2"/>
      <c r="Y216" s="2"/>
      <c r="Z216" s="7"/>
      <c r="AA216" s="7"/>
      <c r="AB216" s="50"/>
      <c r="AC216" s="7"/>
      <c r="AD216" s="7"/>
      <c r="AE216" s="7"/>
      <c r="AF216" s="7"/>
      <c r="AG216" s="7"/>
      <c r="AH216" s="7"/>
      <c r="AI216" s="7"/>
      <c r="AJ216" s="7"/>
      <c r="AK216" s="7"/>
      <c r="AL216" s="7"/>
      <c r="AM216" s="7"/>
      <c r="AN216" s="7"/>
      <c r="AO216" s="2"/>
      <c r="AP216" s="2"/>
      <c r="AQ216" s="2"/>
      <c r="AR216" s="2"/>
      <c r="AS216" s="2"/>
      <c r="AT216" s="2"/>
      <c r="AU216" s="2"/>
      <c r="AV216" s="2"/>
      <c r="AW216" s="2"/>
      <c r="AX216" s="2"/>
    </row>
    <row r="217" spans="1:50" x14ac:dyDescent="0.5">
      <c r="A217" s="8"/>
      <c r="B217" s="405" t="s">
        <v>232</v>
      </c>
      <c r="C217" s="417">
        <f>C211*1000/C213</f>
        <v>120.58181668042941</v>
      </c>
      <c r="D217" s="407" t="s">
        <v>233</v>
      </c>
      <c r="E217" s="313"/>
      <c r="I217" s="353"/>
      <c r="R217" s="2"/>
      <c r="S217" s="2"/>
      <c r="T217" s="2"/>
      <c r="U217" s="2"/>
      <c r="V217" s="2"/>
      <c r="W217" s="2"/>
      <c r="X217" s="2"/>
      <c r="Y217" s="2"/>
      <c r="Z217" s="7"/>
      <c r="AA217" s="7"/>
      <c r="AB217" s="50"/>
      <c r="AC217" s="7"/>
      <c r="AD217" s="7"/>
      <c r="AE217" s="7"/>
      <c r="AF217" s="7"/>
      <c r="AG217" s="7"/>
      <c r="AH217" s="7"/>
      <c r="AI217" s="7"/>
      <c r="AJ217" s="7"/>
      <c r="AK217" s="7"/>
      <c r="AL217" s="7"/>
      <c r="AM217" s="7"/>
      <c r="AN217" s="7"/>
      <c r="AO217" s="2"/>
      <c r="AP217" s="2"/>
      <c r="AQ217" s="2"/>
      <c r="AR217" s="2"/>
      <c r="AS217" s="2"/>
      <c r="AT217" s="2"/>
      <c r="AU217" s="2"/>
      <c r="AV217" s="2"/>
      <c r="AW217" s="2"/>
      <c r="AX217" s="2"/>
    </row>
    <row r="218" spans="1:50" x14ac:dyDescent="0.5">
      <c r="A218" s="8"/>
      <c r="B218" s="405" t="s">
        <v>234</v>
      </c>
      <c r="C218" s="417">
        <f>C217/C215</f>
        <v>130.82686877413167</v>
      </c>
      <c r="D218" s="407" t="s">
        <v>233</v>
      </c>
      <c r="E218" s="313"/>
      <c r="I218" s="353"/>
      <c r="R218" s="2"/>
      <c r="S218" s="2"/>
      <c r="T218" s="2"/>
      <c r="U218" s="2"/>
      <c r="V218" s="2"/>
      <c r="W218" s="2"/>
      <c r="X218" s="2"/>
      <c r="Y218" s="2"/>
      <c r="Z218" s="7"/>
      <c r="AA218" s="7"/>
      <c r="AB218" s="50"/>
      <c r="AC218" s="7"/>
      <c r="AD218" s="7"/>
      <c r="AE218" s="7"/>
      <c r="AF218" s="7"/>
      <c r="AG218" s="7"/>
      <c r="AH218" s="7"/>
      <c r="AI218" s="7"/>
      <c r="AJ218" s="7"/>
      <c r="AK218" s="7"/>
      <c r="AL218" s="7"/>
      <c r="AM218" s="7"/>
      <c r="AN218" s="7"/>
      <c r="AO218" s="2"/>
      <c r="AP218" s="2"/>
      <c r="AQ218" s="2"/>
      <c r="AR218" s="2"/>
      <c r="AS218" s="2"/>
      <c r="AT218" s="2"/>
      <c r="AU218" s="2"/>
      <c r="AV218" s="2"/>
      <c r="AW218" s="2"/>
      <c r="AX218" s="2"/>
    </row>
    <row r="219" spans="1:50" x14ac:dyDescent="0.5">
      <c r="A219" s="8"/>
      <c r="B219" s="405" t="s">
        <v>232</v>
      </c>
      <c r="C219" s="412">
        <f>C211/(C213*0.156*0.156)</f>
        <v>4.9548741239492688</v>
      </c>
      <c r="D219" s="407" t="s">
        <v>235</v>
      </c>
      <c r="E219" s="313"/>
      <c r="I219" s="353"/>
      <c r="R219" s="2"/>
      <c r="S219" s="2"/>
      <c r="T219" s="2"/>
      <c r="U219" s="2"/>
      <c r="V219" s="2"/>
      <c r="W219" s="2"/>
      <c r="X219" s="2"/>
      <c r="Y219" s="2"/>
      <c r="Z219" s="7"/>
      <c r="AA219" s="7"/>
      <c r="AB219" s="50"/>
      <c r="AC219" s="7"/>
      <c r="AD219" s="7"/>
      <c r="AE219" s="7"/>
      <c r="AF219" s="7"/>
      <c r="AG219" s="7"/>
      <c r="AH219" s="7"/>
      <c r="AI219" s="7"/>
      <c r="AJ219" s="7"/>
      <c r="AK219" s="7"/>
      <c r="AL219" s="7"/>
      <c r="AM219" s="7"/>
      <c r="AN219" s="7"/>
      <c r="AO219" s="2"/>
      <c r="AP219" s="2"/>
      <c r="AQ219" s="2"/>
      <c r="AR219" s="2"/>
      <c r="AS219" s="2"/>
      <c r="AT219" s="2"/>
      <c r="AU219" s="2"/>
      <c r="AV219" s="2"/>
      <c r="AW219" s="2"/>
      <c r="AX219" s="2"/>
    </row>
    <row r="220" spans="1:50" x14ac:dyDescent="0.5">
      <c r="A220" s="8"/>
      <c r="B220" s="418" t="s">
        <v>234</v>
      </c>
      <c r="C220" s="419">
        <f>C219/C215</f>
        <v>5.3758575268791775</v>
      </c>
      <c r="D220" s="420" t="s">
        <v>235</v>
      </c>
      <c r="E220" s="313"/>
      <c r="I220" s="353"/>
      <c r="R220" s="2"/>
      <c r="S220" s="2"/>
      <c r="T220" s="2"/>
      <c r="U220" s="2"/>
      <c r="V220" s="2"/>
      <c r="W220" s="2"/>
      <c r="X220" s="2"/>
      <c r="Y220" s="2"/>
      <c r="Z220" s="7"/>
      <c r="AA220" s="7"/>
      <c r="AB220" s="50"/>
      <c r="AC220" s="7"/>
      <c r="AD220" s="7"/>
      <c r="AE220" s="7"/>
      <c r="AF220" s="7"/>
      <c r="AG220" s="7"/>
      <c r="AH220" s="7"/>
      <c r="AI220" s="7"/>
      <c r="AJ220" s="7"/>
      <c r="AK220" s="7"/>
      <c r="AL220" s="7"/>
      <c r="AM220" s="7"/>
      <c r="AN220" s="7"/>
      <c r="AO220" s="2"/>
      <c r="AP220" s="2"/>
      <c r="AQ220" s="2"/>
      <c r="AR220" s="2"/>
      <c r="AS220" s="2"/>
      <c r="AT220" s="2"/>
      <c r="AU220" s="2"/>
      <c r="AV220" s="2"/>
      <c r="AW220" s="2"/>
      <c r="AX220" s="2"/>
    </row>
    <row r="221" spans="1:50" x14ac:dyDescent="0.5">
      <c r="A221" s="8"/>
      <c r="B221" s="7"/>
      <c r="C221" s="421"/>
      <c r="D221" s="7"/>
      <c r="E221" s="313"/>
      <c r="F221" s="352"/>
      <c r="H221" s="353"/>
      <c r="I221" s="353"/>
      <c r="R221" s="2"/>
      <c r="S221" s="2"/>
      <c r="T221" s="2"/>
      <c r="U221" s="2"/>
      <c r="V221" s="2"/>
      <c r="W221" s="2"/>
      <c r="X221" s="2"/>
      <c r="Y221" s="2"/>
      <c r="Z221" s="7"/>
      <c r="AA221" s="7"/>
      <c r="AB221" s="50"/>
      <c r="AC221" s="7"/>
      <c r="AD221" s="7"/>
      <c r="AE221" s="7"/>
      <c r="AF221" s="7"/>
      <c r="AG221" s="7"/>
      <c r="AH221" s="7"/>
      <c r="AI221" s="7"/>
      <c r="AJ221" s="7"/>
      <c r="AK221" s="7"/>
      <c r="AL221" s="7"/>
      <c r="AM221" s="7"/>
      <c r="AN221" s="7"/>
      <c r="AO221" s="2"/>
      <c r="AP221" s="2"/>
      <c r="AQ221" s="2"/>
      <c r="AR221" s="2"/>
      <c r="AS221" s="2"/>
      <c r="AT221" s="2"/>
      <c r="AU221" s="2"/>
      <c r="AV221" s="2"/>
      <c r="AW221" s="2"/>
      <c r="AX221" s="2"/>
    </row>
    <row r="222" spans="1:50" x14ac:dyDescent="0.5">
      <c r="A222" s="8"/>
      <c r="B222" s="422" t="s">
        <v>67</v>
      </c>
      <c r="C222" s="423"/>
      <c r="D222" s="424"/>
      <c r="E222" s="313"/>
      <c r="F222" s="352"/>
      <c r="G222" s="11"/>
      <c r="H222" s="353"/>
      <c r="I222" s="353"/>
      <c r="R222" s="2"/>
      <c r="S222" s="2"/>
      <c r="T222" s="2"/>
      <c r="U222" s="2"/>
      <c r="V222" s="2"/>
      <c r="W222" s="2"/>
      <c r="X222" s="2"/>
      <c r="Y222" s="2"/>
      <c r="Z222" s="7"/>
      <c r="AA222" s="7"/>
      <c r="AB222" s="50"/>
      <c r="AC222" s="7"/>
      <c r="AD222" s="7"/>
      <c r="AE222" s="7"/>
      <c r="AF222" s="7"/>
      <c r="AG222" s="7"/>
      <c r="AH222" s="7"/>
      <c r="AI222" s="7"/>
      <c r="AJ222" s="7"/>
      <c r="AK222" s="7"/>
      <c r="AL222" s="7"/>
      <c r="AM222" s="7"/>
      <c r="AN222" s="7"/>
      <c r="AO222" s="2"/>
      <c r="AP222" s="2"/>
      <c r="AQ222" s="2"/>
      <c r="AR222" s="2"/>
      <c r="AS222" s="2"/>
      <c r="AT222" s="2"/>
      <c r="AU222" s="2"/>
      <c r="AV222" s="2"/>
      <c r="AW222" s="2"/>
      <c r="AX222" s="2"/>
    </row>
    <row r="223" spans="1:50" x14ac:dyDescent="0.5">
      <c r="A223" s="8"/>
      <c r="B223" s="425" t="s">
        <v>236</v>
      </c>
      <c r="C223" s="426">
        <v>0.13</v>
      </c>
      <c r="D223" s="427" t="s">
        <v>237</v>
      </c>
      <c r="E223" s="313"/>
      <c r="F223" s="352"/>
      <c r="G223" s="11"/>
      <c r="H223" s="353"/>
      <c r="I223" s="353"/>
      <c r="R223" s="2"/>
      <c r="S223" s="2"/>
      <c r="T223" s="2"/>
      <c r="U223" s="2"/>
      <c r="V223" s="2"/>
      <c r="W223" s="2"/>
      <c r="X223" s="2"/>
      <c r="Y223" s="2"/>
      <c r="Z223" s="7"/>
      <c r="AA223" s="7"/>
      <c r="AB223" s="50"/>
      <c r="AC223" s="7"/>
      <c r="AD223" s="7"/>
      <c r="AE223" s="7"/>
      <c r="AF223" s="29"/>
      <c r="AG223" s="7"/>
      <c r="AH223" s="2"/>
      <c r="AI223" s="7"/>
      <c r="AJ223" s="7"/>
      <c r="AK223" s="7"/>
      <c r="AL223" s="7"/>
      <c r="AM223" s="7"/>
      <c r="AN223" s="7"/>
      <c r="AO223" s="2"/>
      <c r="AP223" s="2"/>
      <c r="AQ223" s="2"/>
      <c r="AR223" s="2"/>
      <c r="AS223" s="2"/>
      <c r="AT223" s="2"/>
      <c r="AU223" s="2"/>
      <c r="AV223" s="2"/>
      <c r="AW223" s="2"/>
      <c r="AX223" s="2"/>
    </row>
    <row r="224" spans="1:50" x14ac:dyDescent="0.5">
      <c r="A224" s="8"/>
      <c r="B224" s="428" t="s">
        <v>238</v>
      </c>
      <c r="C224" s="429">
        <v>1.6</v>
      </c>
      <c r="D224" s="430" t="s">
        <v>14</v>
      </c>
      <c r="E224" s="313"/>
      <c r="F224" s="352"/>
      <c r="G224" s="11"/>
      <c r="H224" s="353"/>
      <c r="I224" s="353"/>
      <c r="R224" s="2"/>
      <c r="S224" s="2"/>
      <c r="T224" s="2"/>
      <c r="U224" s="2"/>
      <c r="V224" s="2"/>
      <c r="W224" s="2"/>
      <c r="X224" s="2"/>
      <c r="Y224" s="2"/>
      <c r="Z224" s="7"/>
      <c r="AA224" s="7"/>
      <c r="AB224" s="50"/>
      <c r="AC224" s="7"/>
      <c r="AD224" s="7"/>
      <c r="AE224" s="7"/>
      <c r="AF224" s="29"/>
      <c r="AG224" s="7"/>
      <c r="AH224" s="2"/>
      <c r="AI224" s="7"/>
      <c r="AJ224" s="7"/>
      <c r="AK224" s="7"/>
      <c r="AL224" s="7"/>
      <c r="AM224" s="7"/>
      <c r="AN224" s="7"/>
      <c r="AO224" s="2"/>
      <c r="AP224" s="2"/>
      <c r="AQ224" s="2"/>
      <c r="AR224" s="2"/>
      <c r="AS224" s="2"/>
      <c r="AT224" s="2"/>
      <c r="AU224" s="2"/>
      <c r="AV224" s="2"/>
      <c r="AW224" s="2"/>
      <c r="AX224" s="2"/>
    </row>
    <row r="225" spans="1:50" x14ac:dyDescent="0.5">
      <c r="A225" s="8"/>
      <c r="B225" s="428" t="s">
        <v>239</v>
      </c>
      <c r="C225" s="431">
        <v>75</v>
      </c>
      <c r="D225" s="430" t="s">
        <v>7</v>
      </c>
      <c r="E225" s="313"/>
      <c r="F225" s="352"/>
      <c r="G225" s="11"/>
      <c r="H225" s="353"/>
      <c r="I225" s="353"/>
      <c r="R225" s="2"/>
      <c r="S225" s="2"/>
      <c r="T225" s="2"/>
      <c r="U225" s="2"/>
      <c r="V225" s="2"/>
      <c r="W225" s="2"/>
      <c r="X225" s="2"/>
      <c r="Y225" s="2"/>
      <c r="Z225" s="7"/>
      <c r="AA225" s="7"/>
      <c r="AB225" s="50"/>
      <c r="AC225" s="7"/>
      <c r="AD225" s="7"/>
      <c r="AE225" s="7"/>
      <c r="AF225" s="29"/>
      <c r="AG225" s="7"/>
      <c r="AH225" s="2"/>
      <c r="AI225" s="7"/>
      <c r="AJ225" s="7"/>
      <c r="AK225" s="7"/>
      <c r="AL225" s="7"/>
      <c r="AM225" s="7"/>
      <c r="AN225" s="7"/>
      <c r="AO225" s="2"/>
      <c r="AP225" s="2"/>
      <c r="AQ225" s="2"/>
      <c r="AR225" s="2"/>
      <c r="AS225" s="2"/>
      <c r="AT225" s="2"/>
      <c r="AU225" s="2"/>
      <c r="AV225" s="2"/>
      <c r="AW225" s="2"/>
      <c r="AX225" s="2"/>
    </row>
    <row r="226" spans="1:50" x14ac:dyDescent="0.5">
      <c r="A226" s="8"/>
      <c r="B226" s="432" t="s">
        <v>229</v>
      </c>
      <c r="C226" s="429">
        <f>C223*C224*(100-C225)/100</f>
        <v>5.2000000000000005E-2</v>
      </c>
      <c r="D226" s="433" t="s">
        <v>230</v>
      </c>
      <c r="E226" s="313"/>
      <c r="F226" s="434"/>
      <c r="G226" s="29"/>
      <c r="I226" s="353"/>
      <c r="R226" s="2"/>
      <c r="S226" s="2"/>
      <c r="T226" s="2"/>
      <c r="U226" s="2"/>
      <c r="V226" s="2"/>
      <c r="W226" s="2"/>
      <c r="X226" s="2"/>
      <c r="Y226" s="2"/>
      <c r="Z226" s="7"/>
      <c r="AA226" s="7"/>
      <c r="AB226" s="50"/>
      <c r="AC226" s="7"/>
      <c r="AD226" s="7"/>
      <c r="AE226" s="7"/>
      <c r="AF226" s="29"/>
      <c r="AG226" s="2"/>
      <c r="AH226" s="7"/>
      <c r="AI226" s="7"/>
      <c r="AJ226" s="7"/>
      <c r="AK226" s="7"/>
      <c r="AL226" s="7"/>
      <c r="AM226" s="7"/>
      <c r="AN226" s="7"/>
      <c r="AO226" s="2"/>
      <c r="AP226" s="2"/>
      <c r="AQ226" s="2"/>
      <c r="AR226" s="2"/>
      <c r="AS226" s="2"/>
      <c r="AT226" s="2"/>
      <c r="AU226" s="2"/>
      <c r="AV226" s="2"/>
      <c r="AW226" s="2"/>
      <c r="AX226" s="2"/>
    </row>
    <row r="227" spans="1:50" x14ac:dyDescent="0.5">
      <c r="A227" s="8"/>
      <c r="B227" s="432" t="s">
        <v>100</v>
      </c>
      <c r="C227" s="154">
        <f>$C$187*$C$188*$C$189</f>
        <v>0.9216899999999999</v>
      </c>
      <c r="D227" s="433" t="s">
        <v>20</v>
      </c>
      <c r="E227" s="313"/>
      <c r="F227" s="434"/>
      <c r="G227" s="29"/>
      <c r="H227" s="257"/>
      <c r="I227" s="353"/>
      <c r="R227" s="2"/>
      <c r="S227" s="2"/>
      <c r="T227" s="2"/>
      <c r="U227" s="2"/>
      <c r="V227" s="2"/>
      <c r="W227" s="2"/>
      <c r="X227" s="2"/>
      <c r="Y227" s="2"/>
      <c r="Z227" s="7"/>
      <c r="AA227" s="7"/>
      <c r="AB227" s="50"/>
      <c r="AC227" s="7"/>
      <c r="AD227" s="7"/>
      <c r="AE227" s="7"/>
      <c r="AF227" s="29"/>
      <c r="AG227" s="7"/>
      <c r="AH227" s="7"/>
      <c r="AI227" s="7"/>
      <c r="AJ227" s="7"/>
      <c r="AK227" s="7"/>
      <c r="AL227" s="7"/>
      <c r="AM227" s="7"/>
      <c r="AN227" s="7"/>
      <c r="AO227" s="2"/>
      <c r="AP227" s="2"/>
      <c r="AQ227" s="2"/>
      <c r="AR227" s="2"/>
      <c r="AS227" s="2"/>
      <c r="AT227" s="2"/>
      <c r="AU227" s="2"/>
      <c r="AV227" s="2"/>
      <c r="AW227" s="2"/>
      <c r="AX227" s="2"/>
    </row>
    <row r="228" spans="1:50" x14ac:dyDescent="0.5">
      <c r="A228" s="8"/>
      <c r="B228" s="435" t="s">
        <v>240</v>
      </c>
      <c r="C228" s="436">
        <f>C226/C227</f>
        <v>5.6418101530883495E-2</v>
      </c>
      <c r="D228" s="437" t="s">
        <v>230</v>
      </c>
      <c r="E228" s="313"/>
      <c r="F228" s="434"/>
      <c r="G228" s="29"/>
      <c r="H228" s="257"/>
      <c r="I228" s="353"/>
      <c r="R228" s="2"/>
      <c r="S228" s="2"/>
      <c r="T228" s="2"/>
      <c r="U228" s="2"/>
      <c r="V228" s="2"/>
      <c r="W228" s="2"/>
      <c r="X228" s="2"/>
      <c r="Y228" s="2"/>
      <c r="Z228" s="7"/>
      <c r="AA228" s="7"/>
      <c r="AB228" s="50"/>
      <c r="AC228" s="7"/>
      <c r="AD228" s="7"/>
      <c r="AE228" s="27"/>
      <c r="AF228" s="29"/>
      <c r="AG228" s="7"/>
      <c r="AH228" s="7"/>
      <c r="AI228" s="7"/>
      <c r="AJ228" s="7"/>
      <c r="AK228" s="7"/>
      <c r="AL228" s="7"/>
      <c r="AM228" s="7"/>
      <c r="AN228" s="7"/>
      <c r="AO228" s="2"/>
      <c r="AP228" s="2"/>
      <c r="AQ228" s="2"/>
      <c r="AR228" s="2"/>
      <c r="AS228" s="2"/>
      <c r="AT228" s="2"/>
      <c r="AU228" s="2"/>
      <c r="AV228" s="2"/>
      <c r="AW228" s="2"/>
      <c r="AX228" s="2"/>
    </row>
    <row r="229" spans="1:50" x14ac:dyDescent="0.5">
      <c r="A229" s="8"/>
      <c r="E229" s="313"/>
      <c r="F229" s="313"/>
      <c r="G229" s="29"/>
      <c r="H229" s="257"/>
      <c r="I229" s="353"/>
      <c r="R229" s="2"/>
      <c r="S229" s="2"/>
      <c r="T229" s="2"/>
      <c r="U229" s="2"/>
      <c r="V229" s="2"/>
      <c r="W229" s="2"/>
      <c r="X229" s="2"/>
      <c r="Y229" s="2"/>
      <c r="Z229" s="7"/>
      <c r="AA229" s="7"/>
      <c r="AB229" s="50"/>
      <c r="AC229" s="7"/>
      <c r="AD229" s="7"/>
      <c r="AE229" s="27"/>
      <c r="AF229" s="29"/>
      <c r="AG229" s="7"/>
      <c r="AH229" s="7"/>
      <c r="AI229" s="7"/>
      <c r="AJ229" s="7"/>
      <c r="AK229" s="7"/>
      <c r="AL229" s="7"/>
      <c r="AM229" s="7"/>
      <c r="AN229" s="7"/>
      <c r="AO229" s="2"/>
      <c r="AP229" s="2"/>
      <c r="AQ229" s="2"/>
      <c r="AR229" s="2"/>
      <c r="AS229" s="2"/>
      <c r="AT229" s="2"/>
      <c r="AU229" s="2"/>
      <c r="AV229" s="2"/>
      <c r="AW229" s="2"/>
      <c r="AX229" s="2"/>
    </row>
    <row r="230" spans="1:50" x14ac:dyDescent="0.5">
      <c r="A230" s="8"/>
      <c r="B230" s="50"/>
      <c r="C230" s="11"/>
      <c r="D230" s="50"/>
      <c r="R230" s="2"/>
      <c r="S230" s="2"/>
      <c r="T230" s="2"/>
      <c r="U230" s="2"/>
      <c r="V230" s="2"/>
      <c r="W230" s="2"/>
      <c r="X230" s="2"/>
      <c r="Y230" s="2"/>
      <c r="Z230" s="2"/>
      <c r="AA230" s="7"/>
      <c r="AB230" s="7"/>
      <c r="AC230" s="7"/>
      <c r="AD230" s="7"/>
      <c r="AE230" s="7"/>
      <c r="AF230" s="7"/>
      <c r="AG230" s="7"/>
      <c r="AH230" s="7"/>
      <c r="AI230" s="7"/>
      <c r="AJ230" s="7"/>
      <c r="AK230" s="7"/>
      <c r="AL230" s="7"/>
      <c r="AM230" s="7"/>
      <c r="AN230" s="7"/>
      <c r="AO230" s="2"/>
      <c r="AP230" s="2"/>
      <c r="AQ230" s="2"/>
      <c r="AR230" s="2"/>
      <c r="AS230" s="2"/>
      <c r="AT230" s="2"/>
      <c r="AU230" s="2"/>
      <c r="AV230" s="2"/>
      <c r="AW230" s="2"/>
      <c r="AX230" s="2"/>
    </row>
    <row r="231" spans="1:50" x14ac:dyDescent="0.5">
      <c r="A231" s="8"/>
      <c r="B231" s="438" t="s">
        <v>64</v>
      </c>
      <c r="C231" s="439"/>
      <c r="D231" s="440"/>
      <c r="R231" s="2"/>
      <c r="S231" s="2"/>
      <c r="T231" s="2"/>
      <c r="U231" s="2"/>
      <c r="V231" s="2"/>
      <c r="W231" s="2"/>
      <c r="X231" s="2"/>
      <c r="Y231" s="2"/>
      <c r="Z231" s="2"/>
      <c r="AA231" s="7"/>
      <c r="AB231" s="7"/>
      <c r="AC231" s="7"/>
      <c r="AD231" s="7"/>
      <c r="AE231" s="7"/>
      <c r="AF231" s="7"/>
      <c r="AG231" s="7"/>
      <c r="AH231" s="7"/>
      <c r="AI231" s="7"/>
      <c r="AJ231" s="7"/>
      <c r="AK231" s="7"/>
      <c r="AL231" s="7"/>
      <c r="AM231" s="7"/>
      <c r="AN231" s="7"/>
      <c r="AO231" s="2"/>
      <c r="AP231" s="2"/>
      <c r="AQ231" s="2"/>
      <c r="AR231" s="2"/>
      <c r="AS231" s="2"/>
      <c r="AT231" s="2"/>
      <c r="AU231" s="2"/>
      <c r="AV231" s="2"/>
      <c r="AW231" s="2"/>
      <c r="AX231" s="2"/>
    </row>
    <row r="232" spans="1:50" x14ac:dyDescent="0.5">
      <c r="A232" s="8"/>
      <c r="B232" s="441" t="s">
        <v>241</v>
      </c>
      <c r="C232" s="442">
        <v>562</v>
      </c>
      <c r="D232" s="443" t="s">
        <v>14</v>
      </c>
      <c r="R232" s="2"/>
      <c r="S232" s="2"/>
      <c r="T232" s="2"/>
      <c r="U232" s="2"/>
      <c r="V232" s="2"/>
      <c r="W232" s="2"/>
      <c r="X232" s="2"/>
      <c r="Y232" s="2"/>
      <c r="Z232" s="2"/>
      <c r="AA232" s="7"/>
      <c r="AB232" s="7"/>
      <c r="AC232" s="7"/>
      <c r="AD232" s="7"/>
      <c r="AE232" s="7"/>
      <c r="AF232" s="7"/>
      <c r="AG232" s="7"/>
      <c r="AH232" s="7"/>
      <c r="AI232" s="7"/>
      <c r="AJ232" s="7"/>
      <c r="AK232" s="7"/>
      <c r="AL232" s="7"/>
      <c r="AM232" s="7"/>
      <c r="AN232" s="7"/>
      <c r="AO232" s="2"/>
      <c r="AP232" s="2"/>
      <c r="AQ232" s="2"/>
      <c r="AR232" s="2"/>
      <c r="AS232" s="2"/>
      <c r="AT232" s="2"/>
      <c r="AU232" s="2"/>
      <c r="AV232" s="2"/>
      <c r="AW232" s="2"/>
      <c r="AX232" s="2"/>
    </row>
    <row r="233" spans="1:50" x14ac:dyDescent="0.5">
      <c r="A233" s="8"/>
      <c r="B233" s="444" t="s">
        <v>242</v>
      </c>
      <c r="C233" s="445">
        <f>AVERAGE(0.09,0.14)</f>
        <v>0.115</v>
      </c>
      <c r="D233" s="446" t="s">
        <v>243</v>
      </c>
      <c r="R233" s="2"/>
      <c r="S233" s="2"/>
      <c r="T233" s="2"/>
      <c r="U233" s="2"/>
      <c r="V233" s="2"/>
      <c r="W233" s="2"/>
      <c r="X233" s="2"/>
      <c r="Y233" s="2"/>
      <c r="Z233" s="2"/>
      <c r="AA233" s="7"/>
      <c r="AB233" s="7"/>
      <c r="AC233" s="7"/>
      <c r="AD233" s="7"/>
      <c r="AE233" s="7"/>
      <c r="AF233" s="7"/>
      <c r="AG233" s="7"/>
      <c r="AH233" s="7"/>
      <c r="AI233" s="7"/>
      <c r="AJ233" s="7"/>
      <c r="AK233" s="7"/>
      <c r="AL233" s="7"/>
      <c r="AM233" s="7"/>
      <c r="AN233" s="7"/>
      <c r="AO233" s="2"/>
      <c r="AP233" s="2"/>
      <c r="AQ233" s="2"/>
      <c r="AR233" s="2"/>
      <c r="AS233" s="2"/>
      <c r="AT233" s="2"/>
      <c r="AU233" s="2"/>
      <c r="AV233" s="2"/>
      <c r="AW233" s="2"/>
      <c r="AX233" s="2"/>
    </row>
    <row r="234" spans="1:50" x14ac:dyDescent="0.5">
      <c r="A234" s="8"/>
      <c r="B234" s="444" t="s">
        <v>241</v>
      </c>
      <c r="C234" s="447">
        <f>C232*C233/1000</f>
        <v>6.4630000000000007E-2</v>
      </c>
      <c r="D234" s="446" t="s">
        <v>99</v>
      </c>
      <c r="R234" s="2"/>
      <c r="S234" s="2"/>
      <c r="T234" s="2"/>
      <c r="U234" s="2"/>
      <c r="V234" s="2"/>
      <c r="W234" s="2"/>
      <c r="X234" s="2"/>
      <c r="Y234" s="2"/>
      <c r="Z234" s="2"/>
      <c r="AA234" s="7"/>
      <c r="AB234" s="7"/>
      <c r="AC234" s="7"/>
      <c r="AD234" s="7"/>
      <c r="AE234" s="7"/>
      <c r="AF234" s="7"/>
      <c r="AG234" s="7"/>
      <c r="AH234" s="7"/>
      <c r="AI234" s="7"/>
      <c r="AJ234" s="7"/>
      <c r="AK234" s="7"/>
      <c r="AL234" s="7"/>
      <c r="AM234" s="7"/>
      <c r="AN234" s="7"/>
      <c r="AO234" s="2"/>
      <c r="AP234" s="2"/>
      <c r="AQ234" s="2"/>
      <c r="AR234" s="2"/>
      <c r="AS234" s="2"/>
      <c r="AT234" s="2"/>
      <c r="AU234" s="2"/>
      <c r="AV234" s="2"/>
      <c r="AW234" s="2"/>
      <c r="AX234" s="2"/>
    </row>
    <row r="235" spans="1:50" x14ac:dyDescent="0.5">
      <c r="A235" s="8"/>
      <c r="B235" s="444" t="s">
        <v>244</v>
      </c>
      <c r="C235" s="447">
        <v>562</v>
      </c>
      <c r="D235" s="446" t="s">
        <v>14</v>
      </c>
      <c r="R235" s="2"/>
      <c r="S235" s="2"/>
      <c r="T235" s="2"/>
      <c r="U235" s="2"/>
      <c r="V235" s="2"/>
      <c r="W235" s="2"/>
      <c r="X235" s="2"/>
      <c r="Y235" s="2"/>
      <c r="Z235" s="2"/>
      <c r="AA235" s="7"/>
      <c r="AB235" s="7"/>
      <c r="AC235" s="7"/>
      <c r="AD235" s="7"/>
      <c r="AE235" s="7"/>
      <c r="AF235" s="7"/>
      <c r="AG235" s="7"/>
      <c r="AH235" s="7"/>
      <c r="AI235" s="7"/>
      <c r="AJ235" s="7"/>
      <c r="AK235" s="7"/>
      <c r="AL235" s="7"/>
      <c r="AM235" s="7"/>
      <c r="AN235" s="7"/>
      <c r="AO235" s="2"/>
      <c r="AP235" s="2"/>
      <c r="AQ235" s="2"/>
      <c r="AR235" s="2"/>
      <c r="AS235" s="2"/>
      <c r="AT235" s="2"/>
      <c r="AU235" s="2"/>
      <c r="AV235" s="2"/>
      <c r="AW235" s="2"/>
      <c r="AX235" s="2"/>
    </row>
    <row r="236" spans="1:50" x14ac:dyDescent="0.5">
      <c r="A236" s="8"/>
      <c r="B236" s="444" t="s">
        <v>245</v>
      </c>
      <c r="C236" s="445">
        <f>AVERAGE(0.07,0.1)</f>
        <v>8.5000000000000006E-2</v>
      </c>
      <c r="D236" s="446" t="s">
        <v>243</v>
      </c>
      <c r="R236" s="2"/>
      <c r="S236" s="2"/>
      <c r="T236" s="2"/>
      <c r="U236" s="2"/>
      <c r="V236" s="2"/>
      <c r="W236" s="2"/>
      <c r="X236" s="2"/>
      <c r="Y236" s="2"/>
      <c r="Z236" s="2"/>
      <c r="AA236" s="7"/>
      <c r="AB236" s="7"/>
      <c r="AC236" s="7"/>
      <c r="AD236" s="7"/>
      <c r="AE236" s="7"/>
      <c r="AF236" s="7"/>
      <c r="AG236" s="7"/>
      <c r="AH236" s="7"/>
      <c r="AI236" s="7"/>
      <c r="AJ236" s="7"/>
      <c r="AK236" s="7"/>
      <c r="AL236" s="7"/>
      <c r="AM236" s="7"/>
      <c r="AN236" s="7"/>
      <c r="AO236" s="2"/>
      <c r="AP236" s="2"/>
      <c r="AQ236" s="2"/>
      <c r="AR236" s="2"/>
      <c r="AS236" s="2"/>
      <c r="AT236" s="2"/>
      <c r="AU236" s="2"/>
      <c r="AV236" s="2"/>
      <c r="AW236" s="2"/>
      <c r="AX236" s="2"/>
    </row>
    <row r="237" spans="1:50" x14ac:dyDescent="0.5">
      <c r="A237" s="8"/>
      <c r="B237" s="444" t="s">
        <v>244</v>
      </c>
      <c r="C237" s="447">
        <f>C235*C236/1000</f>
        <v>4.777E-2</v>
      </c>
      <c r="D237" s="446" t="s">
        <v>99</v>
      </c>
      <c r="R237" s="2"/>
      <c r="S237" s="2"/>
      <c r="T237" s="2"/>
      <c r="U237" s="2"/>
      <c r="V237" s="2"/>
      <c r="W237" s="2"/>
      <c r="X237" s="2"/>
      <c r="Y237" s="2"/>
      <c r="Z237" s="2"/>
      <c r="AA237" s="7"/>
      <c r="AB237" s="7"/>
      <c r="AC237" s="7"/>
      <c r="AD237" s="7"/>
      <c r="AE237" s="7"/>
      <c r="AF237" s="7"/>
      <c r="AG237" s="7"/>
      <c r="AH237" s="7"/>
      <c r="AI237" s="7"/>
      <c r="AJ237" s="7"/>
      <c r="AK237" s="7"/>
      <c r="AL237" s="7"/>
      <c r="AM237" s="7"/>
      <c r="AN237" s="7"/>
      <c r="AO237" s="2"/>
      <c r="AP237" s="2"/>
      <c r="AQ237" s="2"/>
      <c r="AR237" s="2"/>
      <c r="AS237" s="2"/>
      <c r="AT237" s="2"/>
      <c r="AU237" s="2"/>
      <c r="AV237" s="2"/>
      <c r="AW237" s="2"/>
      <c r="AX237" s="2"/>
    </row>
    <row r="238" spans="1:50" x14ac:dyDescent="0.5">
      <c r="A238" s="8"/>
      <c r="B238" s="444" t="s">
        <v>246</v>
      </c>
      <c r="C238" s="445">
        <f>(15+18)/2</f>
        <v>16.5</v>
      </c>
      <c r="D238" s="446" t="s">
        <v>14</v>
      </c>
      <c r="R238" s="2"/>
      <c r="S238" s="2"/>
      <c r="T238" s="2"/>
      <c r="U238" s="2"/>
      <c r="V238" s="2"/>
      <c r="W238" s="2"/>
      <c r="X238" s="2"/>
      <c r="Y238" s="2"/>
      <c r="Z238" s="2"/>
      <c r="AA238" s="7"/>
      <c r="AB238" s="7"/>
      <c r="AC238" s="7"/>
      <c r="AD238" s="7"/>
      <c r="AE238" s="7"/>
      <c r="AF238" s="7"/>
      <c r="AG238" s="7"/>
      <c r="AH238" s="7"/>
      <c r="AI238" s="7"/>
      <c r="AJ238" s="7"/>
      <c r="AK238" s="7"/>
      <c r="AL238" s="7"/>
      <c r="AM238" s="7"/>
      <c r="AN238" s="7"/>
      <c r="AO238" s="2"/>
      <c r="AP238" s="2"/>
      <c r="AQ238" s="2"/>
      <c r="AR238" s="2"/>
      <c r="AS238" s="2"/>
      <c r="AT238" s="2"/>
      <c r="AU238" s="2"/>
      <c r="AV238" s="2"/>
      <c r="AW238" s="2"/>
      <c r="AX238" s="2"/>
    </row>
    <row r="239" spans="1:50" x14ac:dyDescent="0.5">
      <c r="A239" s="8"/>
      <c r="B239" s="444" t="s">
        <v>247</v>
      </c>
      <c r="C239" s="445">
        <v>1.4</v>
      </c>
      <c r="D239" s="446" t="s">
        <v>243</v>
      </c>
      <c r="F239" s="2"/>
      <c r="R239" s="2"/>
      <c r="S239" s="2"/>
      <c r="T239" s="2"/>
      <c r="U239" s="2"/>
      <c r="V239" s="2"/>
      <c r="W239" s="2"/>
      <c r="X239" s="2"/>
      <c r="Y239" s="2"/>
      <c r="Z239" s="2"/>
      <c r="AA239" s="7"/>
      <c r="AB239" s="7"/>
      <c r="AC239" s="7"/>
      <c r="AD239" s="7"/>
      <c r="AE239" s="7"/>
      <c r="AF239" s="7"/>
      <c r="AG239" s="7"/>
      <c r="AH239" s="7"/>
      <c r="AI239" s="7"/>
      <c r="AJ239" s="7"/>
      <c r="AK239" s="7"/>
      <c r="AL239" s="7"/>
      <c r="AM239" s="7"/>
      <c r="AN239" s="7"/>
      <c r="AO239" s="2"/>
      <c r="AP239" s="2"/>
      <c r="AQ239" s="2"/>
      <c r="AR239" s="2"/>
      <c r="AS239" s="2"/>
      <c r="AT239" s="2"/>
      <c r="AU239" s="2"/>
      <c r="AV239" s="2"/>
      <c r="AW239" s="2"/>
      <c r="AX239" s="2"/>
    </row>
    <row r="240" spans="1:50" x14ac:dyDescent="0.5">
      <c r="A240" s="8"/>
      <c r="B240" s="444" t="s">
        <v>246</v>
      </c>
      <c r="C240" s="447">
        <f>C238*C239/1000</f>
        <v>2.3099999999999999E-2</v>
      </c>
      <c r="D240" s="446" t="s">
        <v>99</v>
      </c>
      <c r="R240" s="2"/>
      <c r="S240" s="2"/>
      <c r="T240" s="2"/>
      <c r="U240" s="2"/>
      <c r="V240" s="2"/>
      <c r="W240" s="2"/>
      <c r="X240" s="2"/>
      <c r="Y240" s="2"/>
      <c r="Z240" s="2"/>
      <c r="AA240" s="7"/>
      <c r="AB240" s="7"/>
      <c r="AC240" s="7"/>
      <c r="AD240" s="7"/>
      <c r="AE240" s="7"/>
      <c r="AF240" s="7"/>
      <c r="AG240" s="7"/>
      <c r="AH240" s="7"/>
      <c r="AI240" s="7"/>
      <c r="AJ240" s="7"/>
      <c r="AK240" s="7"/>
      <c r="AL240" s="7"/>
      <c r="AM240" s="7"/>
      <c r="AN240" s="7"/>
      <c r="AO240" s="2"/>
      <c r="AP240" s="2"/>
      <c r="AQ240" s="2"/>
      <c r="AR240" s="2"/>
      <c r="AS240" s="2"/>
      <c r="AT240" s="2"/>
      <c r="AU240" s="2"/>
      <c r="AV240" s="2"/>
      <c r="AW240" s="2"/>
      <c r="AX240" s="2"/>
    </row>
    <row r="241" spans="1:50" x14ac:dyDescent="0.5">
      <c r="A241" s="8"/>
      <c r="B241" s="444" t="s">
        <v>248</v>
      </c>
      <c r="C241" s="447">
        <f>C234+C237+C240</f>
        <v>0.13550000000000001</v>
      </c>
      <c r="D241" s="446" t="s">
        <v>99</v>
      </c>
      <c r="R241" s="2"/>
      <c r="S241" s="2"/>
      <c r="T241" s="2"/>
      <c r="U241" s="2"/>
      <c r="V241" s="2"/>
      <c r="W241" s="2"/>
      <c r="X241" s="2"/>
      <c r="Y241" s="2"/>
      <c r="Z241" s="2"/>
      <c r="AA241" s="7"/>
      <c r="AB241" s="7"/>
      <c r="AC241" s="7"/>
      <c r="AD241" s="7"/>
      <c r="AE241" s="7"/>
      <c r="AF241" s="7"/>
      <c r="AG241" s="7"/>
      <c r="AH241" s="7"/>
      <c r="AI241" s="7"/>
      <c r="AJ241" s="7"/>
      <c r="AK241" s="7"/>
      <c r="AL241" s="7"/>
      <c r="AM241" s="7"/>
      <c r="AN241" s="7"/>
      <c r="AO241" s="2"/>
      <c r="AP241" s="2"/>
      <c r="AQ241" s="2"/>
      <c r="AR241" s="2"/>
      <c r="AS241" s="2"/>
      <c r="AT241" s="2"/>
      <c r="AU241" s="2"/>
      <c r="AV241" s="2"/>
      <c r="AW241" s="2"/>
      <c r="AX241" s="2"/>
    </row>
    <row r="242" spans="1:50" x14ac:dyDescent="0.5">
      <c r="A242" s="8"/>
      <c r="B242" s="444" t="s">
        <v>100</v>
      </c>
      <c r="C242" s="120">
        <f>$C$188*$C$189</f>
        <v>0.97019999999999995</v>
      </c>
      <c r="D242" s="448" t="s">
        <v>20</v>
      </c>
      <c r="R242" s="2"/>
      <c r="S242" s="2"/>
      <c r="T242" s="2"/>
      <c r="U242" s="2"/>
      <c r="V242" s="2"/>
      <c r="W242" s="2"/>
      <c r="X242" s="2"/>
      <c r="Y242" s="2"/>
      <c r="Z242" s="2"/>
      <c r="AA242" s="7"/>
      <c r="AB242" s="7"/>
      <c r="AC242" s="7"/>
      <c r="AD242" s="7"/>
      <c r="AE242" s="7"/>
      <c r="AF242" s="7"/>
      <c r="AG242" s="7"/>
      <c r="AH242" s="7"/>
      <c r="AI242" s="7"/>
      <c r="AJ242" s="7"/>
      <c r="AK242" s="7"/>
      <c r="AL242" s="7"/>
      <c r="AM242" s="7"/>
      <c r="AN242" s="7"/>
      <c r="AO242" s="2"/>
      <c r="AP242" s="2"/>
      <c r="AQ242" s="2"/>
      <c r="AR242" s="2"/>
      <c r="AS242" s="2"/>
      <c r="AT242" s="2"/>
      <c r="AU242" s="2"/>
      <c r="AV242" s="2"/>
      <c r="AW242" s="2"/>
      <c r="AX242" s="2"/>
    </row>
    <row r="243" spans="1:50" x14ac:dyDescent="0.5">
      <c r="A243" s="8"/>
      <c r="B243" s="449" t="s">
        <v>249</v>
      </c>
      <c r="C243" s="450">
        <f>C241/C242</f>
        <v>0.13966192537621111</v>
      </c>
      <c r="D243" s="451" t="s">
        <v>99</v>
      </c>
      <c r="R243" s="2"/>
      <c r="S243" s="2"/>
      <c r="T243" s="2"/>
      <c r="U243" s="2"/>
      <c r="V243" s="2"/>
      <c r="W243" s="2"/>
      <c r="X243" s="2"/>
      <c r="Y243" s="2"/>
      <c r="Z243" s="2"/>
      <c r="AA243" s="7"/>
      <c r="AB243" s="7"/>
      <c r="AC243" s="7"/>
      <c r="AD243" s="7"/>
      <c r="AE243" s="7"/>
      <c r="AF243" s="7"/>
      <c r="AG243" s="7"/>
      <c r="AH243" s="7"/>
      <c r="AI243" s="7"/>
      <c r="AJ243" s="7"/>
      <c r="AK243" s="7"/>
      <c r="AL243" s="7"/>
      <c r="AM243" s="7"/>
      <c r="AN243" s="7"/>
      <c r="AO243" s="2"/>
      <c r="AP243" s="2"/>
      <c r="AQ243" s="2"/>
      <c r="AR243" s="2"/>
      <c r="AS243" s="2"/>
      <c r="AT243" s="2"/>
      <c r="AU243" s="2"/>
      <c r="AV243" s="2"/>
      <c r="AW243" s="2"/>
      <c r="AX243" s="2"/>
    </row>
    <row r="244" spans="1:50" x14ac:dyDescent="0.5">
      <c r="A244" s="8"/>
      <c r="R244" s="2"/>
      <c r="S244" s="2"/>
      <c r="T244" s="2"/>
      <c r="U244" s="2"/>
      <c r="V244" s="2"/>
      <c r="W244" s="2"/>
      <c r="X244" s="2"/>
      <c r="Y244" s="2"/>
      <c r="Z244" s="2"/>
      <c r="AA244" s="7"/>
      <c r="AB244" s="7"/>
      <c r="AC244" s="7"/>
      <c r="AD244" s="7"/>
      <c r="AE244" s="7"/>
      <c r="AF244" s="7"/>
      <c r="AG244" s="7"/>
      <c r="AH244" s="7"/>
      <c r="AI244" s="7"/>
      <c r="AJ244" s="7"/>
      <c r="AK244" s="7"/>
      <c r="AL244" s="7"/>
      <c r="AM244" s="7"/>
      <c r="AN244" s="7"/>
      <c r="AO244" s="2"/>
      <c r="AP244" s="2"/>
      <c r="AQ244" s="2"/>
      <c r="AR244" s="2"/>
      <c r="AS244" s="2"/>
      <c r="AT244" s="2"/>
      <c r="AU244" s="2"/>
      <c r="AV244" s="2"/>
      <c r="AW244" s="2"/>
      <c r="AX244" s="2"/>
    </row>
    <row r="245" spans="1:50" x14ac:dyDescent="0.5">
      <c r="A245" s="8"/>
      <c r="B245" s="452" t="s">
        <v>250</v>
      </c>
      <c r="C245" s="453"/>
      <c r="D245" s="454"/>
      <c r="R245" s="2"/>
      <c r="S245" s="2"/>
      <c r="T245" s="2"/>
      <c r="U245" s="2"/>
      <c r="V245" s="2"/>
      <c r="W245" s="2"/>
      <c r="X245" s="2"/>
      <c r="Y245" s="2"/>
      <c r="Z245" s="2"/>
      <c r="AA245" s="7"/>
      <c r="AB245" s="7"/>
      <c r="AC245" s="7"/>
      <c r="AD245" s="7"/>
      <c r="AE245" s="7"/>
      <c r="AF245" s="7"/>
      <c r="AG245" s="7"/>
      <c r="AH245" s="7"/>
      <c r="AI245" s="7"/>
      <c r="AJ245" s="7"/>
      <c r="AK245" s="7"/>
      <c r="AL245" s="7"/>
      <c r="AM245" s="7"/>
      <c r="AN245" s="7"/>
      <c r="AO245" s="2"/>
      <c r="AP245" s="2"/>
      <c r="AQ245" s="2"/>
      <c r="AR245" s="2"/>
      <c r="AS245" s="2"/>
      <c r="AT245" s="2"/>
      <c r="AU245" s="2"/>
      <c r="AV245" s="2"/>
      <c r="AW245" s="2"/>
      <c r="AX245" s="2"/>
    </row>
    <row r="246" spans="1:50" x14ac:dyDescent="0.5">
      <c r="A246" s="8"/>
      <c r="B246" s="455" t="s">
        <v>251</v>
      </c>
      <c r="C246" s="453">
        <v>4</v>
      </c>
      <c r="D246" s="456" t="s">
        <v>252</v>
      </c>
      <c r="R246" s="2"/>
      <c r="S246" s="2"/>
      <c r="T246" s="2"/>
      <c r="U246" s="2"/>
      <c r="V246" s="2"/>
      <c r="W246" s="2"/>
      <c r="X246" s="2"/>
      <c r="Y246" s="2"/>
      <c r="Z246" s="2"/>
      <c r="AA246" s="7"/>
      <c r="AB246" s="7"/>
      <c r="AC246" s="7"/>
      <c r="AD246" s="7"/>
      <c r="AE246" s="7"/>
      <c r="AF246" s="7"/>
      <c r="AG246" s="7"/>
      <c r="AH246" s="7"/>
      <c r="AI246" s="7"/>
      <c r="AJ246" s="7"/>
      <c r="AK246" s="7"/>
      <c r="AL246" s="7"/>
      <c r="AM246" s="7"/>
      <c r="AN246" s="7"/>
      <c r="AO246" s="2"/>
      <c r="AP246" s="2"/>
      <c r="AQ246" s="2"/>
      <c r="AR246" s="2"/>
      <c r="AS246" s="2"/>
      <c r="AT246" s="2"/>
      <c r="AU246" s="2"/>
      <c r="AV246" s="2"/>
      <c r="AW246" s="2"/>
      <c r="AX246" s="2"/>
    </row>
    <row r="247" spans="1:50" x14ac:dyDescent="0.5">
      <c r="A247" s="8"/>
      <c r="B247" s="176" t="s">
        <v>253</v>
      </c>
      <c r="C247" s="457">
        <v>8000</v>
      </c>
      <c r="D247" s="458" t="s">
        <v>254</v>
      </c>
      <c r="R247" s="2"/>
      <c r="S247" s="2"/>
      <c r="T247" s="2"/>
      <c r="U247" s="2"/>
      <c r="V247" s="2"/>
      <c r="W247" s="2"/>
      <c r="X247" s="2"/>
      <c r="Y247" s="2"/>
      <c r="Z247" s="2"/>
      <c r="AA247" s="7"/>
      <c r="AB247" s="7"/>
      <c r="AC247" s="7"/>
      <c r="AD247" s="7"/>
      <c r="AE247" s="7"/>
      <c r="AF247" s="7"/>
      <c r="AG247" s="7"/>
      <c r="AH247" s="7"/>
      <c r="AI247" s="7"/>
      <c r="AJ247" s="7"/>
      <c r="AK247" s="7"/>
      <c r="AL247" s="7"/>
      <c r="AM247" s="7"/>
      <c r="AN247" s="7"/>
      <c r="AO247" s="2"/>
      <c r="AP247" s="2"/>
      <c r="AQ247" s="2"/>
      <c r="AR247" s="2"/>
      <c r="AS247" s="2"/>
      <c r="AT247" s="2"/>
      <c r="AU247" s="2"/>
      <c r="AV247" s="2"/>
      <c r="AW247" s="2"/>
      <c r="AX247" s="2"/>
    </row>
    <row r="248" spans="1:50" x14ac:dyDescent="0.5">
      <c r="A248" s="8"/>
      <c r="B248" s="176" t="s">
        <v>255</v>
      </c>
      <c r="C248" s="457">
        <v>70</v>
      </c>
      <c r="D248" s="458" t="s">
        <v>226</v>
      </c>
      <c r="R248" s="2"/>
      <c r="S248" s="2"/>
      <c r="T248" s="2"/>
      <c r="U248" s="2"/>
      <c r="V248" s="2"/>
      <c r="W248" s="2"/>
      <c r="X248" s="2"/>
      <c r="Y248" s="2"/>
      <c r="Z248" s="2"/>
      <c r="AA248" s="7"/>
      <c r="AB248" s="7"/>
      <c r="AC248" s="7"/>
      <c r="AD248" s="7"/>
      <c r="AE248" s="7"/>
      <c r="AF248" s="7"/>
      <c r="AG248" s="7"/>
      <c r="AH248" s="7"/>
      <c r="AI248" s="7"/>
      <c r="AJ248" s="7"/>
      <c r="AK248" s="7"/>
      <c r="AL248" s="7"/>
      <c r="AM248" s="7"/>
      <c r="AN248" s="7"/>
      <c r="AO248" s="2"/>
      <c r="AP248" s="2"/>
      <c r="AQ248" s="2"/>
      <c r="AR248" s="2"/>
      <c r="AS248" s="2"/>
      <c r="AT248" s="2"/>
      <c r="AU248" s="2"/>
      <c r="AV248" s="2"/>
      <c r="AW248" s="2"/>
      <c r="AX248" s="2"/>
    </row>
    <row r="249" spans="1:50" x14ac:dyDescent="0.5">
      <c r="A249" s="8"/>
      <c r="B249" s="176" t="s">
        <v>256</v>
      </c>
      <c r="C249" s="457">
        <f>C248*C246/C247</f>
        <v>3.5000000000000003E-2</v>
      </c>
      <c r="D249" s="458" t="s">
        <v>99</v>
      </c>
      <c r="N249" s="7"/>
      <c r="O249" s="7"/>
      <c r="P249" s="7"/>
      <c r="Q249" s="7"/>
      <c r="R249" s="7"/>
      <c r="S249" s="7"/>
      <c r="T249" s="7"/>
      <c r="U249" s="7"/>
      <c r="V249" s="7"/>
      <c r="W249" s="7"/>
      <c r="X249" s="7"/>
      <c r="Y249" s="7"/>
      <c r="Z249" s="2"/>
      <c r="AA249" s="7"/>
      <c r="AB249" s="7"/>
      <c r="AC249" s="7"/>
      <c r="AD249" s="7"/>
      <c r="AE249" s="7"/>
      <c r="AF249" s="7"/>
      <c r="AG249" s="7"/>
      <c r="AH249" s="7"/>
      <c r="AI249" s="7"/>
      <c r="AJ249" s="7"/>
      <c r="AK249" s="7"/>
      <c r="AL249" s="7"/>
      <c r="AM249" s="7"/>
      <c r="AN249" s="7"/>
      <c r="AO249" s="2"/>
      <c r="AP249" s="2"/>
      <c r="AQ249" s="2"/>
      <c r="AR249" s="2"/>
      <c r="AS249" s="2"/>
      <c r="AT249" s="2"/>
      <c r="AU249" s="2"/>
      <c r="AV249" s="2"/>
      <c r="AW249" s="2"/>
      <c r="AX249" s="2"/>
    </row>
    <row r="250" spans="1:50" x14ac:dyDescent="0.5">
      <c r="A250" s="8"/>
      <c r="B250" s="459" t="s">
        <v>100</v>
      </c>
      <c r="C250" s="165">
        <f>$C$188*$C$189</f>
        <v>0.97019999999999995</v>
      </c>
      <c r="D250" s="458" t="s">
        <v>20</v>
      </c>
      <c r="N250" s="7"/>
      <c r="O250" s="7"/>
      <c r="P250" s="7"/>
      <c r="Q250" s="7"/>
      <c r="R250" s="7"/>
      <c r="S250" s="7"/>
      <c r="T250" s="7"/>
      <c r="U250" s="7"/>
      <c r="V250" s="7"/>
      <c r="W250" s="7"/>
      <c r="X250" s="7"/>
      <c r="Y250" s="7"/>
      <c r="Z250" s="2"/>
      <c r="AA250" s="7"/>
      <c r="AB250" s="7"/>
      <c r="AC250" s="7"/>
      <c r="AD250" s="7"/>
      <c r="AE250" s="7"/>
      <c r="AF250" s="7"/>
      <c r="AG250" s="7"/>
      <c r="AH250" s="7"/>
      <c r="AI250" s="7"/>
      <c r="AJ250" s="7"/>
      <c r="AK250" s="7"/>
      <c r="AL250" s="7"/>
      <c r="AM250" s="7"/>
      <c r="AN250" s="7"/>
      <c r="AO250" s="2"/>
      <c r="AP250" s="2"/>
      <c r="AQ250" s="2"/>
      <c r="AR250" s="2"/>
      <c r="AS250" s="2"/>
      <c r="AT250" s="2"/>
      <c r="AU250" s="2"/>
      <c r="AV250" s="2"/>
      <c r="AW250" s="2"/>
      <c r="AX250" s="2"/>
    </row>
    <row r="251" spans="1:50" x14ac:dyDescent="0.5">
      <c r="A251" s="8"/>
      <c r="B251" s="460" t="s">
        <v>255</v>
      </c>
      <c r="C251" s="461">
        <f>C249/C250</f>
        <v>3.6075036075036079E-2</v>
      </c>
      <c r="D251" s="462" t="s">
        <v>99</v>
      </c>
      <c r="N251" s="7"/>
      <c r="O251" s="7"/>
      <c r="P251" s="7"/>
      <c r="Q251" s="7"/>
      <c r="R251" s="7"/>
      <c r="S251" s="7"/>
      <c r="T251" s="7"/>
      <c r="U251" s="7"/>
      <c r="V251" s="7"/>
      <c r="W251" s="7"/>
      <c r="X251" s="7"/>
      <c r="Y251" s="7"/>
      <c r="Z251" s="2"/>
      <c r="AA251" s="7"/>
      <c r="AB251" s="7"/>
      <c r="AC251" s="7"/>
      <c r="AD251" s="7"/>
      <c r="AE251" s="7"/>
      <c r="AF251" s="7"/>
      <c r="AG251" s="7"/>
      <c r="AH251" s="7"/>
      <c r="AI251" s="7"/>
      <c r="AJ251" s="7"/>
      <c r="AK251" s="7"/>
      <c r="AL251" s="7"/>
      <c r="AM251" s="7"/>
      <c r="AN251" s="7"/>
      <c r="AO251" s="2"/>
      <c r="AP251" s="2"/>
      <c r="AQ251" s="2"/>
      <c r="AR251" s="2"/>
      <c r="AS251" s="2"/>
      <c r="AT251" s="2"/>
      <c r="AU251" s="2"/>
      <c r="AV251" s="2"/>
      <c r="AW251" s="2"/>
      <c r="AX251" s="2"/>
    </row>
    <row r="252" spans="1:50" x14ac:dyDescent="0.5">
      <c r="A252" s="8"/>
      <c r="N252" s="7"/>
      <c r="O252" s="7"/>
      <c r="P252" s="7"/>
      <c r="Q252" s="7"/>
      <c r="R252" s="7"/>
      <c r="S252" s="7"/>
      <c r="T252" s="7"/>
      <c r="U252" s="7"/>
      <c r="V252" s="7"/>
      <c r="W252" s="7"/>
      <c r="X252" s="7"/>
      <c r="Y252" s="7"/>
      <c r="Z252" s="2"/>
      <c r="AA252" s="7"/>
      <c r="AB252" s="7"/>
      <c r="AC252" s="7"/>
      <c r="AD252" s="7"/>
      <c r="AE252" s="7"/>
      <c r="AF252" s="7"/>
      <c r="AG252" s="7"/>
      <c r="AH252" s="7"/>
      <c r="AI252" s="7"/>
      <c r="AJ252" s="7"/>
      <c r="AK252" s="7"/>
      <c r="AL252" s="7"/>
      <c r="AM252" s="7"/>
      <c r="AN252" s="7"/>
      <c r="AO252" s="2"/>
      <c r="AP252" s="2"/>
      <c r="AQ252" s="2"/>
      <c r="AR252" s="2"/>
      <c r="AS252" s="2"/>
      <c r="AT252" s="2"/>
      <c r="AU252" s="2"/>
      <c r="AV252" s="2"/>
      <c r="AW252" s="2"/>
      <c r="AX252" s="2"/>
    </row>
    <row r="253" spans="1:50" x14ac:dyDescent="0.5">
      <c r="A253" s="8"/>
      <c r="B253" s="463" t="s">
        <v>257</v>
      </c>
      <c r="C253" s="464"/>
      <c r="D253" s="464"/>
      <c r="E253" s="464"/>
      <c r="F253" s="465"/>
      <c r="G253" s="7"/>
      <c r="H253" s="7"/>
      <c r="I253" s="7"/>
      <c r="J253" s="7"/>
      <c r="N253" s="7"/>
      <c r="O253" s="7"/>
      <c r="P253" s="7"/>
      <c r="Q253" s="7"/>
      <c r="R253" s="7"/>
      <c r="S253" s="7"/>
      <c r="T253" s="7"/>
      <c r="U253" s="7"/>
      <c r="V253" s="7"/>
      <c r="W253" s="7"/>
      <c r="X253" s="7"/>
      <c r="Y253" s="7"/>
      <c r="Z253" s="2"/>
      <c r="AA253" s="7"/>
      <c r="AB253" s="7"/>
      <c r="AC253" s="7"/>
      <c r="AD253" s="7"/>
      <c r="AE253" s="7"/>
      <c r="AF253" s="7"/>
      <c r="AG253" s="7"/>
      <c r="AH253" s="7"/>
      <c r="AI253" s="7"/>
      <c r="AJ253" s="7"/>
      <c r="AK253" s="7"/>
      <c r="AL253" s="7"/>
      <c r="AM253" s="7"/>
      <c r="AN253" s="7"/>
      <c r="AO253" s="2"/>
      <c r="AP253" s="2"/>
      <c r="AQ253" s="2"/>
      <c r="AR253" s="2"/>
      <c r="AS253" s="2"/>
      <c r="AT253" s="2"/>
      <c r="AU253" s="2"/>
      <c r="AV253" s="2"/>
      <c r="AW253" s="2"/>
      <c r="AX253" s="2"/>
    </row>
    <row r="254" spans="1:50" x14ac:dyDescent="0.5">
      <c r="A254" s="8"/>
      <c r="B254" s="455"/>
      <c r="C254" s="466" t="s">
        <v>258</v>
      </c>
      <c r="D254" s="453" t="s">
        <v>259</v>
      </c>
      <c r="E254" s="453" t="s">
        <v>190</v>
      </c>
      <c r="F254" s="467" t="s">
        <v>53</v>
      </c>
      <c r="G254" s="7"/>
      <c r="H254" s="7"/>
      <c r="I254" s="7"/>
      <c r="J254" s="7"/>
      <c r="N254" s="7"/>
      <c r="O254" s="7"/>
      <c r="P254" s="468"/>
      <c r="Q254" s="7"/>
      <c r="R254" s="7"/>
      <c r="S254" s="468"/>
      <c r="T254" s="7"/>
      <c r="U254" s="7"/>
      <c r="V254" s="469"/>
      <c r="W254" s="7"/>
      <c r="X254" s="7"/>
      <c r="Y254" s="7"/>
      <c r="Z254" s="7"/>
      <c r="AA254" s="7"/>
      <c r="AB254" s="7"/>
      <c r="AC254" s="7"/>
      <c r="AD254" s="7"/>
      <c r="AE254" s="7"/>
      <c r="AF254" s="7"/>
      <c r="AG254" s="7"/>
      <c r="AH254" s="7"/>
      <c r="AI254" s="7"/>
      <c r="AJ254" s="7"/>
      <c r="AK254" s="7"/>
      <c r="AL254" s="7"/>
      <c r="AM254" s="7"/>
      <c r="AN254" s="7"/>
      <c r="AO254" s="2"/>
      <c r="AP254" s="2"/>
      <c r="AQ254" s="2"/>
      <c r="AR254" s="2"/>
      <c r="AS254" s="2"/>
      <c r="AT254" s="2"/>
      <c r="AU254" s="2"/>
      <c r="AV254" s="2"/>
      <c r="AW254" s="2"/>
      <c r="AX254" s="2"/>
    </row>
    <row r="255" spans="1:50" x14ac:dyDescent="0.5">
      <c r="A255" s="8"/>
      <c r="B255" s="176" t="s">
        <v>69</v>
      </c>
      <c r="C255" s="457">
        <v>1.2</v>
      </c>
      <c r="D255" s="165">
        <f>C255*(C73*2+2)/C74</f>
        <v>2.414283366206443E-2</v>
      </c>
      <c r="E255" s="165">
        <f>$C$189</f>
        <v>0.99</v>
      </c>
      <c r="F255" s="470">
        <f>D255/E255</f>
        <v>2.438670066875195E-2</v>
      </c>
      <c r="G255" s="7"/>
      <c r="H255" s="7"/>
      <c r="I255" s="7"/>
      <c r="J255" s="7"/>
      <c r="N255" s="7"/>
      <c r="O255" s="7"/>
      <c r="P255" s="471"/>
      <c r="Q255" s="7"/>
      <c r="R255" s="7"/>
      <c r="S255" s="471"/>
      <c r="T255" s="7"/>
      <c r="U255" s="7"/>
      <c r="V255" s="469"/>
      <c r="W255" s="7"/>
      <c r="X255" s="7"/>
      <c r="Y255" s="7"/>
      <c r="Z255" s="7"/>
      <c r="AA255" s="7"/>
      <c r="AB255" s="7"/>
      <c r="AC255" s="7"/>
      <c r="AD255" s="7"/>
      <c r="AE255" s="7"/>
      <c r="AF255" s="7"/>
      <c r="AG255" s="7"/>
      <c r="AH255" s="7"/>
      <c r="AI255" s="7"/>
      <c r="AJ255" s="7"/>
      <c r="AK255" s="7"/>
      <c r="AL255" s="7"/>
      <c r="AM255" s="7"/>
      <c r="AN255" s="7"/>
      <c r="AO255" s="2"/>
      <c r="AP255" s="2"/>
      <c r="AQ255" s="2"/>
      <c r="AR255" s="2"/>
      <c r="AS255" s="2"/>
      <c r="AT255" s="2"/>
      <c r="AU255" s="2"/>
      <c r="AV255" s="2"/>
      <c r="AW255" s="2"/>
      <c r="AX255" s="2"/>
    </row>
    <row r="256" spans="1:50" x14ac:dyDescent="0.5">
      <c r="A256" s="8"/>
      <c r="B256" s="176"/>
      <c r="C256" s="472" t="s">
        <v>260</v>
      </c>
      <c r="D256" s="457" t="s">
        <v>259</v>
      </c>
      <c r="E256" s="165"/>
      <c r="F256" s="470" t="s">
        <v>53</v>
      </c>
      <c r="G256" s="7"/>
      <c r="H256" s="7"/>
      <c r="I256" s="7"/>
      <c r="J256" s="7"/>
      <c r="N256" s="7"/>
      <c r="O256" s="7"/>
      <c r="P256" s="471"/>
      <c r="Q256" s="7"/>
      <c r="R256" s="7"/>
      <c r="S256" s="471"/>
      <c r="T256" s="7"/>
      <c r="U256" s="7"/>
      <c r="V256" s="469"/>
      <c r="W256" s="7"/>
      <c r="X256" s="7"/>
      <c r="Y256" s="7"/>
      <c r="Z256" s="7"/>
      <c r="AA256" s="7"/>
      <c r="AB256" s="7"/>
      <c r="AC256" s="7"/>
      <c r="AD256" s="7"/>
      <c r="AE256" s="7"/>
      <c r="AF256" s="7"/>
      <c r="AG256" s="7"/>
      <c r="AH256" s="7"/>
      <c r="AI256" s="7"/>
      <c r="AJ256" s="7"/>
      <c r="AK256" s="7"/>
      <c r="AL256" s="7"/>
      <c r="AM256" s="7"/>
      <c r="AN256" s="7"/>
      <c r="AO256" s="2"/>
      <c r="AP256" s="2"/>
      <c r="AQ256" s="2"/>
      <c r="AR256" s="2"/>
      <c r="AS256" s="2"/>
      <c r="AT256" s="2"/>
      <c r="AU256" s="2"/>
      <c r="AV256" s="2"/>
      <c r="AW256" s="2"/>
      <c r="AX256" s="2"/>
    </row>
    <row r="257" spans="1:50" x14ac:dyDescent="0.5">
      <c r="A257" s="8"/>
      <c r="B257" s="176" t="s">
        <v>73</v>
      </c>
      <c r="C257" s="457">
        <v>4.75</v>
      </c>
      <c r="D257" s="165">
        <f>C257*$C$73/$C$74</f>
        <v>2.9687499999999999E-2</v>
      </c>
      <c r="E257" s="165">
        <f>$C$189</f>
        <v>0.99</v>
      </c>
      <c r="F257" s="470">
        <f>D257/E257</f>
        <v>2.9987373737373736E-2</v>
      </c>
      <c r="G257" s="7"/>
      <c r="H257" s="7"/>
      <c r="I257" s="7"/>
      <c r="J257" s="7"/>
      <c r="L257" s="48"/>
      <c r="N257" s="7"/>
      <c r="O257" s="7"/>
      <c r="P257" s="471"/>
      <c r="Q257" s="7"/>
      <c r="R257" s="7"/>
      <c r="S257" s="471"/>
      <c r="T257" s="7"/>
      <c r="U257" s="7"/>
      <c r="V257" s="469"/>
      <c r="W257" s="7"/>
      <c r="X257" s="7"/>
      <c r="Y257" s="7"/>
      <c r="Z257" s="7"/>
      <c r="AA257" s="7"/>
      <c r="AB257" s="7"/>
      <c r="AC257" s="7"/>
      <c r="AD257" s="7"/>
      <c r="AE257" s="7"/>
      <c r="AF257" s="7"/>
      <c r="AG257" s="7"/>
      <c r="AH257" s="7"/>
      <c r="AI257" s="7"/>
      <c r="AJ257" s="7"/>
      <c r="AK257" s="7"/>
      <c r="AL257" s="7"/>
      <c r="AM257" s="7"/>
      <c r="AN257" s="7"/>
      <c r="AO257" s="2"/>
      <c r="AP257" s="2"/>
      <c r="AQ257" s="2"/>
      <c r="AR257" s="2"/>
      <c r="AS257" s="2"/>
      <c r="AT257" s="2"/>
      <c r="AU257" s="2"/>
      <c r="AV257" s="2"/>
      <c r="AW257" s="2"/>
      <c r="AX257" s="2"/>
    </row>
    <row r="258" spans="1:50" x14ac:dyDescent="0.5">
      <c r="A258" s="8"/>
      <c r="B258" s="176" t="s">
        <v>70</v>
      </c>
      <c r="C258" s="457">
        <v>1.8</v>
      </c>
      <c r="D258" s="165">
        <f>C258*$C$73*2/$C$74</f>
        <v>2.2499999999999999E-2</v>
      </c>
      <c r="E258" s="165">
        <f>$C$189</f>
        <v>0.99</v>
      </c>
      <c r="F258" s="470">
        <f>D258/E258</f>
        <v>2.2727272727272728E-2</v>
      </c>
      <c r="G258" s="7"/>
      <c r="H258" s="7"/>
      <c r="I258" s="7"/>
      <c r="J258" s="7"/>
      <c r="L258" s="48"/>
      <c r="N258" s="7"/>
      <c r="O258" s="7"/>
      <c r="P258" s="471"/>
      <c r="Q258" s="7"/>
      <c r="R258" s="7"/>
      <c r="S258" s="471"/>
      <c r="T258" s="7"/>
      <c r="U258" s="7"/>
      <c r="V258" s="469"/>
      <c r="W258" s="7"/>
      <c r="X258" s="7"/>
      <c r="Y258" s="7"/>
      <c r="Z258" s="7"/>
      <c r="AA258" s="7"/>
      <c r="AB258" s="7"/>
      <c r="AC258" s="7"/>
      <c r="AD258" s="7"/>
      <c r="AE258" s="7"/>
      <c r="AF258" s="7"/>
      <c r="AG258" s="7"/>
      <c r="AH258" s="7"/>
      <c r="AI258" s="7"/>
      <c r="AJ258" s="7"/>
      <c r="AK258" s="7"/>
      <c r="AL258" s="7"/>
      <c r="AM258" s="7"/>
      <c r="AN258" s="7"/>
      <c r="AO258" s="2"/>
      <c r="AP258" s="2"/>
      <c r="AQ258" s="2"/>
      <c r="AR258" s="2"/>
      <c r="AS258" s="2"/>
      <c r="AT258" s="2"/>
      <c r="AU258" s="2"/>
      <c r="AV258" s="2"/>
      <c r="AW258" s="2"/>
      <c r="AX258" s="2"/>
    </row>
    <row r="259" spans="1:50" x14ac:dyDescent="0.5">
      <c r="A259" s="8"/>
      <c r="B259" s="176" t="s">
        <v>68</v>
      </c>
      <c r="C259" s="457">
        <v>5.6</v>
      </c>
      <c r="D259" s="165">
        <f>C259*$C$73/$C$74</f>
        <v>3.4999999999999996E-2</v>
      </c>
      <c r="E259" s="165">
        <f>$C$189</f>
        <v>0.99</v>
      </c>
      <c r="F259" s="470">
        <f>D259/E259</f>
        <v>3.5353535353535352E-2</v>
      </c>
      <c r="G259" s="7"/>
      <c r="H259" s="7"/>
      <c r="I259" s="7"/>
      <c r="J259" s="7"/>
      <c r="L259" s="48"/>
      <c r="N259" s="7"/>
      <c r="O259" s="7"/>
      <c r="P259" s="468"/>
      <c r="Q259" s="7"/>
      <c r="R259" s="7"/>
      <c r="S259" s="468"/>
      <c r="T259" s="7"/>
      <c r="U259" s="7"/>
      <c r="V259" s="469"/>
      <c r="W259" s="7"/>
      <c r="X259" s="7"/>
      <c r="Y259" s="7"/>
      <c r="Z259" s="7"/>
      <c r="AA259" s="7"/>
      <c r="AB259" s="7"/>
      <c r="AC259" s="7"/>
      <c r="AD259" s="7"/>
      <c r="AE259" s="7"/>
      <c r="AF259" s="7"/>
      <c r="AG259" s="7"/>
      <c r="AH259" s="7"/>
      <c r="AI259" s="7"/>
      <c r="AJ259" s="7"/>
      <c r="AK259" s="7"/>
      <c r="AL259" s="7"/>
      <c r="AM259" s="7"/>
      <c r="AN259" s="7"/>
      <c r="AO259" s="2"/>
      <c r="AP259" s="2"/>
      <c r="AQ259" s="2"/>
      <c r="AR259" s="2"/>
      <c r="AS259" s="2"/>
      <c r="AT259" s="2"/>
      <c r="AU259" s="2"/>
      <c r="AV259" s="2"/>
      <c r="AW259" s="2"/>
      <c r="AX259" s="2"/>
    </row>
    <row r="260" spans="1:50" x14ac:dyDescent="0.5">
      <c r="A260" s="8"/>
      <c r="B260" s="176"/>
      <c r="C260" s="472" t="s">
        <v>261</v>
      </c>
      <c r="D260" s="457" t="s">
        <v>259</v>
      </c>
      <c r="E260" s="457"/>
      <c r="F260" s="470" t="s">
        <v>53</v>
      </c>
      <c r="G260" s="7"/>
      <c r="H260" s="7"/>
      <c r="I260" s="7"/>
      <c r="J260" s="7"/>
      <c r="L260" s="48"/>
      <c r="N260" s="7"/>
      <c r="O260" s="7"/>
      <c r="P260" s="471"/>
      <c r="Q260" s="7"/>
      <c r="R260" s="7"/>
      <c r="S260" s="471"/>
      <c r="T260" s="7"/>
      <c r="U260" s="7"/>
      <c r="V260" s="469"/>
      <c r="W260" s="7"/>
      <c r="X260" s="7"/>
      <c r="Y260" s="7"/>
      <c r="Z260" s="7"/>
      <c r="AA260" s="7"/>
      <c r="AB260" s="7"/>
      <c r="AC260" s="7"/>
      <c r="AD260" s="7"/>
      <c r="AE260" s="7"/>
      <c r="AF260" s="7"/>
      <c r="AG260" s="7"/>
      <c r="AH260" s="7"/>
      <c r="AI260" s="7"/>
      <c r="AJ260" s="7"/>
      <c r="AK260" s="7"/>
      <c r="AL260" s="7"/>
      <c r="AM260" s="7"/>
      <c r="AN260" s="7"/>
      <c r="AO260" s="2"/>
      <c r="AP260" s="2"/>
      <c r="AQ260" s="2"/>
      <c r="AR260" s="2"/>
      <c r="AS260" s="2"/>
      <c r="AT260" s="2"/>
      <c r="AU260" s="2"/>
      <c r="AV260" s="2"/>
      <c r="AW260" s="2"/>
      <c r="AX260" s="2"/>
    </row>
    <row r="261" spans="1:50" x14ac:dyDescent="0.5">
      <c r="A261" s="8"/>
      <c r="B261" s="176" t="s">
        <v>262</v>
      </c>
      <c r="C261" s="457">
        <v>7.5</v>
      </c>
      <c r="D261" s="165">
        <f>C261/C74</f>
        <v>2.8571355193951348E-2</v>
      </c>
      <c r="E261" s="165">
        <f>$C$189</f>
        <v>0.99</v>
      </c>
      <c r="F261" s="470">
        <f>D261/E261</f>
        <v>2.8859954741364997E-2</v>
      </c>
      <c r="G261" s="7"/>
      <c r="H261" s="7"/>
      <c r="I261" s="7"/>
      <c r="J261" s="7"/>
      <c r="L261" s="48"/>
      <c r="N261" s="7"/>
      <c r="O261" s="7"/>
      <c r="P261" s="471"/>
      <c r="Q261" s="7"/>
      <c r="R261" s="7"/>
      <c r="S261" s="471"/>
      <c r="T261" s="7"/>
      <c r="U261" s="469"/>
      <c r="V261" s="469"/>
      <c r="W261" s="7"/>
      <c r="X261" s="7"/>
      <c r="Y261" s="7"/>
      <c r="Z261" s="22"/>
      <c r="AA261" s="22"/>
      <c r="AB261" s="22"/>
      <c r="AC261" s="22"/>
      <c r="AD261" s="22"/>
      <c r="AE261" s="22"/>
      <c r="AF261" s="22"/>
      <c r="AG261" s="22"/>
      <c r="AH261" s="22"/>
      <c r="AI261" s="22"/>
      <c r="AJ261" s="22"/>
      <c r="AK261" s="22"/>
      <c r="AL261" s="22"/>
      <c r="AM261" s="22"/>
      <c r="AN261" s="22"/>
    </row>
    <row r="262" spans="1:50" x14ac:dyDescent="0.5">
      <c r="A262" s="8"/>
      <c r="B262" s="473" t="s">
        <v>74</v>
      </c>
      <c r="C262" s="474">
        <f>5.8+0.35</f>
        <v>6.1499999999999995</v>
      </c>
      <c r="D262" s="475">
        <f>C262/C74</f>
        <v>2.3428511259040104E-2</v>
      </c>
      <c r="E262" s="475">
        <f>$C$189</f>
        <v>0.99</v>
      </c>
      <c r="F262" s="476">
        <f>D262/E262</f>
        <v>2.3665162887919297E-2</v>
      </c>
      <c r="G262" s="7"/>
      <c r="H262" s="7"/>
      <c r="I262" s="7"/>
      <c r="J262" s="7"/>
      <c r="L262" s="48"/>
      <c r="N262" s="7"/>
      <c r="O262" s="7"/>
      <c r="P262" s="471"/>
      <c r="Q262" s="7"/>
      <c r="R262" s="7"/>
      <c r="S262" s="471"/>
      <c r="T262" s="7"/>
      <c r="U262" s="469"/>
      <c r="V262" s="469"/>
      <c r="W262" s="7"/>
      <c r="X262" s="7"/>
      <c r="Y262" s="7"/>
      <c r="Z262" s="22"/>
      <c r="AA262" s="22"/>
      <c r="AB262" s="22"/>
      <c r="AC262" s="22"/>
      <c r="AD262" s="22"/>
      <c r="AE262" s="22"/>
      <c r="AF262" s="22"/>
      <c r="AG262" s="22"/>
      <c r="AH262" s="22"/>
      <c r="AI262" s="22"/>
      <c r="AJ262" s="22"/>
      <c r="AK262" s="22"/>
      <c r="AL262" s="22"/>
      <c r="AM262" s="22"/>
      <c r="AN262" s="22"/>
    </row>
    <row r="263" spans="1:50" x14ac:dyDescent="0.5">
      <c r="A263" s="8"/>
      <c r="N263" s="7"/>
      <c r="O263" s="7"/>
      <c r="P263" s="7"/>
      <c r="Q263" s="7"/>
      <c r="R263" s="7"/>
      <c r="S263" s="7"/>
      <c r="T263" s="7"/>
      <c r="U263" s="7"/>
      <c r="V263" s="7"/>
      <c r="W263" s="7"/>
      <c r="X263" s="7"/>
      <c r="Y263" s="7"/>
      <c r="Z263" s="22"/>
      <c r="AA263" s="22"/>
      <c r="AB263" s="22"/>
      <c r="AC263" s="22"/>
      <c r="AD263" s="22"/>
      <c r="AE263" s="22"/>
      <c r="AF263" s="22"/>
      <c r="AG263" s="22"/>
      <c r="AH263" s="22"/>
      <c r="AI263" s="22"/>
      <c r="AJ263" s="22"/>
      <c r="AK263" s="22"/>
      <c r="AL263" s="22"/>
      <c r="AM263" s="22"/>
      <c r="AN263" s="22"/>
    </row>
    <row r="264" spans="1:50" x14ac:dyDescent="0.5">
      <c r="A264" s="8"/>
      <c r="B264" s="477" t="s">
        <v>23</v>
      </c>
      <c r="C264" s="478"/>
      <c r="D264" s="479"/>
      <c r="N264" s="7"/>
      <c r="O264" s="7"/>
      <c r="P264" s="7"/>
      <c r="Q264" s="7"/>
      <c r="R264" s="7"/>
      <c r="S264" s="7"/>
      <c r="T264" s="7"/>
      <c r="U264" s="7"/>
      <c r="V264" s="7"/>
      <c r="W264" s="7"/>
      <c r="X264" s="7"/>
      <c r="Y264" s="7"/>
      <c r="Z264" s="22"/>
      <c r="AA264" s="22"/>
      <c r="AB264" s="22"/>
      <c r="AC264" s="22"/>
      <c r="AD264" s="22"/>
      <c r="AE264" s="22"/>
      <c r="AF264" s="22"/>
      <c r="AG264" s="22"/>
      <c r="AH264" s="22"/>
      <c r="AI264" s="22"/>
      <c r="AJ264" s="22"/>
      <c r="AK264" s="22"/>
      <c r="AL264" s="22"/>
      <c r="AM264" s="22"/>
      <c r="AN264" s="22"/>
    </row>
    <row r="265" spans="1:50" x14ac:dyDescent="0.5">
      <c r="A265" s="8"/>
      <c r="B265" s="179" t="s">
        <v>263</v>
      </c>
      <c r="C265" s="480">
        <f>280*504*$C$8/14.4</f>
        <v>156800</v>
      </c>
      <c r="D265" s="481" t="s">
        <v>264</v>
      </c>
      <c r="N265" s="7"/>
      <c r="O265" s="7"/>
      <c r="P265" s="7"/>
      <c r="Q265" s="7"/>
      <c r="R265" s="7"/>
      <c r="S265" s="7"/>
      <c r="T265" s="7"/>
      <c r="U265" s="7"/>
      <c r="V265" s="7"/>
      <c r="W265" s="7"/>
      <c r="X265" s="7"/>
      <c r="Y265" s="7"/>
      <c r="Z265" s="22"/>
      <c r="AA265" s="22"/>
      <c r="AB265" s="22"/>
      <c r="AC265" s="22"/>
      <c r="AD265" s="22"/>
      <c r="AE265" s="22"/>
      <c r="AF265" s="22"/>
      <c r="AG265" s="22"/>
      <c r="AH265" s="22"/>
      <c r="AI265" s="22"/>
      <c r="AJ265" s="22"/>
      <c r="AK265" s="22"/>
      <c r="AL265" s="22"/>
      <c r="AM265" s="22"/>
      <c r="AN265" s="22"/>
    </row>
    <row r="266" spans="1:50" x14ac:dyDescent="0.5">
      <c r="A266" s="8"/>
      <c r="B266" s="179" t="s">
        <v>23</v>
      </c>
      <c r="C266" s="482">
        <f>C19</f>
        <v>0</v>
      </c>
      <c r="D266" s="481" t="s">
        <v>24</v>
      </c>
      <c r="Z266" s="22"/>
      <c r="AA266" s="22"/>
      <c r="AB266" s="22"/>
      <c r="AC266" s="22"/>
      <c r="AD266" s="22"/>
      <c r="AE266" s="22"/>
      <c r="AF266" s="22"/>
      <c r="AG266" s="22"/>
      <c r="AH266" s="22"/>
      <c r="AI266" s="22"/>
      <c r="AJ266" s="22"/>
      <c r="AK266" s="22"/>
      <c r="AL266" s="22"/>
      <c r="AM266" s="22"/>
      <c r="AN266" s="22"/>
    </row>
    <row r="267" spans="1:50" x14ac:dyDescent="0.5">
      <c r="A267" s="8"/>
      <c r="B267" s="483" t="s">
        <v>265</v>
      </c>
      <c r="C267" s="484">
        <f>C266/C265</f>
        <v>0</v>
      </c>
      <c r="D267" s="485" t="s">
        <v>36</v>
      </c>
      <c r="Z267" s="22"/>
      <c r="AA267" s="22"/>
      <c r="AB267" s="22"/>
      <c r="AC267" s="22"/>
      <c r="AD267" s="22"/>
      <c r="AE267" s="22"/>
      <c r="AF267" s="22"/>
      <c r="AG267" s="22"/>
      <c r="AH267" s="22"/>
      <c r="AI267" s="22"/>
      <c r="AJ267" s="22"/>
      <c r="AK267" s="22"/>
      <c r="AL267" s="22"/>
      <c r="AM267" s="22"/>
      <c r="AN267" s="22"/>
    </row>
    <row r="268" spans="1:50" x14ac:dyDescent="0.5">
      <c r="A268" s="8"/>
      <c r="Z268" s="22"/>
      <c r="AA268" s="22"/>
      <c r="AB268" s="22"/>
      <c r="AC268" s="22"/>
      <c r="AD268" s="22"/>
      <c r="AE268" s="22"/>
      <c r="AF268" s="22"/>
      <c r="AG268" s="22"/>
      <c r="AH268" s="22"/>
      <c r="AI268" s="22"/>
      <c r="AJ268" s="22"/>
      <c r="AK268" s="22"/>
      <c r="AL268" s="22"/>
      <c r="AM268" s="22"/>
      <c r="AN268" s="22"/>
    </row>
    <row r="269" spans="1:50" s="229" customFormat="1" ht="28.5" x14ac:dyDescent="0.85">
      <c r="A269" s="227"/>
      <c r="B269" s="228" t="s">
        <v>266</v>
      </c>
      <c r="G269" s="230"/>
    </row>
    <row r="270" spans="1:50" x14ac:dyDescent="0.5">
      <c r="A270" s="8"/>
      <c r="N270" s="22"/>
      <c r="Z270" s="22"/>
      <c r="AA270" s="22"/>
      <c r="AB270" s="22"/>
      <c r="AC270" s="22"/>
      <c r="AD270" s="22"/>
      <c r="AE270" s="22"/>
      <c r="AF270" s="22"/>
      <c r="AG270" s="22"/>
      <c r="AH270" s="22"/>
      <c r="AI270" s="22"/>
      <c r="AJ270" s="22"/>
      <c r="AK270" s="22"/>
      <c r="AL270" s="22"/>
      <c r="AM270" s="22"/>
      <c r="AN270" s="22"/>
    </row>
    <row r="271" spans="1:50" x14ac:dyDescent="0.5">
      <c r="A271"/>
      <c r="B271" s="486" t="s">
        <v>38</v>
      </c>
      <c r="C271" s="487"/>
      <c r="D271" s="487"/>
      <c r="E271" s="487"/>
      <c r="F271" s="487"/>
      <c r="G271" s="487"/>
      <c r="H271" s="487"/>
      <c r="I271" s="487"/>
      <c r="J271" s="487"/>
      <c r="K271" s="487"/>
      <c r="L271" s="487"/>
      <c r="M271" s="487"/>
      <c r="N271" s="487"/>
      <c r="O271" s="487"/>
      <c r="P271" s="487"/>
      <c r="Q271" s="487"/>
      <c r="R271" s="487"/>
      <c r="S271" s="487"/>
      <c r="T271" s="487"/>
      <c r="U271" s="487"/>
      <c r="V271" s="487"/>
      <c r="W271" s="487"/>
      <c r="X271" s="488"/>
    </row>
    <row r="272" spans="1:50" x14ac:dyDescent="0.5">
      <c r="A272"/>
      <c r="B272" s="489" t="s">
        <v>267</v>
      </c>
      <c r="C272" s="490">
        <v>2000</v>
      </c>
      <c r="D272" s="491" t="s">
        <v>106</v>
      </c>
      <c r="E272" s="491"/>
      <c r="F272" s="491"/>
      <c r="G272" s="491"/>
      <c r="H272" s="491"/>
      <c r="I272" s="491"/>
      <c r="J272" s="491"/>
      <c r="K272" s="492"/>
      <c r="L272" s="491"/>
      <c r="M272" s="491"/>
      <c r="N272" s="491"/>
      <c r="O272" s="491"/>
      <c r="P272" s="491"/>
      <c r="Q272" s="491"/>
      <c r="R272" s="491"/>
      <c r="S272" s="491"/>
      <c r="T272" s="491"/>
      <c r="U272" s="491"/>
      <c r="V272" s="491"/>
      <c r="W272" s="491"/>
      <c r="X272" s="493"/>
    </row>
    <row r="273" spans="1:26" x14ac:dyDescent="0.5">
      <c r="A273"/>
      <c r="B273" s="489" t="s">
        <v>268</v>
      </c>
      <c r="C273" s="494">
        <f>SUM(C283,C312,C341,C370)</f>
        <v>0.85142316900896708</v>
      </c>
      <c r="D273" s="491" t="s">
        <v>36</v>
      </c>
      <c r="E273" s="491"/>
      <c r="F273" s="491"/>
      <c r="G273" s="491"/>
      <c r="H273" s="491"/>
      <c r="I273" s="491"/>
      <c r="J273" s="491"/>
      <c r="K273" s="492"/>
      <c r="L273" s="491"/>
      <c r="M273" s="491"/>
      <c r="N273" s="491"/>
      <c r="O273" s="491"/>
      <c r="P273" s="491"/>
      <c r="Q273" s="491"/>
      <c r="R273" s="491"/>
      <c r="S273" s="491"/>
      <c r="T273" s="491"/>
      <c r="U273" s="491"/>
      <c r="V273" s="491"/>
      <c r="W273" s="491"/>
      <c r="X273" s="493"/>
    </row>
    <row r="274" spans="1:26" x14ac:dyDescent="0.5">
      <c r="A274"/>
      <c r="B274" s="489" t="s">
        <v>269</v>
      </c>
      <c r="C274" s="495">
        <f>X305</f>
        <v>0.14000000000000012</v>
      </c>
      <c r="D274" s="491" t="s">
        <v>7</v>
      </c>
      <c r="E274" s="491"/>
      <c r="F274" s="491"/>
      <c r="G274" s="491"/>
      <c r="H274" s="491"/>
      <c r="I274" s="491"/>
      <c r="J274" s="491"/>
      <c r="K274" s="492"/>
      <c r="L274" s="491"/>
      <c r="M274" s="491"/>
      <c r="N274" s="491"/>
      <c r="O274" s="491"/>
      <c r="P274" s="491"/>
      <c r="Q274" s="491"/>
      <c r="R274" s="491"/>
      <c r="S274" s="491"/>
      <c r="T274" s="491"/>
      <c r="U274" s="491"/>
      <c r="V274" s="491"/>
      <c r="W274" s="491"/>
      <c r="X274" s="493"/>
    </row>
    <row r="275" spans="1:26" x14ac:dyDescent="0.5">
      <c r="A275" s="2"/>
      <c r="B275" s="489" t="s">
        <v>270</v>
      </c>
      <c r="C275" s="496">
        <f>-1*SUM(U283,U312,U341,U370)</f>
        <v>1475478465.5480161</v>
      </c>
      <c r="D275" s="491" t="s">
        <v>226</v>
      </c>
      <c r="E275" s="491"/>
      <c r="F275" s="491"/>
      <c r="G275" s="491"/>
      <c r="H275" s="491"/>
      <c r="I275" s="491"/>
      <c r="J275" s="491"/>
      <c r="K275" s="491"/>
      <c r="L275" s="491"/>
      <c r="M275" s="491"/>
      <c r="N275" s="491"/>
      <c r="O275" s="491"/>
      <c r="P275" s="491"/>
      <c r="Q275" s="491"/>
      <c r="R275" s="491"/>
      <c r="S275" s="491"/>
      <c r="T275" s="491"/>
      <c r="U275" s="491"/>
      <c r="V275" s="491"/>
      <c r="W275" s="491"/>
      <c r="X275" s="493"/>
    </row>
    <row r="276" spans="1:26" x14ac:dyDescent="0.5">
      <c r="A276"/>
      <c r="B276" s="489" t="s">
        <v>271</v>
      </c>
      <c r="C276" s="496">
        <f>SUM(T283,T312,T341,T370)</f>
        <v>314978365.34646529</v>
      </c>
      <c r="D276" s="495" t="s">
        <v>226</v>
      </c>
      <c r="E276" s="491"/>
      <c r="F276" s="491"/>
      <c r="G276" s="491"/>
      <c r="H276" s="491"/>
      <c r="I276" s="491"/>
      <c r="J276" s="491"/>
      <c r="K276" s="491"/>
      <c r="L276" s="491"/>
      <c r="M276" s="491"/>
      <c r="N276" s="491"/>
      <c r="O276" s="491"/>
      <c r="P276" s="491"/>
      <c r="Q276" s="491"/>
      <c r="R276" s="491"/>
      <c r="S276" s="491"/>
      <c r="T276" s="491"/>
      <c r="U276" s="491"/>
      <c r="V276" s="491"/>
      <c r="W276" s="491"/>
      <c r="X276" s="493"/>
    </row>
    <row r="277" spans="1:26" x14ac:dyDescent="0.5">
      <c r="A277"/>
      <c r="B277" s="497"/>
      <c r="C277" s="498"/>
      <c r="D277" s="499"/>
      <c r="E277" s="491"/>
      <c r="F277" s="500"/>
      <c r="G277" s="491"/>
      <c r="H277" s="491"/>
      <c r="I277" s="491"/>
      <c r="J277" s="491"/>
      <c r="K277" s="491"/>
      <c r="L277" s="491"/>
      <c r="M277" s="491"/>
      <c r="N277" s="491"/>
      <c r="O277" s="491"/>
      <c r="P277" s="491"/>
      <c r="Q277" s="491"/>
      <c r="R277" s="491"/>
      <c r="S277" s="491"/>
      <c r="T277" s="491"/>
      <c r="U277" s="491"/>
      <c r="V277" s="491"/>
      <c r="W277" s="491"/>
      <c r="X277" s="493"/>
      <c r="Y277" s="7"/>
      <c r="Z277" s="7"/>
    </row>
    <row r="278" spans="1:26" x14ac:dyDescent="0.5">
      <c r="A278"/>
      <c r="B278" s="497" t="s">
        <v>55</v>
      </c>
      <c r="C278" s="491"/>
      <c r="D278" s="499"/>
      <c r="E278" s="491"/>
      <c r="F278" s="500"/>
      <c r="G278" s="491"/>
      <c r="H278" s="491"/>
      <c r="I278" s="491"/>
      <c r="J278" s="491"/>
      <c r="K278" s="491"/>
      <c r="L278" s="491"/>
      <c r="M278" s="491"/>
      <c r="N278" s="491"/>
      <c r="O278" s="491"/>
      <c r="P278" s="491"/>
      <c r="Q278" s="491"/>
      <c r="R278" s="491"/>
      <c r="S278" s="491"/>
      <c r="T278" s="491"/>
      <c r="U278" s="491"/>
      <c r="V278" s="491"/>
      <c r="W278" s="491"/>
      <c r="X278" s="493"/>
      <c r="Y278" s="7"/>
      <c r="Z278" s="7"/>
    </row>
    <row r="279" spans="1:26" x14ac:dyDescent="0.5">
      <c r="A279"/>
      <c r="B279" s="489" t="s">
        <v>272</v>
      </c>
      <c r="C279" s="496">
        <f>H114*C272*1000000</f>
        <v>314115308.00397003</v>
      </c>
      <c r="D279" s="491" t="s">
        <v>226</v>
      </c>
      <c r="E279" s="491"/>
      <c r="F279" s="491"/>
      <c r="G279" s="491"/>
      <c r="H279" s="491"/>
      <c r="I279" s="491"/>
      <c r="J279" s="490"/>
      <c r="K279" s="491"/>
      <c r="L279" s="491"/>
      <c r="M279" s="491"/>
      <c r="N279" s="491"/>
      <c r="O279" s="491"/>
      <c r="P279" s="491"/>
      <c r="Q279" s="491"/>
      <c r="R279" s="491"/>
      <c r="S279" s="491"/>
      <c r="T279" s="491"/>
      <c r="U279" s="491"/>
      <c r="V279" s="491"/>
      <c r="W279" s="491"/>
      <c r="X279" s="493"/>
      <c r="Y279" s="7"/>
      <c r="Z279" s="7"/>
    </row>
    <row r="280" spans="1:26" x14ac:dyDescent="0.5">
      <c r="A280" s="2"/>
      <c r="B280" s="489" t="s">
        <v>273</v>
      </c>
      <c r="C280" s="496">
        <f>I114*C272*1000000</f>
        <v>40136956.022729486</v>
      </c>
      <c r="D280" s="491" t="s">
        <v>226</v>
      </c>
      <c r="E280" s="491"/>
      <c r="F280" s="491"/>
      <c r="G280" s="490"/>
      <c r="H280" s="491"/>
      <c r="I280" s="491"/>
      <c r="J280" s="491"/>
      <c r="K280" s="491"/>
      <c r="L280" s="491"/>
      <c r="M280" s="491"/>
      <c r="N280" s="491"/>
      <c r="O280" s="491"/>
      <c r="P280" s="491"/>
      <c r="Q280" s="491"/>
      <c r="R280" s="491"/>
      <c r="S280" s="491"/>
      <c r="T280" s="491"/>
      <c r="U280" s="491"/>
      <c r="V280" s="491"/>
      <c r="W280" s="491"/>
      <c r="X280" s="493"/>
      <c r="Y280" s="7"/>
      <c r="Z280" s="7"/>
    </row>
    <row r="281" spans="1:26" x14ac:dyDescent="0.5">
      <c r="A281" s="2"/>
      <c r="B281" s="489"/>
      <c r="C281" s="491"/>
      <c r="D281" s="499"/>
      <c r="E281" s="491"/>
      <c r="F281" s="500"/>
      <c r="G281" s="491"/>
      <c r="H281" s="491"/>
      <c r="I281" s="491"/>
      <c r="J281" s="491"/>
      <c r="K281" s="491"/>
      <c r="L281" s="491"/>
      <c r="M281" s="491"/>
      <c r="N281" s="491"/>
      <c r="O281" s="491"/>
      <c r="P281" s="491"/>
      <c r="Q281" s="491"/>
      <c r="R281" s="491"/>
      <c r="S281" s="491"/>
      <c r="T281" s="491"/>
      <c r="U281" s="491"/>
      <c r="V281" s="491"/>
      <c r="W281" s="491"/>
      <c r="X281" s="493"/>
      <c r="Y281" s="7"/>
      <c r="Z281" s="7"/>
    </row>
    <row r="282" spans="1:26" x14ac:dyDescent="0.5">
      <c r="A282" s="2"/>
      <c r="B282" s="501" t="s">
        <v>274</v>
      </c>
      <c r="C282" s="502" t="s">
        <v>275</v>
      </c>
      <c r="D282" s="503" t="s">
        <v>276</v>
      </c>
      <c r="E282" s="503" t="s">
        <v>277</v>
      </c>
      <c r="F282" s="503" t="s">
        <v>278</v>
      </c>
      <c r="G282" s="503" t="s">
        <v>279</v>
      </c>
      <c r="H282" s="503" t="s">
        <v>280</v>
      </c>
      <c r="I282" s="503" t="s">
        <v>281</v>
      </c>
      <c r="J282" s="503" t="s">
        <v>282</v>
      </c>
      <c r="K282" s="503" t="s">
        <v>283</v>
      </c>
      <c r="L282" s="503" t="s">
        <v>284</v>
      </c>
      <c r="M282" s="503" t="s">
        <v>285</v>
      </c>
      <c r="N282" s="503" t="s">
        <v>286</v>
      </c>
      <c r="O282" s="503" t="s">
        <v>287</v>
      </c>
      <c r="P282" s="503" t="s">
        <v>288</v>
      </c>
      <c r="Q282" s="503" t="s">
        <v>289</v>
      </c>
      <c r="R282" s="503" t="s">
        <v>290</v>
      </c>
      <c r="S282" s="503" t="s">
        <v>291</v>
      </c>
      <c r="T282" s="503" t="s">
        <v>292</v>
      </c>
      <c r="U282" s="491" t="s">
        <v>293</v>
      </c>
      <c r="V282" s="503" t="s">
        <v>294</v>
      </c>
      <c r="W282" s="503" t="s">
        <v>295</v>
      </c>
      <c r="X282" s="504" t="s">
        <v>296</v>
      </c>
      <c r="Y282" s="7"/>
      <c r="Z282" s="7"/>
    </row>
    <row r="283" spans="1:26" x14ac:dyDescent="0.5">
      <c r="A283" s="2"/>
      <c r="B283" s="505">
        <v>0</v>
      </c>
      <c r="C283" s="494">
        <v>0.23684714283674932</v>
      </c>
      <c r="D283" s="506">
        <v>0</v>
      </c>
      <c r="E283" s="507">
        <f>I61</f>
        <v>0.156903272420576</v>
      </c>
      <c r="F283" s="506">
        <v>0</v>
      </c>
      <c r="G283" s="491">
        <v>0</v>
      </c>
      <c r="H283" s="508">
        <f t="shared" ref="H283:H303" si="30">IF(D283&gt;0,-1*G283*$C$279,0)</f>
        <v>0</v>
      </c>
      <c r="I283" s="508">
        <v>0</v>
      </c>
      <c r="J283" s="508">
        <v>0</v>
      </c>
      <c r="K283" s="509">
        <f t="shared" ref="K283:K303" si="31">D283+F283+H283+J283</f>
        <v>0</v>
      </c>
      <c r="L283" s="506">
        <f t="shared" ref="L283:L303" si="32">IF(F283&lt;&gt;0,-1*($C$25+$C$26)*D283,0)</f>
        <v>0</v>
      </c>
      <c r="M283" s="506">
        <f t="shared" ref="M283:M303" si="33">K283+L283</f>
        <v>0</v>
      </c>
      <c r="N283" s="508">
        <f t="shared" ref="N283:N303" si="34">IF(V283&gt;0,V283-W283,0)</f>
        <v>0</v>
      </c>
      <c r="O283" s="490">
        <v>0</v>
      </c>
      <c r="P283" s="490">
        <v>0</v>
      </c>
      <c r="Q283" s="490">
        <v>0</v>
      </c>
      <c r="R283" s="508">
        <f>IF(M283&gt;0,-1*(M283+N283)*$C$24,0)</f>
        <v>0</v>
      </c>
      <c r="S283" s="506">
        <f t="shared" ref="S283:S303" si="35">IF(B283=$C$97,0,$C$27/12*(-1*F284-L284))</f>
        <v>90886111.20921734</v>
      </c>
      <c r="T283" s="506">
        <f>S283</f>
        <v>90886111.20921734</v>
      </c>
      <c r="U283" s="506">
        <f>-1*(C279+C280)</f>
        <v>-354252264.02669954</v>
      </c>
      <c r="V283" s="508">
        <v>0</v>
      </c>
      <c r="W283" s="490">
        <f>IF(B283&gt;$C$97,0,$C$280+SUM($J$283:J283))</f>
        <v>40136956.022729486</v>
      </c>
      <c r="X283" s="510">
        <f>-T283+U283</f>
        <v>-445138375.23591685</v>
      </c>
      <c r="Y283" s="7"/>
      <c r="Z283" s="7"/>
    </row>
    <row r="284" spans="1:26" x14ac:dyDescent="0.5">
      <c r="A284" s="2"/>
      <c r="B284" s="489">
        <v>1</v>
      </c>
      <c r="C284" s="511">
        <f t="shared" ref="C284:C303" si="36">IF(B284&gt;$C$97,0,$C$283*(1+$C$22)^B284)</f>
        <v>0.23684714283674932</v>
      </c>
      <c r="D284" s="508">
        <f t="shared" ref="D284:D303" si="37">C284*$C$272*1000000</f>
        <v>473694285.67349863</v>
      </c>
      <c r="E284" s="511">
        <f t="shared" ref="E284:E303" si="38">IF(B284&gt;$C$97,0,$E$283*(1+$C$23)^B284)</f>
        <v>0.156903272420576</v>
      </c>
      <c r="F284" s="508">
        <f t="shared" ref="F284:F303" si="39">-1*E284*$C$272*1000000</f>
        <v>-313806544.84115201</v>
      </c>
      <c r="G284" s="491">
        <v>0.1429</v>
      </c>
      <c r="H284" s="508">
        <f t="shared" si="30"/>
        <v>-44887077.513767317</v>
      </c>
      <c r="I284" s="491">
        <v>1.391E-2</v>
      </c>
      <c r="J284" s="508">
        <f t="shared" ref="J284:J303" si="40">IF(D284&gt;0,-1*$C$280*I284,0)</f>
        <v>-558305.05827616714</v>
      </c>
      <c r="K284" s="512">
        <f t="shared" si="31"/>
        <v>114442358.26030314</v>
      </c>
      <c r="L284" s="508">
        <f t="shared" si="32"/>
        <v>-49737899.995717354</v>
      </c>
      <c r="M284" s="508">
        <f t="shared" si="33"/>
        <v>64704458.264585786</v>
      </c>
      <c r="N284" s="508">
        <f t="shared" si="34"/>
        <v>0</v>
      </c>
      <c r="O284" s="490">
        <f t="shared" ref="O284:O303" si="41">IF(M284&lt;0,M284*-1,0)</f>
        <v>0</v>
      </c>
      <c r="P284" s="490">
        <f t="shared" ref="P284:P303" si="42">P283+O284-Q284</f>
        <v>0</v>
      </c>
      <c r="Q284" s="490">
        <f t="shared" ref="Q284:Q303" si="43">IF(B284=$C$97+1,O284,IF(AND(M284&gt;0,P283&gt;0),MIN(M284,P283),0))</f>
        <v>0</v>
      </c>
      <c r="R284" s="508">
        <f t="shared" ref="R284:R303" si="44">IF(M284&gt;0,-1*(M284+N284-Q284)*$C$24,0)</f>
        <v>-18052543.855819434</v>
      </c>
      <c r="S284" s="508">
        <f t="shared" si="35"/>
        <v>90886111.20921734</v>
      </c>
      <c r="T284" s="508">
        <f t="shared" ref="T284:T303" si="45">(S284-S283)</f>
        <v>0</v>
      </c>
      <c r="U284" s="508"/>
      <c r="V284" s="508">
        <f t="shared" ref="V284:V303" si="46">IF(B284=$C$97,$C$280*(1-1/$C$101*B284),0)</f>
        <v>0</v>
      </c>
      <c r="W284" s="490">
        <f>IF(B284&gt;$C$97,0,$C$280+SUM($J$283:J284))</f>
        <v>39578650.964453317</v>
      </c>
      <c r="X284" s="513">
        <f t="shared" ref="X284:X303" si="47">M284+R284-1*(H284+J284)-T284+U284+V284</f>
        <v>92097296.980809838</v>
      </c>
      <c r="Y284" s="7"/>
      <c r="Z284" s="7"/>
    </row>
    <row r="285" spans="1:26" x14ac:dyDescent="0.5">
      <c r="A285" s="2"/>
      <c r="B285" s="489">
        <v>2</v>
      </c>
      <c r="C285" s="511">
        <f t="shared" si="36"/>
        <v>0.23684714283674932</v>
      </c>
      <c r="D285" s="508">
        <f t="shared" si="37"/>
        <v>473694285.67349863</v>
      </c>
      <c r="E285" s="511">
        <f t="shared" si="38"/>
        <v>0.156903272420576</v>
      </c>
      <c r="F285" s="508">
        <f t="shared" si="39"/>
        <v>-313806544.84115201</v>
      </c>
      <c r="G285" s="491">
        <v>0.24490000000000001</v>
      </c>
      <c r="H285" s="508">
        <f t="shared" si="30"/>
        <v>-76926838.930172265</v>
      </c>
      <c r="I285" s="491">
        <v>2.564E-2</v>
      </c>
      <c r="J285" s="508">
        <f t="shared" si="40"/>
        <v>-1029111.552422784</v>
      </c>
      <c r="K285" s="512">
        <f t="shared" si="31"/>
        <v>81931790.349751577</v>
      </c>
      <c r="L285" s="508">
        <f t="shared" si="32"/>
        <v>-49737899.995717354</v>
      </c>
      <c r="M285" s="508">
        <f t="shared" si="33"/>
        <v>32193890.354034223</v>
      </c>
      <c r="N285" s="508">
        <f t="shared" si="34"/>
        <v>0</v>
      </c>
      <c r="O285" s="490">
        <f t="shared" si="41"/>
        <v>0</v>
      </c>
      <c r="P285" s="490">
        <f t="shared" si="42"/>
        <v>0</v>
      </c>
      <c r="Q285" s="490">
        <f t="shared" si="43"/>
        <v>0</v>
      </c>
      <c r="R285" s="508">
        <f t="shared" si="44"/>
        <v>-8982095.4087755475</v>
      </c>
      <c r="S285" s="508">
        <f t="shared" si="35"/>
        <v>90886111.20921734</v>
      </c>
      <c r="T285" s="508">
        <f t="shared" si="45"/>
        <v>0</v>
      </c>
      <c r="U285" s="508"/>
      <c r="V285" s="508">
        <f t="shared" si="46"/>
        <v>0</v>
      </c>
      <c r="W285" s="490">
        <f>IF(B285&gt;$C$97,0,$C$280+SUM($J$283:J285))</f>
        <v>38549539.412030533</v>
      </c>
      <c r="X285" s="513">
        <f t="shared" si="47"/>
        <v>101167745.42785372</v>
      </c>
      <c r="Y285" s="7"/>
      <c r="Z285" s="7"/>
    </row>
    <row r="286" spans="1:26" x14ac:dyDescent="0.5">
      <c r="A286" s="2"/>
      <c r="B286" s="489">
        <v>3</v>
      </c>
      <c r="C286" s="511">
        <f t="shared" si="36"/>
        <v>0.23684714283674932</v>
      </c>
      <c r="D286" s="508">
        <f t="shared" si="37"/>
        <v>473694285.67349863</v>
      </c>
      <c r="E286" s="511">
        <f t="shared" si="38"/>
        <v>0.156903272420576</v>
      </c>
      <c r="F286" s="508">
        <f t="shared" si="39"/>
        <v>-313806544.84115201</v>
      </c>
      <c r="G286" s="491">
        <v>0.1749</v>
      </c>
      <c r="H286" s="508">
        <f t="shared" si="30"/>
        <v>-54938767.369894356</v>
      </c>
      <c r="I286" s="491">
        <v>2.564E-2</v>
      </c>
      <c r="J286" s="508">
        <f t="shared" si="40"/>
        <v>-1029111.552422784</v>
      </c>
      <c r="K286" s="512">
        <f t="shared" si="31"/>
        <v>103919861.91002949</v>
      </c>
      <c r="L286" s="508">
        <f t="shared" si="32"/>
        <v>-49737899.995717354</v>
      </c>
      <c r="M286" s="508">
        <f t="shared" si="33"/>
        <v>54181961.914312132</v>
      </c>
      <c r="N286" s="508">
        <f t="shared" si="34"/>
        <v>0</v>
      </c>
      <c r="O286" s="490">
        <f t="shared" si="41"/>
        <v>0</v>
      </c>
      <c r="P286" s="490">
        <f t="shared" si="42"/>
        <v>0</v>
      </c>
      <c r="Q286" s="490">
        <f t="shared" si="43"/>
        <v>0</v>
      </c>
      <c r="R286" s="508">
        <f t="shared" si="44"/>
        <v>-15116767.374093084</v>
      </c>
      <c r="S286" s="508">
        <f t="shared" si="35"/>
        <v>90886111.20921734</v>
      </c>
      <c r="T286" s="508">
        <f t="shared" si="45"/>
        <v>0</v>
      </c>
      <c r="U286" s="508"/>
      <c r="V286" s="508">
        <f t="shared" si="46"/>
        <v>0</v>
      </c>
      <c r="W286" s="490">
        <f>IF(B286&gt;$C$97,0,$C$280+SUM($J$283:J286))</f>
        <v>37520427.859607749</v>
      </c>
      <c r="X286" s="513">
        <f t="shared" si="47"/>
        <v>95033073.462536186</v>
      </c>
      <c r="Y286" s="7"/>
      <c r="Z286" s="7"/>
    </row>
    <row r="287" spans="1:26" x14ac:dyDescent="0.5">
      <c r="A287" s="2"/>
      <c r="B287" s="489">
        <v>4</v>
      </c>
      <c r="C287" s="511">
        <f t="shared" si="36"/>
        <v>0.23684714283674932</v>
      </c>
      <c r="D287" s="508">
        <f t="shared" si="37"/>
        <v>473694285.67349863</v>
      </c>
      <c r="E287" s="511">
        <f t="shared" si="38"/>
        <v>0.156903272420576</v>
      </c>
      <c r="F287" s="508">
        <f t="shared" si="39"/>
        <v>-313806544.84115201</v>
      </c>
      <c r="G287" s="491">
        <v>0.1249</v>
      </c>
      <c r="H287" s="508">
        <f t="shared" si="30"/>
        <v>-39233001.969695859</v>
      </c>
      <c r="I287" s="491">
        <v>2.564E-2</v>
      </c>
      <c r="J287" s="508">
        <f t="shared" si="40"/>
        <v>-1029111.552422784</v>
      </c>
      <c r="K287" s="512">
        <f t="shared" si="31"/>
        <v>119625627.31022798</v>
      </c>
      <c r="L287" s="508">
        <f t="shared" si="32"/>
        <v>-49737899.995717354</v>
      </c>
      <c r="M287" s="508">
        <f t="shared" si="33"/>
        <v>69887727.314510614</v>
      </c>
      <c r="N287" s="508">
        <f t="shared" si="34"/>
        <v>0</v>
      </c>
      <c r="O287" s="490">
        <f t="shared" si="41"/>
        <v>0</v>
      </c>
      <c r="P287" s="490">
        <f t="shared" si="42"/>
        <v>0</v>
      </c>
      <c r="Q287" s="490">
        <f t="shared" si="43"/>
        <v>0</v>
      </c>
      <c r="R287" s="508">
        <f t="shared" si="44"/>
        <v>-19498675.920748457</v>
      </c>
      <c r="S287" s="508">
        <f t="shared" si="35"/>
        <v>90886111.20921734</v>
      </c>
      <c r="T287" s="508">
        <f t="shared" si="45"/>
        <v>0</v>
      </c>
      <c r="U287" s="508"/>
      <c r="V287" s="508">
        <f t="shared" si="46"/>
        <v>0</v>
      </c>
      <c r="W287" s="490">
        <f>IF(B287&gt;$C$97,0,$C$280+SUM($J$283:J287))</f>
        <v>36491316.307184964</v>
      </c>
      <c r="X287" s="513">
        <f t="shared" si="47"/>
        <v>90651164.915880799</v>
      </c>
      <c r="Y287" s="7"/>
      <c r="Z287" s="7"/>
    </row>
    <row r="288" spans="1:26" x14ac:dyDescent="0.5">
      <c r="A288" s="2"/>
      <c r="B288" s="489">
        <v>5</v>
      </c>
      <c r="C288" s="511">
        <f t="shared" si="36"/>
        <v>0.23684714283674932</v>
      </c>
      <c r="D288" s="508">
        <f t="shared" si="37"/>
        <v>473694285.67349863</v>
      </c>
      <c r="E288" s="511">
        <f t="shared" si="38"/>
        <v>0.156903272420576</v>
      </c>
      <c r="F288" s="508">
        <f t="shared" si="39"/>
        <v>-313806544.84115201</v>
      </c>
      <c r="G288" s="491">
        <v>8.9300000000000004E-2</v>
      </c>
      <c r="H288" s="508">
        <f t="shared" si="30"/>
        <v>-28050497.004754525</v>
      </c>
      <c r="I288" s="491">
        <v>2.564E-2</v>
      </c>
      <c r="J288" s="508">
        <f t="shared" si="40"/>
        <v>-1029111.552422784</v>
      </c>
      <c r="K288" s="512">
        <f t="shared" si="31"/>
        <v>130808132.27516931</v>
      </c>
      <c r="L288" s="508">
        <f t="shared" si="32"/>
        <v>-49737899.995717354</v>
      </c>
      <c r="M288" s="508">
        <f t="shared" si="33"/>
        <v>81070232.279451966</v>
      </c>
      <c r="N288" s="508">
        <f t="shared" si="34"/>
        <v>0</v>
      </c>
      <c r="O288" s="490">
        <f t="shared" si="41"/>
        <v>0</v>
      </c>
      <c r="P288" s="490">
        <f t="shared" si="42"/>
        <v>0</v>
      </c>
      <c r="Q288" s="490">
        <f t="shared" si="43"/>
        <v>0</v>
      </c>
      <c r="R288" s="508">
        <f t="shared" si="44"/>
        <v>-22618594.805967096</v>
      </c>
      <c r="S288" s="508">
        <f t="shared" si="35"/>
        <v>90886111.20921734</v>
      </c>
      <c r="T288" s="508">
        <f t="shared" si="45"/>
        <v>0</v>
      </c>
      <c r="U288" s="508"/>
      <c r="V288" s="508">
        <f t="shared" si="46"/>
        <v>0</v>
      </c>
      <c r="W288" s="490">
        <f>IF(B288&gt;$C$97,0,$C$280+SUM($J$283:J288))</f>
        <v>35462204.75476218</v>
      </c>
      <c r="X288" s="513">
        <f t="shared" si="47"/>
        <v>87531246.030662179</v>
      </c>
      <c r="Y288" s="7"/>
      <c r="Z288" s="7"/>
    </row>
    <row r="289" spans="1:26" x14ac:dyDescent="0.5">
      <c r="A289" s="2"/>
      <c r="B289" s="489">
        <v>6</v>
      </c>
      <c r="C289" s="511">
        <f t="shared" si="36"/>
        <v>0.23684714283674932</v>
      </c>
      <c r="D289" s="508">
        <f t="shared" si="37"/>
        <v>473694285.67349863</v>
      </c>
      <c r="E289" s="511">
        <f t="shared" si="38"/>
        <v>0.156903272420576</v>
      </c>
      <c r="F289" s="508">
        <f t="shared" si="39"/>
        <v>-313806544.84115201</v>
      </c>
      <c r="G289" s="491">
        <v>8.9200000000000002E-2</v>
      </c>
      <c r="H289" s="508">
        <f t="shared" si="30"/>
        <v>-28019085.473954126</v>
      </c>
      <c r="I289" s="491">
        <v>2.564E-2</v>
      </c>
      <c r="J289" s="508">
        <f t="shared" si="40"/>
        <v>-1029111.552422784</v>
      </c>
      <c r="K289" s="512">
        <f t="shared" si="31"/>
        <v>130839543.80596972</v>
      </c>
      <c r="L289" s="508">
        <f t="shared" si="32"/>
        <v>-49737899.995717354</v>
      </c>
      <c r="M289" s="508">
        <f t="shared" si="33"/>
        <v>81101643.810252368</v>
      </c>
      <c r="N289" s="508">
        <f t="shared" si="34"/>
        <v>0</v>
      </c>
      <c r="O289" s="490">
        <f t="shared" si="41"/>
        <v>0</v>
      </c>
      <c r="P289" s="490">
        <f t="shared" si="42"/>
        <v>0</v>
      </c>
      <c r="Q289" s="490">
        <f t="shared" si="43"/>
        <v>0</v>
      </c>
      <c r="R289" s="508">
        <f t="shared" si="44"/>
        <v>-22627358.623060409</v>
      </c>
      <c r="S289" s="508">
        <f t="shared" si="35"/>
        <v>90886111.20921734</v>
      </c>
      <c r="T289" s="508">
        <f t="shared" si="45"/>
        <v>0</v>
      </c>
      <c r="U289" s="508"/>
      <c r="V289" s="508">
        <f t="shared" si="46"/>
        <v>0</v>
      </c>
      <c r="W289" s="490">
        <f>IF(B289&gt;$C$97,0,$C$280+SUM($J$283:J289))</f>
        <v>34433093.202339396</v>
      </c>
      <c r="X289" s="513">
        <f t="shared" si="47"/>
        <v>87522482.213568866</v>
      </c>
      <c r="Y289" s="7"/>
      <c r="Z289" s="7"/>
    </row>
    <row r="290" spans="1:26" x14ac:dyDescent="0.5">
      <c r="A290" s="2"/>
      <c r="B290" s="489">
        <v>7</v>
      </c>
      <c r="C290" s="511">
        <f t="shared" si="36"/>
        <v>0.23684714283674932</v>
      </c>
      <c r="D290" s="508">
        <f t="shared" si="37"/>
        <v>473694285.67349863</v>
      </c>
      <c r="E290" s="511">
        <f t="shared" si="38"/>
        <v>0.156903272420576</v>
      </c>
      <c r="F290" s="508">
        <f t="shared" si="39"/>
        <v>-313806544.84115201</v>
      </c>
      <c r="G290" s="491">
        <v>8.9300000000000004E-2</v>
      </c>
      <c r="H290" s="508">
        <f t="shared" si="30"/>
        <v>-28050497.004754525</v>
      </c>
      <c r="I290" s="491">
        <v>2.564E-2</v>
      </c>
      <c r="J290" s="508">
        <f t="shared" si="40"/>
        <v>-1029111.552422784</v>
      </c>
      <c r="K290" s="512">
        <f t="shared" si="31"/>
        <v>130808132.27516931</v>
      </c>
      <c r="L290" s="508">
        <f t="shared" si="32"/>
        <v>-49737899.995717354</v>
      </c>
      <c r="M290" s="508">
        <f t="shared" si="33"/>
        <v>81070232.279451966</v>
      </c>
      <c r="N290" s="508">
        <f t="shared" si="34"/>
        <v>-4505373.313551385</v>
      </c>
      <c r="O290" s="490">
        <f t="shared" si="41"/>
        <v>0</v>
      </c>
      <c r="P290" s="490">
        <f t="shared" si="42"/>
        <v>0</v>
      </c>
      <c r="Q290" s="490">
        <f t="shared" si="43"/>
        <v>0</v>
      </c>
      <c r="R290" s="508">
        <f t="shared" si="44"/>
        <v>-21361595.651486263</v>
      </c>
      <c r="S290" s="508">
        <f t="shared" si="35"/>
        <v>0</v>
      </c>
      <c r="T290" s="508">
        <f t="shared" si="45"/>
        <v>-90886111.20921734</v>
      </c>
      <c r="U290" s="508"/>
      <c r="V290" s="508">
        <f t="shared" si="46"/>
        <v>28898608.33636523</v>
      </c>
      <c r="W290" s="490">
        <f>IF(B290&gt;$C$97,0,$C$280+SUM($J$283:J290))</f>
        <v>33403981.649916615</v>
      </c>
      <c r="X290" s="513">
        <f t="shared" si="47"/>
        <v>208572964.73072559</v>
      </c>
      <c r="Y290" s="7"/>
      <c r="Z290" s="7"/>
    </row>
    <row r="291" spans="1:26" x14ac:dyDescent="0.5">
      <c r="A291" s="2"/>
      <c r="B291" s="489">
        <v>8</v>
      </c>
      <c r="C291" s="511">
        <f t="shared" si="36"/>
        <v>0</v>
      </c>
      <c r="D291" s="508">
        <f t="shared" si="37"/>
        <v>0</v>
      </c>
      <c r="E291" s="511">
        <f t="shared" si="38"/>
        <v>0</v>
      </c>
      <c r="F291" s="508">
        <f t="shared" si="39"/>
        <v>0</v>
      </c>
      <c r="G291" s="491">
        <v>4.4600000000000001E-2</v>
      </c>
      <c r="H291" s="508">
        <f t="shared" si="30"/>
        <v>0</v>
      </c>
      <c r="I291" s="491">
        <v>2.564E-2</v>
      </c>
      <c r="J291" s="508">
        <f t="shared" si="40"/>
        <v>0</v>
      </c>
      <c r="K291" s="512">
        <f t="shared" si="31"/>
        <v>0</v>
      </c>
      <c r="L291" s="508">
        <f t="shared" si="32"/>
        <v>0</v>
      </c>
      <c r="M291" s="508">
        <f t="shared" si="33"/>
        <v>0</v>
      </c>
      <c r="N291" s="508">
        <f t="shared" si="34"/>
        <v>0</v>
      </c>
      <c r="O291" s="490">
        <f t="shared" si="41"/>
        <v>0</v>
      </c>
      <c r="P291" s="490">
        <f t="shared" si="42"/>
        <v>0</v>
      </c>
      <c r="Q291" s="490">
        <f t="shared" si="43"/>
        <v>0</v>
      </c>
      <c r="R291" s="508">
        <f t="shared" si="44"/>
        <v>0</v>
      </c>
      <c r="S291" s="508">
        <f t="shared" si="35"/>
        <v>0</v>
      </c>
      <c r="T291" s="508">
        <f t="shared" si="45"/>
        <v>0</v>
      </c>
      <c r="U291" s="508"/>
      <c r="V291" s="508">
        <f t="shared" si="46"/>
        <v>0</v>
      </c>
      <c r="W291" s="490">
        <f>IF(B291&gt;$C$97,0,$C$280+SUM($J$283:J291))</f>
        <v>0</v>
      </c>
      <c r="X291" s="513">
        <f t="shared" si="47"/>
        <v>0</v>
      </c>
      <c r="Y291" s="7"/>
      <c r="Z291" s="7"/>
    </row>
    <row r="292" spans="1:26" x14ac:dyDescent="0.5">
      <c r="A292" s="2"/>
      <c r="B292" s="489">
        <v>9</v>
      </c>
      <c r="C292" s="511">
        <f t="shared" si="36"/>
        <v>0</v>
      </c>
      <c r="D292" s="508">
        <f t="shared" si="37"/>
        <v>0</v>
      </c>
      <c r="E292" s="511">
        <f t="shared" si="38"/>
        <v>0</v>
      </c>
      <c r="F292" s="508">
        <f t="shared" si="39"/>
        <v>0</v>
      </c>
      <c r="G292" s="491">
        <v>0</v>
      </c>
      <c r="H292" s="508">
        <f t="shared" si="30"/>
        <v>0</v>
      </c>
      <c r="I292" s="491">
        <v>2.564E-2</v>
      </c>
      <c r="J292" s="508">
        <f t="shared" si="40"/>
        <v>0</v>
      </c>
      <c r="K292" s="512">
        <f t="shared" si="31"/>
        <v>0</v>
      </c>
      <c r="L292" s="508">
        <f t="shared" si="32"/>
        <v>0</v>
      </c>
      <c r="M292" s="508">
        <f t="shared" si="33"/>
        <v>0</v>
      </c>
      <c r="N292" s="508">
        <f t="shared" si="34"/>
        <v>0</v>
      </c>
      <c r="O292" s="490">
        <f t="shared" si="41"/>
        <v>0</v>
      </c>
      <c r="P292" s="490">
        <f t="shared" si="42"/>
        <v>0</v>
      </c>
      <c r="Q292" s="490">
        <f t="shared" si="43"/>
        <v>0</v>
      </c>
      <c r="R292" s="508">
        <f t="shared" si="44"/>
        <v>0</v>
      </c>
      <c r="S292" s="508">
        <f t="shared" si="35"/>
        <v>0</v>
      </c>
      <c r="T292" s="508">
        <f t="shared" si="45"/>
        <v>0</v>
      </c>
      <c r="U292" s="508"/>
      <c r="V292" s="508">
        <f t="shared" si="46"/>
        <v>0</v>
      </c>
      <c r="W292" s="490">
        <f>IF(B292&gt;$C$97,0,$C$280+SUM($J$283:J292))</f>
        <v>0</v>
      </c>
      <c r="X292" s="513">
        <f t="shared" si="47"/>
        <v>0</v>
      </c>
      <c r="Y292" s="7"/>
      <c r="Z292" s="7"/>
    </row>
    <row r="293" spans="1:26" x14ac:dyDescent="0.5">
      <c r="A293" s="2"/>
      <c r="B293" s="489">
        <v>10</v>
      </c>
      <c r="C293" s="511">
        <f t="shared" si="36"/>
        <v>0</v>
      </c>
      <c r="D293" s="508">
        <f t="shared" si="37"/>
        <v>0</v>
      </c>
      <c r="E293" s="511">
        <f t="shared" si="38"/>
        <v>0</v>
      </c>
      <c r="F293" s="508">
        <f t="shared" si="39"/>
        <v>0</v>
      </c>
      <c r="G293" s="491">
        <v>0</v>
      </c>
      <c r="H293" s="508">
        <f t="shared" si="30"/>
        <v>0</v>
      </c>
      <c r="I293" s="491">
        <v>2.564E-2</v>
      </c>
      <c r="J293" s="508">
        <f t="shared" si="40"/>
        <v>0</v>
      </c>
      <c r="K293" s="512">
        <f t="shared" si="31"/>
        <v>0</v>
      </c>
      <c r="L293" s="508">
        <f t="shared" si="32"/>
        <v>0</v>
      </c>
      <c r="M293" s="508">
        <f t="shared" si="33"/>
        <v>0</v>
      </c>
      <c r="N293" s="508">
        <f t="shared" si="34"/>
        <v>0</v>
      </c>
      <c r="O293" s="490">
        <f t="shared" si="41"/>
        <v>0</v>
      </c>
      <c r="P293" s="490">
        <f t="shared" si="42"/>
        <v>0</v>
      </c>
      <c r="Q293" s="490">
        <f t="shared" si="43"/>
        <v>0</v>
      </c>
      <c r="R293" s="508">
        <f t="shared" si="44"/>
        <v>0</v>
      </c>
      <c r="S293" s="508">
        <f t="shared" si="35"/>
        <v>0</v>
      </c>
      <c r="T293" s="508">
        <f t="shared" si="45"/>
        <v>0</v>
      </c>
      <c r="U293" s="508"/>
      <c r="V293" s="508">
        <f t="shared" si="46"/>
        <v>0</v>
      </c>
      <c r="W293" s="490">
        <f>IF(B293&gt;$C$97,0,$C$280+SUM($J$283:J293))</f>
        <v>0</v>
      </c>
      <c r="X293" s="513">
        <f t="shared" si="47"/>
        <v>0</v>
      </c>
      <c r="Y293" s="7"/>
      <c r="Z293" s="7"/>
    </row>
    <row r="294" spans="1:26" x14ac:dyDescent="0.5">
      <c r="A294" s="2"/>
      <c r="B294" s="489">
        <v>11</v>
      </c>
      <c r="C294" s="511">
        <f t="shared" si="36"/>
        <v>0</v>
      </c>
      <c r="D294" s="508">
        <f t="shared" si="37"/>
        <v>0</v>
      </c>
      <c r="E294" s="511">
        <f t="shared" si="38"/>
        <v>0</v>
      </c>
      <c r="F294" s="508">
        <f t="shared" si="39"/>
        <v>0</v>
      </c>
      <c r="G294" s="491">
        <v>0</v>
      </c>
      <c r="H294" s="508">
        <f t="shared" si="30"/>
        <v>0</v>
      </c>
      <c r="I294" s="491">
        <v>2.564E-2</v>
      </c>
      <c r="J294" s="508">
        <f t="shared" si="40"/>
        <v>0</v>
      </c>
      <c r="K294" s="512">
        <f t="shared" si="31"/>
        <v>0</v>
      </c>
      <c r="L294" s="508">
        <f t="shared" si="32"/>
        <v>0</v>
      </c>
      <c r="M294" s="508">
        <f t="shared" si="33"/>
        <v>0</v>
      </c>
      <c r="N294" s="508">
        <f t="shared" si="34"/>
        <v>0</v>
      </c>
      <c r="O294" s="490">
        <f t="shared" si="41"/>
        <v>0</v>
      </c>
      <c r="P294" s="490">
        <f t="shared" si="42"/>
        <v>0</v>
      </c>
      <c r="Q294" s="490">
        <f t="shared" si="43"/>
        <v>0</v>
      </c>
      <c r="R294" s="508">
        <f t="shared" si="44"/>
        <v>0</v>
      </c>
      <c r="S294" s="508">
        <f t="shared" si="35"/>
        <v>0</v>
      </c>
      <c r="T294" s="508">
        <f t="shared" si="45"/>
        <v>0</v>
      </c>
      <c r="U294" s="508"/>
      <c r="V294" s="508">
        <f t="shared" si="46"/>
        <v>0</v>
      </c>
      <c r="W294" s="490">
        <f>IF(B294&gt;$C$97,0,$C$280+SUM($J$283:J294))</f>
        <v>0</v>
      </c>
      <c r="X294" s="513">
        <f t="shared" si="47"/>
        <v>0</v>
      </c>
      <c r="Y294" s="7"/>
      <c r="Z294" s="7"/>
    </row>
    <row r="295" spans="1:26" x14ac:dyDescent="0.5">
      <c r="A295" s="2"/>
      <c r="B295" s="489">
        <v>12</v>
      </c>
      <c r="C295" s="511">
        <f t="shared" si="36"/>
        <v>0</v>
      </c>
      <c r="D295" s="508">
        <f t="shared" si="37"/>
        <v>0</v>
      </c>
      <c r="E295" s="511">
        <f t="shared" si="38"/>
        <v>0</v>
      </c>
      <c r="F295" s="508">
        <f t="shared" si="39"/>
        <v>0</v>
      </c>
      <c r="G295" s="491">
        <v>0</v>
      </c>
      <c r="H295" s="508">
        <f t="shared" si="30"/>
        <v>0</v>
      </c>
      <c r="I295" s="491">
        <v>2.564E-2</v>
      </c>
      <c r="J295" s="508">
        <f t="shared" si="40"/>
        <v>0</v>
      </c>
      <c r="K295" s="512">
        <f t="shared" si="31"/>
        <v>0</v>
      </c>
      <c r="L295" s="508">
        <f t="shared" si="32"/>
        <v>0</v>
      </c>
      <c r="M295" s="508">
        <f t="shared" si="33"/>
        <v>0</v>
      </c>
      <c r="N295" s="508">
        <f t="shared" si="34"/>
        <v>0</v>
      </c>
      <c r="O295" s="490">
        <f t="shared" si="41"/>
        <v>0</v>
      </c>
      <c r="P295" s="490">
        <f t="shared" si="42"/>
        <v>0</v>
      </c>
      <c r="Q295" s="490">
        <f t="shared" si="43"/>
        <v>0</v>
      </c>
      <c r="R295" s="508">
        <f t="shared" si="44"/>
        <v>0</v>
      </c>
      <c r="S295" s="508">
        <f t="shared" si="35"/>
        <v>0</v>
      </c>
      <c r="T295" s="508">
        <f t="shared" si="45"/>
        <v>0</v>
      </c>
      <c r="U295" s="508"/>
      <c r="V295" s="508">
        <f t="shared" si="46"/>
        <v>0</v>
      </c>
      <c r="W295" s="490">
        <f>IF(B295&gt;$C$97,0,$C$280+SUM($J$283:J295))</f>
        <v>0</v>
      </c>
      <c r="X295" s="513">
        <f t="shared" si="47"/>
        <v>0</v>
      </c>
      <c r="Y295" s="7"/>
      <c r="Z295" s="7"/>
    </row>
    <row r="296" spans="1:26" x14ac:dyDescent="0.5">
      <c r="A296" s="2"/>
      <c r="B296" s="489">
        <v>13</v>
      </c>
      <c r="C296" s="511">
        <f t="shared" si="36"/>
        <v>0</v>
      </c>
      <c r="D296" s="508">
        <f t="shared" si="37"/>
        <v>0</v>
      </c>
      <c r="E296" s="511">
        <f t="shared" si="38"/>
        <v>0</v>
      </c>
      <c r="F296" s="508">
        <f t="shared" si="39"/>
        <v>0</v>
      </c>
      <c r="G296" s="491">
        <v>0</v>
      </c>
      <c r="H296" s="508">
        <f t="shared" si="30"/>
        <v>0</v>
      </c>
      <c r="I296" s="491">
        <v>2.564E-2</v>
      </c>
      <c r="J296" s="508">
        <f t="shared" si="40"/>
        <v>0</v>
      </c>
      <c r="K296" s="512">
        <f t="shared" si="31"/>
        <v>0</v>
      </c>
      <c r="L296" s="508">
        <f t="shared" si="32"/>
        <v>0</v>
      </c>
      <c r="M296" s="508">
        <f t="shared" si="33"/>
        <v>0</v>
      </c>
      <c r="N296" s="508">
        <f t="shared" si="34"/>
        <v>0</v>
      </c>
      <c r="O296" s="490">
        <f t="shared" si="41"/>
        <v>0</v>
      </c>
      <c r="P296" s="490">
        <f t="shared" si="42"/>
        <v>0</v>
      </c>
      <c r="Q296" s="490">
        <f t="shared" si="43"/>
        <v>0</v>
      </c>
      <c r="R296" s="508">
        <f t="shared" si="44"/>
        <v>0</v>
      </c>
      <c r="S296" s="508">
        <f t="shared" si="35"/>
        <v>0</v>
      </c>
      <c r="T296" s="508">
        <f t="shared" si="45"/>
        <v>0</v>
      </c>
      <c r="U296" s="508"/>
      <c r="V296" s="508">
        <f t="shared" si="46"/>
        <v>0</v>
      </c>
      <c r="W296" s="490">
        <f>IF(B296&gt;$C$97,0,$C$280+SUM($J$283:J296))</f>
        <v>0</v>
      </c>
      <c r="X296" s="513">
        <f t="shared" si="47"/>
        <v>0</v>
      </c>
      <c r="Y296" s="7"/>
      <c r="Z296" s="7"/>
    </row>
    <row r="297" spans="1:26" x14ac:dyDescent="0.5">
      <c r="A297" s="2"/>
      <c r="B297" s="489">
        <v>14</v>
      </c>
      <c r="C297" s="511">
        <f t="shared" si="36"/>
        <v>0</v>
      </c>
      <c r="D297" s="508">
        <f t="shared" si="37"/>
        <v>0</v>
      </c>
      <c r="E297" s="511">
        <f t="shared" si="38"/>
        <v>0</v>
      </c>
      <c r="F297" s="508">
        <f t="shared" si="39"/>
        <v>0</v>
      </c>
      <c r="G297" s="491">
        <v>0</v>
      </c>
      <c r="H297" s="508">
        <f t="shared" si="30"/>
        <v>0</v>
      </c>
      <c r="I297" s="491">
        <v>2.564E-2</v>
      </c>
      <c r="J297" s="508">
        <f t="shared" si="40"/>
        <v>0</v>
      </c>
      <c r="K297" s="512">
        <f t="shared" si="31"/>
        <v>0</v>
      </c>
      <c r="L297" s="508">
        <f t="shared" si="32"/>
        <v>0</v>
      </c>
      <c r="M297" s="508">
        <f t="shared" si="33"/>
        <v>0</v>
      </c>
      <c r="N297" s="508">
        <f t="shared" si="34"/>
        <v>0</v>
      </c>
      <c r="O297" s="490">
        <f t="shared" si="41"/>
        <v>0</v>
      </c>
      <c r="P297" s="490">
        <f t="shared" si="42"/>
        <v>0</v>
      </c>
      <c r="Q297" s="490">
        <f t="shared" si="43"/>
        <v>0</v>
      </c>
      <c r="R297" s="508">
        <f t="shared" si="44"/>
        <v>0</v>
      </c>
      <c r="S297" s="508">
        <f t="shared" si="35"/>
        <v>0</v>
      </c>
      <c r="T297" s="508">
        <f t="shared" si="45"/>
        <v>0</v>
      </c>
      <c r="U297" s="508"/>
      <c r="V297" s="508">
        <f t="shared" si="46"/>
        <v>0</v>
      </c>
      <c r="W297" s="490">
        <f>IF(B297&gt;$C$97,0,$C$280+SUM($J$283:J297))</f>
        <v>0</v>
      </c>
      <c r="X297" s="513">
        <f t="shared" si="47"/>
        <v>0</v>
      </c>
      <c r="Y297" s="7"/>
      <c r="Z297" s="7"/>
    </row>
    <row r="298" spans="1:26" x14ac:dyDescent="0.5">
      <c r="A298" s="2"/>
      <c r="B298" s="489">
        <v>15</v>
      </c>
      <c r="C298" s="511">
        <f t="shared" si="36"/>
        <v>0</v>
      </c>
      <c r="D298" s="508">
        <f t="shared" si="37"/>
        <v>0</v>
      </c>
      <c r="E298" s="511">
        <f t="shared" si="38"/>
        <v>0</v>
      </c>
      <c r="F298" s="508">
        <f t="shared" si="39"/>
        <v>0</v>
      </c>
      <c r="G298" s="491">
        <v>0</v>
      </c>
      <c r="H298" s="508">
        <f t="shared" si="30"/>
        <v>0</v>
      </c>
      <c r="I298" s="491">
        <v>2.564E-2</v>
      </c>
      <c r="J298" s="508">
        <f t="shared" si="40"/>
        <v>0</v>
      </c>
      <c r="K298" s="512">
        <f t="shared" si="31"/>
        <v>0</v>
      </c>
      <c r="L298" s="508">
        <f t="shared" si="32"/>
        <v>0</v>
      </c>
      <c r="M298" s="508">
        <f t="shared" si="33"/>
        <v>0</v>
      </c>
      <c r="N298" s="508">
        <f t="shared" si="34"/>
        <v>0</v>
      </c>
      <c r="O298" s="490">
        <f t="shared" si="41"/>
        <v>0</v>
      </c>
      <c r="P298" s="490">
        <f t="shared" si="42"/>
        <v>0</v>
      </c>
      <c r="Q298" s="490">
        <f t="shared" si="43"/>
        <v>0</v>
      </c>
      <c r="R298" s="508">
        <f t="shared" si="44"/>
        <v>0</v>
      </c>
      <c r="S298" s="508">
        <f t="shared" si="35"/>
        <v>0</v>
      </c>
      <c r="T298" s="508">
        <f t="shared" si="45"/>
        <v>0</v>
      </c>
      <c r="U298" s="508"/>
      <c r="V298" s="508">
        <f t="shared" si="46"/>
        <v>0</v>
      </c>
      <c r="W298" s="490">
        <f>IF(B298&gt;$C$97,0,$C$280+SUM($J$283:J298))</f>
        <v>0</v>
      </c>
      <c r="X298" s="513">
        <f t="shared" si="47"/>
        <v>0</v>
      </c>
      <c r="Y298" s="7"/>
      <c r="Z298" s="7"/>
    </row>
    <row r="299" spans="1:26" x14ac:dyDescent="0.5">
      <c r="A299" s="2"/>
      <c r="B299" s="489">
        <v>16</v>
      </c>
      <c r="C299" s="511">
        <f t="shared" si="36"/>
        <v>0</v>
      </c>
      <c r="D299" s="508">
        <f t="shared" si="37"/>
        <v>0</v>
      </c>
      <c r="E299" s="511">
        <f t="shared" si="38"/>
        <v>0</v>
      </c>
      <c r="F299" s="508">
        <f t="shared" si="39"/>
        <v>0</v>
      </c>
      <c r="G299" s="491">
        <v>0</v>
      </c>
      <c r="H299" s="508">
        <f t="shared" si="30"/>
        <v>0</v>
      </c>
      <c r="I299" s="491">
        <v>2.564E-2</v>
      </c>
      <c r="J299" s="508">
        <f t="shared" si="40"/>
        <v>0</v>
      </c>
      <c r="K299" s="512">
        <f t="shared" si="31"/>
        <v>0</v>
      </c>
      <c r="L299" s="508">
        <f t="shared" si="32"/>
        <v>0</v>
      </c>
      <c r="M299" s="508">
        <f t="shared" si="33"/>
        <v>0</v>
      </c>
      <c r="N299" s="508">
        <f t="shared" si="34"/>
        <v>0</v>
      </c>
      <c r="O299" s="490">
        <f t="shared" si="41"/>
        <v>0</v>
      </c>
      <c r="P299" s="490">
        <f t="shared" si="42"/>
        <v>0</v>
      </c>
      <c r="Q299" s="490">
        <f t="shared" si="43"/>
        <v>0</v>
      </c>
      <c r="R299" s="508">
        <f t="shared" si="44"/>
        <v>0</v>
      </c>
      <c r="S299" s="508">
        <f t="shared" si="35"/>
        <v>0</v>
      </c>
      <c r="T299" s="508">
        <f t="shared" si="45"/>
        <v>0</v>
      </c>
      <c r="U299" s="508"/>
      <c r="V299" s="508">
        <f t="shared" si="46"/>
        <v>0</v>
      </c>
      <c r="W299" s="490">
        <f>IF(B299&gt;$C$97,0,$C$280+SUM($J$283:J299))</f>
        <v>0</v>
      </c>
      <c r="X299" s="513">
        <f t="shared" si="47"/>
        <v>0</v>
      </c>
      <c r="Y299" s="7"/>
      <c r="Z299" s="7"/>
    </row>
    <row r="300" spans="1:26" x14ac:dyDescent="0.5">
      <c r="A300" s="2"/>
      <c r="B300" s="489">
        <v>17</v>
      </c>
      <c r="C300" s="511">
        <f t="shared" si="36"/>
        <v>0</v>
      </c>
      <c r="D300" s="508">
        <f t="shared" si="37"/>
        <v>0</v>
      </c>
      <c r="E300" s="511">
        <f t="shared" si="38"/>
        <v>0</v>
      </c>
      <c r="F300" s="508">
        <f t="shared" si="39"/>
        <v>0</v>
      </c>
      <c r="G300" s="491">
        <v>0</v>
      </c>
      <c r="H300" s="508">
        <f t="shared" si="30"/>
        <v>0</v>
      </c>
      <c r="I300" s="491">
        <v>2.564E-2</v>
      </c>
      <c r="J300" s="508">
        <f t="shared" si="40"/>
        <v>0</v>
      </c>
      <c r="K300" s="512">
        <f t="shared" si="31"/>
        <v>0</v>
      </c>
      <c r="L300" s="508">
        <f t="shared" si="32"/>
        <v>0</v>
      </c>
      <c r="M300" s="508">
        <f t="shared" si="33"/>
        <v>0</v>
      </c>
      <c r="N300" s="508">
        <f t="shared" si="34"/>
        <v>0</v>
      </c>
      <c r="O300" s="490">
        <f t="shared" si="41"/>
        <v>0</v>
      </c>
      <c r="P300" s="490">
        <f t="shared" si="42"/>
        <v>0</v>
      </c>
      <c r="Q300" s="490">
        <f t="shared" si="43"/>
        <v>0</v>
      </c>
      <c r="R300" s="508">
        <f t="shared" si="44"/>
        <v>0</v>
      </c>
      <c r="S300" s="508">
        <f t="shared" si="35"/>
        <v>0</v>
      </c>
      <c r="T300" s="508">
        <f t="shared" si="45"/>
        <v>0</v>
      </c>
      <c r="U300" s="508"/>
      <c r="V300" s="508">
        <f t="shared" si="46"/>
        <v>0</v>
      </c>
      <c r="W300" s="490">
        <f>IF(B300&gt;$C$97,0,$C$280+SUM($J$283:J300))</f>
        <v>0</v>
      </c>
      <c r="X300" s="513">
        <f t="shared" si="47"/>
        <v>0</v>
      </c>
      <c r="Y300" s="7"/>
      <c r="Z300" s="7"/>
    </row>
    <row r="301" spans="1:26" x14ac:dyDescent="0.5">
      <c r="A301" s="2"/>
      <c r="B301" s="489">
        <v>18</v>
      </c>
      <c r="C301" s="511">
        <f t="shared" si="36"/>
        <v>0</v>
      </c>
      <c r="D301" s="508">
        <f t="shared" si="37"/>
        <v>0</v>
      </c>
      <c r="E301" s="511">
        <f t="shared" si="38"/>
        <v>0</v>
      </c>
      <c r="F301" s="508">
        <f t="shared" si="39"/>
        <v>0</v>
      </c>
      <c r="G301" s="491">
        <v>0</v>
      </c>
      <c r="H301" s="508">
        <f t="shared" si="30"/>
        <v>0</v>
      </c>
      <c r="I301" s="491">
        <v>2.564E-2</v>
      </c>
      <c r="J301" s="508">
        <f t="shared" si="40"/>
        <v>0</v>
      </c>
      <c r="K301" s="512">
        <f t="shared" si="31"/>
        <v>0</v>
      </c>
      <c r="L301" s="508">
        <f t="shared" si="32"/>
        <v>0</v>
      </c>
      <c r="M301" s="508">
        <f t="shared" si="33"/>
        <v>0</v>
      </c>
      <c r="N301" s="508">
        <f t="shared" si="34"/>
        <v>0</v>
      </c>
      <c r="O301" s="490">
        <f t="shared" si="41"/>
        <v>0</v>
      </c>
      <c r="P301" s="490">
        <f t="shared" si="42"/>
        <v>0</v>
      </c>
      <c r="Q301" s="490">
        <f t="shared" si="43"/>
        <v>0</v>
      </c>
      <c r="R301" s="508">
        <f t="shared" si="44"/>
        <v>0</v>
      </c>
      <c r="S301" s="508">
        <f t="shared" si="35"/>
        <v>0</v>
      </c>
      <c r="T301" s="508">
        <f t="shared" si="45"/>
        <v>0</v>
      </c>
      <c r="U301" s="508"/>
      <c r="V301" s="508">
        <f t="shared" si="46"/>
        <v>0</v>
      </c>
      <c r="W301" s="490">
        <f>IF(B301&gt;$C$97,0,$C$280+SUM($J$283:J301))</f>
        <v>0</v>
      </c>
      <c r="X301" s="513">
        <f t="shared" si="47"/>
        <v>0</v>
      </c>
      <c r="Y301" s="7"/>
      <c r="Z301" s="7"/>
    </row>
    <row r="302" spans="1:26" x14ac:dyDescent="0.5">
      <c r="A302" s="2"/>
      <c r="B302" s="489">
        <v>19</v>
      </c>
      <c r="C302" s="511">
        <f t="shared" si="36"/>
        <v>0</v>
      </c>
      <c r="D302" s="508">
        <f t="shared" si="37"/>
        <v>0</v>
      </c>
      <c r="E302" s="511">
        <f t="shared" si="38"/>
        <v>0</v>
      </c>
      <c r="F302" s="508">
        <f t="shared" si="39"/>
        <v>0</v>
      </c>
      <c r="G302" s="491">
        <v>0</v>
      </c>
      <c r="H302" s="508">
        <f t="shared" si="30"/>
        <v>0</v>
      </c>
      <c r="I302" s="491">
        <v>2.564E-2</v>
      </c>
      <c r="J302" s="508">
        <f t="shared" si="40"/>
        <v>0</v>
      </c>
      <c r="K302" s="512">
        <f t="shared" si="31"/>
        <v>0</v>
      </c>
      <c r="L302" s="508">
        <f t="shared" si="32"/>
        <v>0</v>
      </c>
      <c r="M302" s="508">
        <f t="shared" si="33"/>
        <v>0</v>
      </c>
      <c r="N302" s="508">
        <f t="shared" si="34"/>
        <v>0</v>
      </c>
      <c r="O302" s="490">
        <f t="shared" si="41"/>
        <v>0</v>
      </c>
      <c r="P302" s="490">
        <f t="shared" si="42"/>
        <v>0</v>
      </c>
      <c r="Q302" s="490">
        <f t="shared" si="43"/>
        <v>0</v>
      </c>
      <c r="R302" s="508">
        <f t="shared" si="44"/>
        <v>0</v>
      </c>
      <c r="S302" s="508">
        <f t="shared" si="35"/>
        <v>0</v>
      </c>
      <c r="T302" s="508">
        <f t="shared" si="45"/>
        <v>0</v>
      </c>
      <c r="U302" s="508"/>
      <c r="V302" s="508">
        <f t="shared" si="46"/>
        <v>0</v>
      </c>
      <c r="W302" s="490">
        <f>IF(B302&gt;$C$97,0,$C$280+SUM($J$283:J302))</f>
        <v>0</v>
      </c>
      <c r="X302" s="513">
        <f t="shared" si="47"/>
        <v>0</v>
      </c>
      <c r="Y302" s="7"/>
      <c r="Z302" s="7"/>
    </row>
    <row r="303" spans="1:26" x14ac:dyDescent="0.5">
      <c r="A303" s="2"/>
      <c r="B303" s="489">
        <v>20</v>
      </c>
      <c r="C303" s="511">
        <f t="shared" si="36"/>
        <v>0</v>
      </c>
      <c r="D303" s="508">
        <f t="shared" si="37"/>
        <v>0</v>
      </c>
      <c r="E303" s="511">
        <f t="shared" si="38"/>
        <v>0</v>
      </c>
      <c r="F303" s="508">
        <f t="shared" si="39"/>
        <v>0</v>
      </c>
      <c r="G303" s="491">
        <v>0</v>
      </c>
      <c r="H303" s="508">
        <f t="shared" si="30"/>
        <v>0</v>
      </c>
      <c r="I303" s="491">
        <v>2.564E-2</v>
      </c>
      <c r="J303" s="508">
        <f t="shared" si="40"/>
        <v>0</v>
      </c>
      <c r="K303" s="512">
        <f t="shared" si="31"/>
        <v>0</v>
      </c>
      <c r="L303" s="508">
        <f t="shared" si="32"/>
        <v>0</v>
      </c>
      <c r="M303" s="508">
        <f t="shared" si="33"/>
        <v>0</v>
      </c>
      <c r="N303" s="508">
        <f t="shared" si="34"/>
        <v>0</v>
      </c>
      <c r="O303" s="490">
        <f t="shared" si="41"/>
        <v>0</v>
      </c>
      <c r="P303" s="490">
        <f t="shared" si="42"/>
        <v>0</v>
      </c>
      <c r="Q303" s="490">
        <f t="shared" si="43"/>
        <v>0</v>
      </c>
      <c r="R303" s="508">
        <f t="shared" si="44"/>
        <v>0</v>
      </c>
      <c r="S303" s="508">
        <f t="shared" si="35"/>
        <v>0</v>
      </c>
      <c r="T303" s="508">
        <f t="shared" si="45"/>
        <v>0</v>
      </c>
      <c r="U303" s="508"/>
      <c r="V303" s="508">
        <f t="shared" si="46"/>
        <v>0</v>
      </c>
      <c r="W303" s="490">
        <f>IF(B303&gt;$C$97,0,$C$280+SUM($J$283:J303))</f>
        <v>0</v>
      </c>
      <c r="X303" s="513">
        <f t="shared" si="47"/>
        <v>0</v>
      </c>
      <c r="Y303" s="7"/>
      <c r="Z303" s="7"/>
    </row>
    <row r="304" spans="1:26" x14ac:dyDescent="0.5">
      <c r="A304" s="2"/>
      <c r="B304" s="489"/>
      <c r="C304" s="511"/>
      <c r="D304" s="514"/>
      <c r="E304" s="491"/>
      <c r="F304" s="514"/>
      <c r="G304" s="491"/>
      <c r="H304" s="514"/>
      <c r="I304" s="491"/>
      <c r="J304" s="514"/>
      <c r="K304" s="514"/>
      <c r="L304" s="514"/>
      <c r="M304" s="514"/>
      <c r="N304" s="491"/>
      <c r="O304" s="491"/>
      <c r="P304" s="491"/>
      <c r="Q304" s="491"/>
      <c r="R304" s="514"/>
      <c r="S304" s="514"/>
      <c r="T304" s="491"/>
      <c r="U304" s="491"/>
      <c r="V304" s="491"/>
      <c r="W304" s="500" t="s">
        <v>297</v>
      </c>
      <c r="X304" s="515">
        <f>NPV($C$21,X284:X303)+X283</f>
        <v>0</v>
      </c>
      <c r="Y304" s="7"/>
      <c r="Z304" s="7"/>
    </row>
    <row r="305" spans="1:26" x14ac:dyDescent="0.5">
      <c r="A305" s="2"/>
      <c r="B305" s="489"/>
      <c r="C305" s="511"/>
      <c r="D305" s="516"/>
      <c r="E305" s="491"/>
      <c r="F305" s="516"/>
      <c r="G305" s="491"/>
      <c r="H305" s="516"/>
      <c r="I305" s="491"/>
      <c r="J305" s="516"/>
      <c r="K305" s="516"/>
      <c r="L305" s="516"/>
      <c r="M305" s="516"/>
      <c r="N305" s="491"/>
      <c r="O305" s="491"/>
      <c r="P305" s="491"/>
      <c r="Q305" s="491"/>
      <c r="R305" s="516"/>
      <c r="S305" s="516"/>
      <c r="T305" s="491"/>
      <c r="U305" s="491"/>
      <c r="V305" s="491"/>
      <c r="W305" s="500" t="s">
        <v>269</v>
      </c>
      <c r="X305" s="517">
        <f>IRR(X283:X303,0.1)</f>
        <v>0.14000000000000012</v>
      </c>
      <c r="Y305" s="7"/>
      <c r="Z305" s="7"/>
    </row>
    <row r="306" spans="1:26" x14ac:dyDescent="0.5">
      <c r="A306" s="2"/>
      <c r="B306" s="489"/>
      <c r="C306" s="511"/>
      <c r="D306" s="518"/>
      <c r="E306" s="491"/>
      <c r="F306" s="491"/>
      <c r="G306" s="491"/>
      <c r="H306" s="491"/>
      <c r="I306" s="491"/>
      <c r="J306" s="491"/>
      <c r="K306" s="500"/>
      <c r="L306" s="491"/>
      <c r="M306" s="491"/>
      <c r="N306" s="491"/>
      <c r="O306" s="491"/>
      <c r="P306" s="491"/>
      <c r="Q306" s="491"/>
      <c r="R306" s="491"/>
      <c r="S306" s="491"/>
      <c r="T306" s="491"/>
      <c r="U306" s="491"/>
      <c r="V306" s="491"/>
      <c r="W306" s="491"/>
      <c r="X306" s="493"/>
      <c r="Y306" s="7"/>
      <c r="Z306" s="7"/>
    </row>
    <row r="307" spans="1:26" x14ac:dyDescent="0.5">
      <c r="A307" s="2"/>
      <c r="B307" s="497" t="s">
        <v>56</v>
      </c>
      <c r="C307" s="511"/>
      <c r="D307" s="499"/>
      <c r="E307" s="491"/>
      <c r="F307" s="500"/>
      <c r="G307" s="491"/>
      <c r="H307" s="491"/>
      <c r="I307" s="491"/>
      <c r="J307" s="491"/>
      <c r="K307" s="491"/>
      <c r="L307" s="491"/>
      <c r="M307" s="491"/>
      <c r="N307" s="491"/>
      <c r="O307" s="491"/>
      <c r="P307" s="491"/>
      <c r="Q307" s="491"/>
      <c r="R307" s="491"/>
      <c r="S307" s="491"/>
      <c r="T307" s="491"/>
      <c r="U307" s="491"/>
      <c r="V307" s="491"/>
      <c r="W307" s="491"/>
      <c r="X307" s="493"/>
      <c r="Y307" s="7"/>
      <c r="Z307" s="7"/>
    </row>
    <row r="308" spans="1:26" x14ac:dyDescent="0.5">
      <c r="A308" s="2"/>
      <c r="B308" s="489" t="s">
        <v>298</v>
      </c>
      <c r="C308" s="496">
        <f>H125*C272*1000000</f>
        <v>176883570.74854574</v>
      </c>
      <c r="D308" s="491" t="s">
        <v>226</v>
      </c>
      <c r="E308" s="491"/>
      <c r="F308" s="491"/>
      <c r="G308" s="491"/>
      <c r="H308" s="491"/>
      <c r="I308" s="491"/>
      <c r="J308" s="491"/>
      <c r="K308" s="491"/>
      <c r="L308" s="491"/>
      <c r="M308" s="491"/>
      <c r="N308" s="491"/>
      <c r="O308" s="491"/>
      <c r="P308" s="491"/>
      <c r="Q308" s="491"/>
      <c r="R308" s="491"/>
      <c r="S308" s="491"/>
      <c r="T308" s="491"/>
      <c r="U308" s="491"/>
      <c r="V308" s="491"/>
      <c r="W308" s="491"/>
      <c r="X308" s="493"/>
      <c r="Y308" s="7"/>
      <c r="Z308" s="7"/>
    </row>
    <row r="309" spans="1:26" x14ac:dyDescent="0.5">
      <c r="A309" s="2"/>
      <c r="B309" s="489" t="s">
        <v>299</v>
      </c>
      <c r="C309" s="496">
        <f>I125*C272*1000000</f>
        <v>36643409.151980944</v>
      </c>
      <c r="D309" s="491" t="s">
        <v>226</v>
      </c>
      <c r="E309" s="491"/>
      <c r="F309" s="491"/>
      <c r="G309" s="490"/>
      <c r="H309" s="491"/>
      <c r="I309" s="491"/>
      <c r="J309" s="491"/>
      <c r="K309" s="491"/>
      <c r="L309" s="491"/>
      <c r="M309" s="491"/>
      <c r="N309" s="491"/>
      <c r="O309" s="491"/>
      <c r="P309" s="491"/>
      <c r="Q309" s="491"/>
      <c r="R309" s="491"/>
      <c r="S309" s="491"/>
      <c r="T309" s="491"/>
      <c r="U309" s="491"/>
      <c r="V309" s="491"/>
      <c r="W309" s="491"/>
      <c r="X309" s="493"/>
      <c r="Y309" s="7"/>
      <c r="Z309" s="7"/>
    </row>
    <row r="310" spans="1:26" x14ac:dyDescent="0.5">
      <c r="A310" s="2"/>
      <c r="B310" s="489"/>
      <c r="C310" s="511"/>
      <c r="D310" s="499"/>
      <c r="E310" s="491"/>
      <c r="F310" s="500"/>
      <c r="G310" s="491"/>
      <c r="H310" s="491"/>
      <c r="I310" s="491"/>
      <c r="J310" s="491"/>
      <c r="K310" s="491"/>
      <c r="L310" s="491"/>
      <c r="M310" s="491"/>
      <c r="N310" s="491"/>
      <c r="O310" s="491"/>
      <c r="P310" s="491"/>
      <c r="Q310" s="491"/>
      <c r="R310" s="491"/>
      <c r="S310" s="491"/>
      <c r="T310" s="491"/>
      <c r="U310" s="491"/>
      <c r="V310" s="491"/>
      <c r="W310" s="491"/>
      <c r="X310" s="493"/>
      <c r="Y310" s="7"/>
      <c r="Z310" s="7"/>
    </row>
    <row r="311" spans="1:26" x14ac:dyDescent="0.5">
      <c r="A311" s="2"/>
      <c r="B311" s="501" t="s">
        <v>274</v>
      </c>
      <c r="C311" s="502" t="s">
        <v>275</v>
      </c>
      <c r="D311" s="503" t="s">
        <v>276</v>
      </c>
      <c r="E311" s="503" t="s">
        <v>277</v>
      </c>
      <c r="F311" s="503" t="s">
        <v>278</v>
      </c>
      <c r="G311" s="503" t="s">
        <v>279</v>
      </c>
      <c r="H311" s="503" t="s">
        <v>280</v>
      </c>
      <c r="I311" s="503" t="s">
        <v>281</v>
      </c>
      <c r="J311" s="503" t="s">
        <v>282</v>
      </c>
      <c r="K311" s="503" t="s">
        <v>283</v>
      </c>
      <c r="L311" s="503" t="s">
        <v>284</v>
      </c>
      <c r="M311" s="503" t="s">
        <v>285</v>
      </c>
      <c r="N311" s="503" t="s">
        <v>286</v>
      </c>
      <c r="O311" s="503" t="s">
        <v>287</v>
      </c>
      <c r="P311" s="503" t="s">
        <v>288</v>
      </c>
      <c r="Q311" s="503" t="s">
        <v>289</v>
      </c>
      <c r="R311" s="503" t="s">
        <v>290</v>
      </c>
      <c r="S311" s="503" t="s">
        <v>291</v>
      </c>
      <c r="T311" s="503" t="s">
        <v>292</v>
      </c>
      <c r="U311" s="491" t="s">
        <v>293</v>
      </c>
      <c r="V311" s="503" t="s">
        <v>294</v>
      </c>
      <c r="W311" s="503" t="s">
        <v>295</v>
      </c>
      <c r="X311" s="504" t="s">
        <v>296</v>
      </c>
      <c r="Y311" s="7"/>
      <c r="Z311" s="7"/>
    </row>
    <row r="312" spans="1:26" x14ac:dyDescent="0.5">
      <c r="A312" s="2"/>
      <c r="B312" s="505">
        <v>0</v>
      </c>
      <c r="C312" s="494">
        <v>0.1107057589641922</v>
      </c>
      <c r="D312" s="506">
        <v>0</v>
      </c>
      <c r="E312" s="507">
        <f>J61</f>
        <v>6.7662280180953577E-2</v>
      </c>
      <c r="F312" s="506">
        <v>0</v>
      </c>
      <c r="G312" s="491">
        <v>0</v>
      </c>
      <c r="H312" s="508">
        <f t="shared" ref="H312:H332" si="48">IF(D312&gt;0,-1*G312*$C$308,0)</f>
        <v>0</v>
      </c>
      <c r="I312" s="508">
        <v>0</v>
      </c>
      <c r="J312" s="508">
        <v>0</v>
      </c>
      <c r="K312" s="509">
        <f t="shared" ref="K312:K332" si="49">D312+F312+H312+J312</f>
        <v>0</v>
      </c>
      <c r="L312" s="506">
        <f t="shared" ref="L312:L332" si="50">IF(F312&lt;&gt;0,-1*($C$25+$C$26)*D312,0)</f>
        <v>0</v>
      </c>
      <c r="M312" s="506">
        <f t="shared" ref="M312:M332" si="51">K312+L312</f>
        <v>0</v>
      </c>
      <c r="N312" s="508">
        <f t="shared" ref="N312:N332" si="52">IF(V312&gt;0,V312-W312,0)</f>
        <v>0</v>
      </c>
      <c r="O312" s="490">
        <v>0</v>
      </c>
      <c r="P312" s="490">
        <v>0</v>
      </c>
      <c r="Q312" s="490">
        <v>0</v>
      </c>
      <c r="R312" s="508">
        <f>IF(M312&gt;0,-1*(M312+N312)*$C$24,0)</f>
        <v>0</v>
      </c>
      <c r="S312" s="506">
        <f t="shared" ref="S312:S332" si="53">IF(B312=$C$98,0,$C$27/12*(-1*F313-L313))</f>
        <v>39643192.436096877</v>
      </c>
      <c r="T312" s="506">
        <f>S312</f>
        <v>39643192.436096877</v>
      </c>
      <c r="U312" s="506">
        <f>-1*(C308+C309)</f>
        <v>-213526979.90052667</v>
      </c>
      <c r="V312" s="508">
        <v>0</v>
      </c>
      <c r="W312" s="490">
        <f>IF(B312&gt;$C$98,0,$C$309+SUM($J$312:J312))</f>
        <v>36643409.151980944</v>
      </c>
      <c r="X312" s="510">
        <f>-T312+U312</f>
        <v>-253170172.33662355</v>
      </c>
      <c r="Y312" s="7"/>
      <c r="Z312" s="7"/>
    </row>
    <row r="313" spans="1:26" x14ac:dyDescent="0.5">
      <c r="A313" s="2"/>
      <c r="B313" s="489">
        <v>1</v>
      </c>
      <c r="C313" s="511">
        <f t="shared" ref="C313:C332" si="54">IF(B313&gt;$C$98,0,$C$312*(1+$C$22)^B313)</f>
        <v>0.1107057589641922</v>
      </c>
      <c r="D313" s="508">
        <f t="shared" ref="D313:D332" si="55">C313*$C$272*1000000</f>
        <v>221411517.92838439</v>
      </c>
      <c r="E313" s="511">
        <f t="shared" ref="E313:E332" si="56">IF(B313&gt;$C$98,0,$E$312*(1+$C$23)^B313)</f>
        <v>6.7662280180953577E-2</v>
      </c>
      <c r="F313" s="508">
        <f t="shared" ref="F313:F332" si="57">-1*E313*$C$272*1000000</f>
        <v>-135324560.36190715</v>
      </c>
      <c r="G313" s="491">
        <v>0.1429</v>
      </c>
      <c r="H313" s="508">
        <f t="shared" si="48"/>
        <v>-25276662.259967186</v>
      </c>
      <c r="I313" s="491">
        <v>1.391E-2</v>
      </c>
      <c r="J313" s="508">
        <f t="shared" ref="J313:J332" si="58">IF(D313&gt;0,-1*$C$309*I313,0)</f>
        <v>-509709.82130405493</v>
      </c>
      <c r="K313" s="512">
        <f t="shared" si="49"/>
        <v>60300585.485206001</v>
      </c>
      <c r="L313" s="508">
        <f t="shared" si="50"/>
        <v>-23248209.382480361</v>
      </c>
      <c r="M313" s="508">
        <f t="shared" si="51"/>
        <v>37052376.10272564</v>
      </c>
      <c r="N313" s="508">
        <f t="shared" si="52"/>
        <v>0</v>
      </c>
      <c r="O313" s="490">
        <f t="shared" ref="O313:O332" si="59">IF(M313&lt;0,M313*-1,0)</f>
        <v>0</v>
      </c>
      <c r="P313" s="490">
        <f t="shared" ref="P313:P332" si="60">P312+O313-Q313</f>
        <v>0</v>
      </c>
      <c r="Q313" s="490">
        <f t="shared" ref="Q313:Q332" si="61">IF(B313=$C$98+1,O313,IF(AND(M313&gt;0,P312&gt;0),MIN(M313,P312),0))</f>
        <v>0</v>
      </c>
      <c r="R313" s="508">
        <f t="shared" ref="R313:R332" si="62">IF(M313&gt;0,-1*(M313+N313-Q313)*$C$24,0)</f>
        <v>-10337612.932660453</v>
      </c>
      <c r="S313" s="508">
        <f t="shared" si="53"/>
        <v>39643192.436096877</v>
      </c>
      <c r="T313" s="508">
        <f t="shared" ref="T313:T332" si="63">(S313-S312)</f>
        <v>0</v>
      </c>
      <c r="U313" s="508"/>
      <c r="V313" s="508">
        <f t="shared" ref="V313:V332" si="64">IF(B313=$C$98,$C$309*(1-1/$C$101*B313),0)</f>
        <v>0</v>
      </c>
      <c r="W313" s="490">
        <f>IF(B313&gt;$C$98,0,$C$309+SUM($J$312:J313))</f>
        <v>36133699.330676891</v>
      </c>
      <c r="X313" s="513">
        <f t="shared" ref="X313:X332" si="65">M313+R313-1*(H313+J313)-T313+U313+V313</f>
        <v>52501135.251336426</v>
      </c>
      <c r="Y313" s="7"/>
      <c r="Z313" s="7"/>
    </row>
    <row r="314" spans="1:26" x14ac:dyDescent="0.5">
      <c r="A314"/>
      <c r="B314" s="489">
        <v>2</v>
      </c>
      <c r="C314" s="511">
        <f t="shared" si="54"/>
        <v>0.1107057589641922</v>
      </c>
      <c r="D314" s="508">
        <f t="shared" si="55"/>
        <v>221411517.92838439</v>
      </c>
      <c r="E314" s="511">
        <f t="shared" si="56"/>
        <v>6.7662280180953577E-2</v>
      </c>
      <c r="F314" s="508">
        <f t="shared" si="57"/>
        <v>-135324560.36190715</v>
      </c>
      <c r="G314" s="491">
        <v>0.24490000000000001</v>
      </c>
      <c r="H314" s="508">
        <f t="shared" si="48"/>
        <v>-43318786.476318851</v>
      </c>
      <c r="I314" s="491">
        <v>2.564E-2</v>
      </c>
      <c r="J314" s="508">
        <f t="shared" si="58"/>
        <v>-939537.01065679139</v>
      </c>
      <c r="K314" s="512">
        <f t="shared" si="49"/>
        <v>41828634.079501599</v>
      </c>
      <c r="L314" s="508">
        <f t="shared" si="50"/>
        <v>-23248209.382480361</v>
      </c>
      <c r="M314" s="508">
        <f t="shared" si="51"/>
        <v>18580424.697021239</v>
      </c>
      <c r="N314" s="508">
        <f t="shared" si="52"/>
        <v>0</v>
      </c>
      <c r="O314" s="490">
        <f t="shared" si="59"/>
        <v>0</v>
      </c>
      <c r="P314" s="490">
        <f t="shared" si="60"/>
        <v>0</v>
      </c>
      <c r="Q314" s="490">
        <f t="shared" si="61"/>
        <v>0</v>
      </c>
      <c r="R314" s="508">
        <f t="shared" si="62"/>
        <v>-5183938.4904689249</v>
      </c>
      <c r="S314" s="508">
        <f t="shared" si="53"/>
        <v>39643192.436096877</v>
      </c>
      <c r="T314" s="508">
        <f t="shared" si="63"/>
        <v>0</v>
      </c>
      <c r="U314" s="508"/>
      <c r="V314" s="508">
        <f t="shared" si="64"/>
        <v>0</v>
      </c>
      <c r="W314" s="490">
        <f>IF(B314&gt;$C$98,0,$C$309+SUM($J$312:J314))</f>
        <v>35194162.320020095</v>
      </c>
      <c r="X314" s="513">
        <f t="shared" si="65"/>
        <v>57654809.693527952</v>
      </c>
      <c r="Y314" s="7"/>
      <c r="Z314" s="7"/>
    </row>
    <row r="315" spans="1:26" x14ac:dyDescent="0.5">
      <c r="A315"/>
      <c r="B315" s="489">
        <v>3</v>
      </c>
      <c r="C315" s="511">
        <f t="shared" si="54"/>
        <v>0.1107057589641922</v>
      </c>
      <c r="D315" s="508">
        <f t="shared" si="55"/>
        <v>221411517.92838439</v>
      </c>
      <c r="E315" s="511">
        <f t="shared" si="56"/>
        <v>6.7662280180953577E-2</v>
      </c>
      <c r="F315" s="508">
        <f t="shared" si="57"/>
        <v>-135324560.36190715</v>
      </c>
      <c r="G315" s="491">
        <v>0.1749</v>
      </c>
      <c r="H315" s="508">
        <f t="shared" si="48"/>
        <v>-30936936.523920648</v>
      </c>
      <c r="I315" s="491">
        <v>2.564E-2</v>
      </c>
      <c r="J315" s="508">
        <f t="shared" si="58"/>
        <v>-939537.01065679139</v>
      </c>
      <c r="K315" s="512">
        <f t="shared" si="49"/>
        <v>54210484.031899802</v>
      </c>
      <c r="L315" s="508">
        <f t="shared" si="50"/>
        <v>-23248209.382480361</v>
      </c>
      <c r="M315" s="508">
        <f t="shared" si="51"/>
        <v>30962274.649419442</v>
      </c>
      <c r="N315" s="508">
        <f t="shared" si="52"/>
        <v>0</v>
      </c>
      <c r="O315" s="490">
        <f t="shared" si="59"/>
        <v>0</v>
      </c>
      <c r="P315" s="490">
        <f t="shared" si="60"/>
        <v>0</v>
      </c>
      <c r="Q315" s="490">
        <f t="shared" si="61"/>
        <v>0</v>
      </c>
      <c r="R315" s="508">
        <f t="shared" si="62"/>
        <v>-8638474.6271880232</v>
      </c>
      <c r="S315" s="508">
        <f t="shared" si="53"/>
        <v>39643192.436096877</v>
      </c>
      <c r="T315" s="508">
        <f t="shared" si="63"/>
        <v>0</v>
      </c>
      <c r="U315" s="508"/>
      <c r="V315" s="508">
        <f t="shared" si="64"/>
        <v>0</v>
      </c>
      <c r="W315" s="490">
        <f>IF(B315&gt;$C$98,0,$C$309+SUM($J$312:J315))</f>
        <v>34254625.309363306</v>
      </c>
      <c r="X315" s="513">
        <f t="shared" si="65"/>
        <v>54200273.556808859</v>
      </c>
      <c r="Y315" s="7"/>
      <c r="Z315" s="7"/>
    </row>
    <row r="316" spans="1:26" x14ac:dyDescent="0.5">
      <c r="A316"/>
      <c r="B316" s="489">
        <v>4</v>
      </c>
      <c r="C316" s="511">
        <f t="shared" si="54"/>
        <v>0.1107057589641922</v>
      </c>
      <c r="D316" s="508">
        <f t="shared" si="55"/>
        <v>221411517.92838439</v>
      </c>
      <c r="E316" s="511">
        <f t="shared" si="56"/>
        <v>6.7662280180953577E-2</v>
      </c>
      <c r="F316" s="508">
        <f t="shared" si="57"/>
        <v>-135324560.36190715</v>
      </c>
      <c r="G316" s="491">
        <v>0.1249</v>
      </c>
      <c r="H316" s="508">
        <f t="shared" si="48"/>
        <v>-22092757.98649336</v>
      </c>
      <c r="I316" s="491">
        <v>2.564E-2</v>
      </c>
      <c r="J316" s="508">
        <f t="shared" si="58"/>
        <v>-939537.01065679139</v>
      </c>
      <c r="K316" s="512">
        <f t="shared" si="49"/>
        <v>63054662.569327086</v>
      </c>
      <c r="L316" s="508">
        <f t="shared" si="50"/>
        <v>-23248209.382480361</v>
      </c>
      <c r="M316" s="508">
        <f t="shared" si="51"/>
        <v>39806453.186846726</v>
      </c>
      <c r="N316" s="508">
        <f t="shared" si="52"/>
        <v>0</v>
      </c>
      <c r="O316" s="490">
        <f t="shared" si="59"/>
        <v>0</v>
      </c>
      <c r="P316" s="490">
        <f t="shared" si="60"/>
        <v>0</v>
      </c>
      <c r="Q316" s="490">
        <f t="shared" si="61"/>
        <v>0</v>
      </c>
      <c r="R316" s="508">
        <f t="shared" si="62"/>
        <v>-11106000.439130235</v>
      </c>
      <c r="S316" s="508">
        <f t="shared" si="53"/>
        <v>39643192.436096877</v>
      </c>
      <c r="T316" s="508">
        <f t="shared" si="63"/>
        <v>0</v>
      </c>
      <c r="U316" s="508"/>
      <c r="V316" s="508">
        <f t="shared" si="64"/>
        <v>0</v>
      </c>
      <c r="W316" s="490">
        <f>IF(B316&gt;$C$98,0,$C$309+SUM($J$312:J316))</f>
        <v>33315088.298706517</v>
      </c>
      <c r="X316" s="513">
        <f t="shared" si="65"/>
        <v>51732747.744866639</v>
      </c>
      <c r="Y316" s="7"/>
      <c r="Z316" s="7"/>
    </row>
    <row r="317" spans="1:26" x14ac:dyDescent="0.5">
      <c r="A317"/>
      <c r="B317" s="489">
        <v>5</v>
      </c>
      <c r="C317" s="511">
        <f t="shared" si="54"/>
        <v>0.1107057589641922</v>
      </c>
      <c r="D317" s="508">
        <f t="shared" si="55"/>
        <v>221411517.92838439</v>
      </c>
      <c r="E317" s="511">
        <f t="shared" si="56"/>
        <v>6.7662280180953577E-2</v>
      </c>
      <c r="F317" s="508">
        <f t="shared" si="57"/>
        <v>-135324560.36190715</v>
      </c>
      <c r="G317" s="491">
        <v>8.9300000000000004E-2</v>
      </c>
      <c r="H317" s="508">
        <f t="shared" si="48"/>
        <v>-15795702.867845135</v>
      </c>
      <c r="I317" s="491">
        <v>2.564E-2</v>
      </c>
      <c r="J317" s="508">
        <f t="shared" si="58"/>
        <v>-939537.01065679139</v>
      </c>
      <c r="K317" s="512">
        <f t="shared" si="49"/>
        <v>69351717.687975317</v>
      </c>
      <c r="L317" s="508">
        <f t="shared" si="50"/>
        <v>-23248209.382480361</v>
      </c>
      <c r="M317" s="508">
        <f t="shared" si="51"/>
        <v>46103508.305494957</v>
      </c>
      <c r="N317" s="508">
        <f t="shared" si="52"/>
        <v>0</v>
      </c>
      <c r="O317" s="490">
        <f t="shared" si="59"/>
        <v>0</v>
      </c>
      <c r="P317" s="490">
        <f t="shared" si="60"/>
        <v>0</v>
      </c>
      <c r="Q317" s="490">
        <f t="shared" si="61"/>
        <v>0</v>
      </c>
      <c r="R317" s="508">
        <f t="shared" si="62"/>
        <v>-12862878.817233091</v>
      </c>
      <c r="S317" s="508">
        <f t="shared" si="53"/>
        <v>39643192.436096877</v>
      </c>
      <c r="T317" s="508">
        <f t="shared" si="63"/>
        <v>0</v>
      </c>
      <c r="U317" s="508"/>
      <c r="V317" s="508">
        <f t="shared" si="64"/>
        <v>0</v>
      </c>
      <c r="W317" s="490">
        <f>IF(B317&gt;$C$98,0,$C$309+SUM($J$312:J317))</f>
        <v>32375551.288049724</v>
      </c>
      <c r="X317" s="513">
        <f t="shared" si="65"/>
        <v>49975869.366763785</v>
      </c>
      <c r="Y317" s="7"/>
      <c r="Z317" s="7"/>
    </row>
    <row r="318" spans="1:26" x14ac:dyDescent="0.5">
      <c r="A318"/>
      <c r="B318" s="489">
        <v>6</v>
      </c>
      <c r="C318" s="511">
        <f t="shared" si="54"/>
        <v>0.1107057589641922</v>
      </c>
      <c r="D318" s="508">
        <f t="shared" si="55"/>
        <v>221411517.92838439</v>
      </c>
      <c r="E318" s="511">
        <f t="shared" si="56"/>
        <v>6.7662280180953577E-2</v>
      </c>
      <c r="F318" s="508">
        <f t="shared" si="57"/>
        <v>-135324560.36190715</v>
      </c>
      <c r="G318" s="491">
        <v>8.9200000000000002E-2</v>
      </c>
      <c r="H318" s="508">
        <f t="shared" si="48"/>
        <v>-15778014.51077028</v>
      </c>
      <c r="I318" s="491">
        <v>2.564E-2</v>
      </c>
      <c r="J318" s="508">
        <f t="shared" si="58"/>
        <v>-939537.01065679139</v>
      </c>
      <c r="K318" s="512">
        <f t="shared" si="49"/>
        <v>69369406.045050174</v>
      </c>
      <c r="L318" s="508">
        <f t="shared" si="50"/>
        <v>-23248209.382480361</v>
      </c>
      <c r="M318" s="508">
        <f t="shared" si="51"/>
        <v>46121196.662569813</v>
      </c>
      <c r="N318" s="508">
        <f t="shared" si="52"/>
        <v>0</v>
      </c>
      <c r="O318" s="490">
        <f t="shared" si="59"/>
        <v>0</v>
      </c>
      <c r="P318" s="490">
        <f t="shared" si="60"/>
        <v>0</v>
      </c>
      <c r="Q318" s="490">
        <f t="shared" si="61"/>
        <v>0</v>
      </c>
      <c r="R318" s="508">
        <f t="shared" si="62"/>
        <v>-12867813.868856976</v>
      </c>
      <c r="S318" s="508">
        <f t="shared" si="53"/>
        <v>39643192.436096877</v>
      </c>
      <c r="T318" s="508">
        <f t="shared" si="63"/>
        <v>0</v>
      </c>
      <c r="U318" s="508"/>
      <c r="V318" s="508">
        <f t="shared" si="64"/>
        <v>0</v>
      </c>
      <c r="W318" s="490">
        <f>IF(B318&gt;$C$98,0,$C$309+SUM($J$312:J318))</f>
        <v>31436014.277392931</v>
      </c>
      <c r="X318" s="513">
        <f t="shared" si="65"/>
        <v>49970934.315139912</v>
      </c>
      <c r="Y318" s="7"/>
      <c r="Z318" s="7"/>
    </row>
    <row r="319" spans="1:26" x14ac:dyDescent="0.5">
      <c r="A319"/>
      <c r="B319" s="489">
        <v>7</v>
      </c>
      <c r="C319" s="511">
        <f t="shared" si="54"/>
        <v>0.1107057589641922</v>
      </c>
      <c r="D319" s="508">
        <f t="shared" si="55"/>
        <v>221411517.92838439</v>
      </c>
      <c r="E319" s="511">
        <f t="shared" si="56"/>
        <v>6.7662280180953577E-2</v>
      </c>
      <c r="F319" s="508">
        <f t="shared" si="57"/>
        <v>-135324560.36190715</v>
      </c>
      <c r="G319" s="491">
        <v>8.9300000000000004E-2</v>
      </c>
      <c r="H319" s="508">
        <f t="shared" si="48"/>
        <v>-15795702.867845135</v>
      </c>
      <c r="I319" s="491">
        <v>2.564E-2</v>
      </c>
      <c r="J319" s="508">
        <f t="shared" si="58"/>
        <v>-939537.01065679139</v>
      </c>
      <c r="K319" s="512">
        <f t="shared" si="49"/>
        <v>69351717.687975317</v>
      </c>
      <c r="L319" s="508">
        <f t="shared" si="50"/>
        <v>-23248209.382480361</v>
      </c>
      <c r="M319" s="508">
        <f t="shared" si="51"/>
        <v>46103508.305494957</v>
      </c>
      <c r="N319" s="508">
        <f t="shared" si="52"/>
        <v>-4113222.6773098633</v>
      </c>
      <c r="O319" s="490">
        <f t="shared" si="59"/>
        <v>0</v>
      </c>
      <c r="P319" s="490">
        <f t="shared" si="60"/>
        <v>0</v>
      </c>
      <c r="Q319" s="490">
        <f t="shared" si="61"/>
        <v>0</v>
      </c>
      <c r="R319" s="508">
        <f t="shared" si="62"/>
        <v>-11715289.69026364</v>
      </c>
      <c r="S319" s="508">
        <f t="shared" si="53"/>
        <v>0</v>
      </c>
      <c r="T319" s="508">
        <f t="shared" si="63"/>
        <v>-39643192.436096877</v>
      </c>
      <c r="U319" s="508"/>
      <c r="V319" s="508">
        <f t="shared" si="64"/>
        <v>26383254.589426279</v>
      </c>
      <c r="W319" s="490">
        <f>IF(B319&gt;$C$98,0,$C$309+SUM($J$312:J319))</f>
        <v>30496477.266736142</v>
      </c>
      <c r="X319" s="513">
        <f t="shared" si="65"/>
        <v>117149905.5192564</v>
      </c>
      <c r="Y319" s="7"/>
      <c r="Z319" s="7"/>
    </row>
    <row r="320" spans="1:26" x14ac:dyDescent="0.5">
      <c r="A320"/>
      <c r="B320" s="489">
        <v>8</v>
      </c>
      <c r="C320" s="511">
        <f t="shared" si="54"/>
        <v>0</v>
      </c>
      <c r="D320" s="508">
        <f t="shared" si="55"/>
        <v>0</v>
      </c>
      <c r="E320" s="511">
        <f t="shared" si="56"/>
        <v>0</v>
      </c>
      <c r="F320" s="508">
        <f t="shared" si="57"/>
        <v>0</v>
      </c>
      <c r="G320" s="491">
        <v>4.4600000000000001E-2</v>
      </c>
      <c r="H320" s="508">
        <f t="shared" si="48"/>
        <v>0</v>
      </c>
      <c r="I320" s="491">
        <v>2.564E-2</v>
      </c>
      <c r="J320" s="508">
        <f t="shared" si="58"/>
        <v>0</v>
      </c>
      <c r="K320" s="512">
        <f t="shared" si="49"/>
        <v>0</v>
      </c>
      <c r="L320" s="508">
        <f t="shared" si="50"/>
        <v>0</v>
      </c>
      <c r="M320" s="508">
        <f t="shared" si="51"/>
        <v>0</v>
      </c>
      <c r="N320" s="508">
        <f t="shared" si="52"/>
        <v>0</v>
      </c>
      <c r="O320" s="490">
        <f t="shared" si="59"/>
        <v>0</v>
      </c>
      <c r="P320" s="490">
        <f t="shared" si="60"/>
        <v>0</v>
      </c>
      <c r="Q320" s="490">
        <f t="shared" si="61"/>
        <v>0</v>
      </c>
      <c r="R320" s="508">
        <f t="shared" si="62"/>
        <v>0</v>
      </c>
      <c r="S320" s="508">
        <f t="shared" si="53"/>
        <v>0</v>
      </c>
      <c r="T320" s="508">
        <f t="shared" si="63"/>
        <v>0</v>
      </c>
      <c r="U320" s="508"/>
      <c r="V320" s="508">
        <f t="shared" si="64"/>
        <v>0</v>
      </c>
      <c r="W320" s="490">
        <f>IF(B320&gt;$C$98,0,$C$309+SUM($J$312:J320))</f>
        <v>0</v>
      </c>
      <c r="X320" s="513">
        <f t="shared" si="65"/>
        <v>0</v>
      </c>
      <c r="Y320" s="7"/>
      <c r="Z320" s="7"/>
    </row>
    <row r="321" spans="1:26" x14ac:dyDescent="0.5">
      <c r="A321"/>
      <c r="B321" s="489">
        <v>9</v>
      </c>
      <c r="C321" s="511">
        <f t="shared" si="54"/>
        <v>0</v>
      </c>
      <c r="D321" s="508">
        <f t="shared" si="55"/>
        <v>0</v>
      </c>
      <c r="E321" s="511">
        <f t="shared" si="56"/>
        <v>0</v>
      </c>
      <c r="F321" s="508">
        <f t="shared" si="57"/>
        <v>0</v>
      </c>
      <c r="G321" s="491">
        <v>0</v>
      </c>
      <c r="H321" s="508">
        <f t="shared" si="48"/>
        <v>0</v>
      </c>
      <c r="I321" s="491">
        <v>2.564E-2</v>
      </c>
      <c r="J321" s="508">
        <f t="shared" si="58"/>
        <v>0</v>
      </c>
      <c r="K321" s="512">
        <f t="shared" si="49"/>
        <v>0</v>
      </c>
      <c r="L321" s="508">
        <f t="shared" si="50"/>
        <v>0</v>
      </c>
      <c r="M321" s="508">
        <f t="shared" si="51"/>
        <v>0</v>
      </c>
      <c r="N321" s="508">
        <f t="shared" si="52"/>
        <v>0</v>
      </c>
      <c r="O321" s="490">
        <f t="shared" si="59"/>
        <v>0</v>
      </c>
      <c r="P321" s="490">
        <f t="shared" si="60"/>
        <v>0</v>
      </c>
      <c r="Q321" s="490">
        <f t="shared" si="61"/>
        <v>0</v>
      </c>
      <c r="R321" s="508">
        <f t="shared" si="62"/>
        <v>0</v>
      </c>
      <c r="S321" s="508">
        <f t="shared" si="53"/>
        <v>0</v>
      </c>
      <c r="T321" s="508">
        <f t="shared" si="63"/>
        <v>0</v>
      </c>
      <c r="U321" s="508"/>
      <c r="V321" s="508">
        <f t="shared" si="64"/>
        <v>0</v>
      </c>
      <c r="W321" s="490">
        <f>IF(B321&gt;$C$98,0,$C$309+SUM($J$312:J321))</f>
        <v>0</v>
      </c>
      <c r="X321" s="513">
        <f t="shared" si="65"/>
        <v>0</v>
      </c>
      <c r="Y321" s="7"/>
      <c r="Z321" s="7"/>
    </row>
    <row r="322" spans="1:26" x14ac:dyDescent="0.5">
      <c r="A322"/>
      <c r="B322" s="489">
        <v>10</v>
      </c>
      <c r="C322" s="511">
        <f t="shared" si="54"/>
        <v>0</v>
      </c>
      <c r="D322" s="508">
        <f t="shared" si="55"/>
        <v>0</v>
      </c>
      <c r="E322" s="511">
        <f t="shared" si="56"/>
        <v>0</v>
      </c>
      <c r="F322" s="508">
        <f t="shared" si="57"/>
        <v>0</v>
      </c>
      <c r="G322" s="491">
        <v>0</v>
      </c>
      <c r="H322" s="508">
        <f t="shared" si="48"/>
        <v>0</v>
      </c>
      <c r="I322" s="491">
        <v>2.564E-2</v>
      </c>
      <c r="J322" s="508">
        <f t="shared" si="58"/>
        <v>0</v>
      </c>
      <c r="K322" s="512">
        <f t="shared" si="49"/>
        <v>0</v>
      </c>
      <c r="L322" s="508">
        <f t="shared" si="50"/>
        <v>0</v>
      </c>
      <c r="M322" s="508">
        <f t="shared" si="51"/>
        <v>0</v>
      </c>
      <c r="N322" s="508">
        <f t="shared" si="52"/>
        <v>0</v>
      </c>
      <c r="O322" s="490">
        <f t="shared" si="59"/>
        <v>0</v>
      </c>
      <c r="P322" s="490">
        <f t="shared" si="60"/>
        <v>0</v>
      </c>
      <c r="Q322" s="490">
        <f t="shared" si="61"/>
        <v>0</v>
      </c>
      <c r="R322" s="508">
        <f t="shared" si="62"/>
        <v>0</v>
      </c>
      <c r="S322" s="508">
        <f t="shared" si="53"/>
        <v>0</v>
      </c>
      <c r="T322" s="508">
        <f t="shared" si="63"/>
        <v>0</v>
      </c>
      <c r="U322" s="508"/>
      <c r="V322" s="508">
        <f t="shared" si="64"/>
        <v>0</v>
      </c>
      <c r="W322" s="490">
        <f>IF(B322&gt;$C$98,0,$C$309+SUM($J$312:J322))</f>
        <v>0</v>
      </c>
      <c r="X322" s="513">
        <f t="shared" si="65"/>
        <v>0</v>
      </c>
      <c r="Y322" s="7"/>
      <c r="Z322" s="7"/>
    </row>
    <row r="323" spans="1:26" x14ac:dyDescent="0.5">
      <c r="A323"/>
      <c r="B323" s="489">
        <v>11</v>
      </c>
      <c r="C323" s="511">
        <f t="shared" si="54"/>
        <v>0</v>
      </c>
      <c r="D323" s="508">
        <f t="shared" si="55"/>
        <v>0</v>
      </c>
      <c r="E323" s="511">
        <f t="shared" si="56"/>
        <v>0</v>
      </c>
      <c r="F323" s="508">
        <f t="shared" si="57"/>
        <v>0</v>
      </c>
      <c r="G323" s="491">
        <v>0</v>
      </c>
      <c r="H323" s="508">
        <f t="shared" si="48"/>
        <v>0</v>
      </c>
      <c r="I323" s="491">
        <v>2.564E-2</v>
      </c>
      <c r="J323" s="508">
        <f t="shared" si="58"/>
        <v>0</v>
      </c>
      <c r="K323" s="512">
        <f t="shared" si="49"/>
        <v>0</v>
      </c>
      <c r="L323" s="508">
        <f t="shared" si="50"/>
        <v>0</v>
      </c>
      <c r="M323" s="508">
        <f t="shared" si="51"/>
        <v>0</v>
      </c>
      <c r="N323" s="508">
        <f t="shared" si="52"/>
        <v>0</v>
      </c>
      <c r="O323" s="490">
        <f t="shared" si="59"/>
        <v>0</v>
      </c>
      <c r="P323" s="490">
        <f t="shared" si="60"/>
        <v>0</v>
      </c>
      <c r="Q323" s="490">
        <f t="shared" si="61"/>
        <v>0</v>
      </c>
      <c r="R323" s="508">
        <f t="shared" si="62"/>
        <v>0</v>
      </c>
      <c r="S323" s="508">
        <f t="shared" si="53"/>
        <v>0</v>
      </c>
      <c r="T323" s="508">
        <f t="shared" si="63"/>
        <v>0</v>
      </c>
      <c r="U323" s="508"/>
      <c r="V323" s="508">
        <f t="shared" si="64"/>
        <v>0</v>
      </c>
      <c r="W323" s="490">
        <f>IF(B323&gt;$C$98,0,$C$309+SUM($J$312:J323))</f>
        <v>0</v>
      </c>
      <c r="X323" s="513">
        <f t="shared" si="65"/>
        <v>0</v>
      </c>
      <c r="Y323" s="7"/>
      <c r="Z323" s="7"/>
    </row>
    <row r="324" spans="1:26" x14ac:dyDescent="0.5">
      <c r="A324"/>
      <c r="B324" s="489">
        <v>12</v>
      </c>
      <c r="C324" s="511">
        <f t="shared" si="54"/>
        <v>0</v>
      </c>
      <c r="D324" s="508">
        <f t="shared" si="55"/>
        <v>0</v>
      </c>
      <c r="E324" s="511">
        <f t="shared" si="56"/>
        <v>0</v>
      </c>
      <c r="F324" s="508">
        <f t="shared" si="57"/>
        <v>0</v>
      </c>
      <c r="G324" s="491">
        <v>0</v>
      </c>
      <c r="H324" s="508">
        <f t="shared" si="48"/>
        <v>0</v>
      </c>
      <c r="I324" s="491">
        <v>2.564E-2</v>
      </c>
      <c r="J324" s="508">
        <f t="shared" si="58"/>
        <v>0</v>
      </c>
      <c r="K324" s="512">
        <f t="shared" si="49"/>
        <v>0</v>
      </c>
      <c r="L324" s="508">
        <f t="shared" si="50"/>
        <v>0</v>
      </c>
      <c r="M324" s="508">
        <f t="shared" si="51"/>
        <v>0</v>
      </c>
      <c r="N324" s="508">
        <f t="shared" si="52"/>
        <v>0</v>
      </c>
      <c r="O324" s="490">
        <f t="shared" si="59"/>
        <v>0</v>
      </c>
      <c r="P324" s="490">
        <f t="shared" si="60"/>
        <v>0</v>
      </c>
      <c r="Q324" s="490">
        <f t="shared" si="61"/>
        <v>0</v>
      </c>
      <c r="R324" s="508">
        <f t="shared" si="62"/>
        <v>0</v>
      </c>
      <c r="S324" s="508">
        <f t="shared" si="53"/>
        <v>0</v>
      </c>
      <c r="T324" s="508">
        <f t="shared" si="63"/>
        <v>0</v>
      </c>
      <c r="U324" s="508"/>
      <c r="V324" s="508">
        <f t="shared" si="64"/>
        <v>0</v>
      </c>
      <c r="W324" s="490">
        <f>IF(B324&gt;$C$98,0,$C$309+SUM($J$312:J324))</f>
        <v>0</v>
      </c>
      <c r="X324" s="513">
        <f t="shared" si="65"/>
        <v>0</v>
      </c>
      <c r="Y324" s="7"/>
      <c r="Z324" s="7"/>
    </row>
    <row r="325" spans="1:26" x14ac:dyDescent="0.5">
      <c r="A325"/>
      <c r="B325" s="489">
        <v>13</v>
      </c>
      <c r="C325" s="511">
        <f t="shared" si="54"/>
        <v>0</v>
      </c>
      <c r="D325" s="508">
        <f t="shared" si="55"/>
        <v>0</v>
      </c>
      <c r="E325" s="511">
        <f t="shared" si="56"/>
        <v>0</v>
      </c>
      <c r="F325" s="508">
        <f t="shared" si="57"/>
        <v>0</v>
      </c>
      <c r="G325" s="491">
        <v>0</v>
      </c>
      <c r="H325" s="508">
        <f t="shared" si="48"/>
        <v>0</v>
      </c>
      <c r="I325" s="491">
        <v>2.564E-2</v>
      </c>
      <c r="J325" s="508">
        <f t="shared" si="58"/>
        <v>0</v>
      </c>
      <c r="K325" s="512">
        <f t="shared" si="49"/>
        <v>0</v>
      </c>
      <c r="L325" s="508">
        <f t="shared" si="50"/>
        <v>0</v>
      </c>
      <c r="M325" s="508">
        <f t="shared" si="51"/>
        <v>0</v>
      </c>
      <c r="N325" s="508">
        <f t="shared" si="52"/>
        <v>0</v>
      </c>
      <c r="O325" s="490">
        <f t="shared" si="59"/>
        <v>0</v>
      </c>
      <c r="P325" s="490">
        <f t="shared" si="60"/>
        <v>0</v>
      </c>
      <c r="Q325" s="490">
        <f t="shared" si="61"/>
        <v>0</v>
      </c>
      <c r="R325" s="508">
        <f t="shared" si="62"/>
        <v>0</v>
      </c>
      <c r="S325" s="508">
        <f t="shared" si="53"/>
        <v>0</v>
      </c>
      <c r="T325" s="508">
        <f t="shared" si="63"/>
        <v>0</v>
      </c>
      <c r="U325" s="508"/>
      <c r="V325" s="508">
        <f t="shared" si="64"/>
        <v>0</v>
      </c>
      <c r="W325" s="490">
        <f>IF(B325&gt;$C$98,0,$C$309+SUM($J$312:J325))</f>
        <v>0</v>
      </c>
      <c r="X325" s="513">
        <f t="shared" si="65"/>
        <v>0</v>
      </c>
      <c r="Y325" s="7"/>
      <c r="Z325" s="7"/>
    </row>
    <row r="326" spans="1:26" x14ac:dyDescent="0.5">
      <c r="A326"/>
      <c r="B326" s="489">
        <v>14</v>
      </c>
      <c r="C326" s="511">
        <f t="shared" si="54"/>
        <v>0</v>
      </c>
      <c r="D326" s="508">
        <f t="shared" si="55"/>
        <v>0</v>
      </c>
      <c r="E326" s="511">
        <f t="shared" si="56"/>
        <v>0</v>
      </c>
      <c r="F326" s="508">
        <f t="shared" si="57"/>
        <v>0</v>
      </c>
      <c r="G326" s="491">
        <v>0</v>
      </c>
      <c r="H326" s="508">
        <f t="shared" si="48"/>
        <v>0</v>
      </c>
      <c r="I326" s="491">
        <v>2.564E-2</v>
      </c>
      <c r="J326" s="508">
        <f t="shared" si="58"/>
        <v>0</v>
      </c>
      <c r="K326" s="512">
        <f t="shared" si="49"/>
        <v>0</v>
      </c>
      <c r="L326" s="508">
        <f t="shared" si="50"/>
        <v>0</v>
      </c>
      <c r="M326" s="508">
        <f t="shared" si="51"/>
        <v>0</v>
      </c>
      <c r="N326" s="508">
        <f t="shared" si="52"/>
        <v>0</v>
      </c>
      <c r="O326" s="490">
        <f t="shared" si="59"/>
        <v>0</v>
      </c>
      <c r="P326" s="490">
        <f t="shared" si="60"/>
        <v>0</v>
      </c>
      <c r="Q326" s="490">
        <f t="shared" si="61"/>
        <v>0</v>
      </c>
      <c r="R326" s="508">
        <f t="shared" si="62"/>
        <v>0</v>
      </c>
      <c r="S326" s="508">
        <f t="shared" si="53"/>
        <v>0</v>
      </c>
      <c r="T326" s="508">
        <f t="shared" si="63"/>
        <v>0</v>
      </c>
      <c r="U326" s="508"/>
      <c r="V326" s="508">
        <f t="shared" si="64"/>
        <v>0</v>
      </c>
      <c r="W326" s="490">
        <f>IF(B326&gt;$C$98,0,$C$309+SUM($J$312:J326))</f>
        <v>0</v>
      </c>
      <c r="X326" s="513">
        <f t="shared" si="65"/>
        <v>0</v>
      </c>
      <c r="Y326" s="7"/>
      <c r="Z326" s="7"/>
    </row>
    <row r="327" spans="1:26" x14ac:dyDescent="0.5">
      <c r="A327"/>
      <c r="B327" s="489">
        <v>15</v>
      </c>
      <c r="C327" s="511">
        <f t="shared" si="54"/>
        <v>0</v>
      </c>
      <c r="D327" s="508">
        <f t="shared" si="55"/>
        <v>0</v>
      </c>
      <c r="E327" s="511">
        <f t="shared" si="56"/>
        <v>0</v>
      </c>
      <c r="F327" s="508">
        <f t="shared" si="57"/>
        <v>0</v>
      </c>
      <c r="G327" s="491">
        <v>0</v>
      </c>
      <c r="H327" s="508">
        <f t="shared" si="48"/>
        <v>0</v>
      </c>
      <c r="I327" s="491">
        <v>2.564E-2</v>
      </c>
      <c r="J327" s="508">
        <f t="shared" si="58"/>
        <v>0</v>
      </c>
      <c r="K327" s="512">
        <f t="shared" si="49"/>
        <v>0</v>
      </c>
      <c r="L327" s="508">
        <f t="shared" si="50"/>
        <v>0</v>
      </c>
      <c r="M327" s="508">
        <f t="shared" si="51"/>
        <v>0</v>
      </c>
      <c r="N327" s="508">
        <f t="shared" si="52"/>
        <v>0</v>
      </c>
      <c r="O327" s="490">
        <f t="shared" si="59"/>
        <v>0</v>
      </c>
      <c r="P327" s="490">
        <f t="shared" si="60"/>
        <v>0</v>
      </c>
      <c r="Q327" s="490">
        <f t="shared" si="61"/>
        <v>0</v>
      </c>
      <c r="R327" s="508">
        <f t="shared" si="62"/>
        <v>0</v>
      </c>
      <c r="S327" s="508">
        <f t="shared" si="53"/>
        <v>0</v>
      </c>
      <c r="T327" s="508">
        <f t="shared" si="63"/>
        <v>0</v>
      </c>
      <c r="U327" s="508"/>
      <c r="V327" s="508">
        <f t="shared" si="64"/>
        <v>0</v>
      </c>
      <c r="W327" s="490">
        <f>IF(B327&gt;$C$98,0,$C$309+SUM($J$312:J327))</f>
        <v>0</v>
      </c>
      <c r="X327" s="513">
        <f t="shared" si="65"/>
        <v>0</v>
      </c>
      <c r="Y327" s="7"/>
      <c r="Z327" s="7"/>
    </row>
    <row r="328" spans="1:26" x14ac:dyDescent="0.5">
      <c r="A328"/>
      <c r="B328" s="489">
        <v>16</v>
      </c>
      <c r="C328" s="511">
        <f t="shared" si="54"/>
        <v>0</v>
      </c>
      <c r="D328" s="508">
        <f t="shared" si="55"/>
        <v>0</v>
      </c>
      <c r="E328" s="511">
        <f t="shared" si="56"/>
        <v>0</v>
      </c>
      <c r="F328" s="508">
        <f t="shared" si="57"/>
        <v>0</v>
      </c>
      <c r="G328" s="491">
        <v>0</v>
      </c>
      <c r="H328" s="508">
        <f t="shared" si="48"/>
        <v>0</v>
      </c>
      <c r="I328" s="491">
        <v>2.564E-2</v>
      </c>
      <c r="J328" s="508">
        <f t="shared" si="58"/>
        <v>0</v>
      </c>
      <c r="K328" s="512">
        <f t="shared" si="49"/>
        <v>0</v>
      </c>
      <c r="L328" s="508">
        <f t="shared" si="50"/>
        <v>0</v>
      </c>
      <c r="M328" s="508">
        <f t="shared" si="51"/>
        <v>0</v>
      </c>
      <c r="N328" s="508">
        <f t="shared" si="52"/>
        <v>0</v>
      </c>
      <c r="O328" s="490">
        <f t="shared" si="59"/>
        <v>0</v>
      </c>
      <c r="P328" s="490">
        <f t="shared" si="60"/>
        <v>0</v>
      </c>
      <c r="Q328" s="490">
        <f t="shared" si="61"/>
        <v>0</v>
      </c>
      <c r="R328" s="508">
        <f t="shared" si="62"/>
        <v>0</v>
      </c>
      <c r="S328" s="508">
        <f t="shared" si="53"/>
        <v>0</v>
      </c>
      <c r="T328" s="508">
        <f t="shared" si="63"/>
        <v>0</v>
      </c>
      <c r="U328" s="508"/>
      <c r="V328" s="508">
        <f t="shared" si="64"/>
        <v>0</v>
      </c>
      <c r="W328" s="490">
        <f>IF(B328&gt;$C$98,0,$C$309+SUM($J$312:J328))</f>
        <v>0</v>
      </c>
      <c r="X328" s="513">
        <f t="shared" si="65"/>
        <v>0</v>
      </c>
      <c r="Y328" s="7"/>
      <c r="Z328" s="7"/>
    </row>
    <row r="329" spans="1:26" x14ac:dyDescent="0.5">
      <c r="A329"/>
      <c r="B329" s="489">
        <v>17</v>
      </c>
      <c r="C329" s="511">
        <f t="shared" si="54"/>
        <v>0</v>
      </c>
      <c r="D329" s="508">
        <f t="shared" si="55"/>
        <v>0</v>
      </c>
      <c r="E329" s="511">
        <f t="shared" si="56"/>
        <v>0</v>
      </c>
      <c r="F329" s="508">
        <f t="shared" si="57"/>
        <v>0</v>
      </c>
      <c r="G329" s="491">
        <v>0</v>
      </c>
      <c r="H329" s="508">
        <f t="shared" si="48"/>
        <v>0</v>
      </c>
      <c r="I329" s="491">
        <v>2.564E-2</v>
      </c>
      <c r="J329" s="508">
        <f t="shared" si="58"/>
        <v>0</v>
      </c>
      <c r="K329" s="512">
        <f t="shared" si="49"/>
        <v>0</v>
      </c>
      <c r="L329" s="508">
        <f t="shared" si="50"/>
        <v>0</v>
      </c>
      <c r="M329" s="508">
        <f t="shared" si="51"/>
        <v>0</v>
      </c>
      <c r="N329" s="508">
        <f t="shared" si="52"/>
        <v>0</v>
      </c>
      <c r="O329" s="490">
        <f t="shared" si="59"/>
        <v>0</v>
      </c>
      <c r="P329" s="490">
        <f t="shared" si="60"/>
        <v>0</v>
      </c>
      <c r="Q329" s="490">
        <f t="shared" si="61"/>
        <v>0</v>
      </c>
      <c r="R329" s="508">
        <f t="shared" si="62"/>
        <v>0</v>
      </c>
      <c r="S329" s="508">
        <f t="shared" si="53"/>
        <v>0</v>
      </c>
      <c r="T329" s="508">
        <f t="shared" si="63"/>
        <v>0</v>
      </c>
      <c r="U329" s="508"/>
      <c r="V329" s="508">
        <f t="shared" si="64"/>
        <v>0</v>
      </c>
      <c r="W329" s="490">
        <f>IF(B329&gt;$C$98,0,$C$309+SUM($J$312:J329))</f>
        <v>0</v>
      </c>
      <c r="X329" s="513">
        <f t="shared" si="65"/>
        <v>0</v>
      </c>
      <c r="Y329" s="7"/>
      <c r="Z329" s="7"/>
    </row>
    <row r="330" spans="1:26" x14ac:dyDescent="0.5">
      <c r="A330"/>
      <c r="B330" s="489">
        <v>18</v>
      </c>
      <c r="C330" s="511">
        <f t="shared" si="54"/>
        <v>0</v>
      </c>
      <c r="D330" s="508">
        <f t="shared" si="55"/>
        <v>0</v>
      </c>
      <c r="E330" s="511">
        <f t="shared" si="56"/>
        <v>0</v>
      </c>
      <c r="F330" s="508">
        <f t="shared" si="57"/>
        <v>0</v>
      </c>
      <c r="G330" s="491">
        <v>0</v>
      </c>
      <c r="H330" s="508">
        <f t="shared" si="48"/>
        <v>0</v>
      </c>
      <c r="I330" s="491">
        <v>2.564E-2</v>
      </c>
      <c r="J330" s="508">
        <f t="shared" si="58"/>
        <v>0</v>
      </c>
      <c r="K330" s="512">
        <f t="shared" si="49"/>
        <v>0</v>
      </c>
      <c r="L330" s="508">
        <f t="shared" si="50"/>
        <v>0</v>
      </c>
      <c r="M330" s="508">
        <f t="shared" si="51"/>
        <v>0</v>
      </c>
      <c r="N330" s="508">
        <f t="shared" si="52"/>
        <v>0</v>
      </c>
      <c r="O330" s="490">
        <f t="shared" si="59"/>
        <v>0</v>
      </c>
      <c r="P330" s="490">
        <f t="shared" si="60"/>
        <v>0</v>
      </c>
      <c r="Q330" s="490">
        <f t="shared" si="61"/>
        <v>0</v>
      </c>
      <c r="R330" s="508">
        <f t="shared" si="62"/>
        <v>0</v>
      </c>
      <c r="S330" s="508">
        <f t="shared" si="53"/>
        <v>0</v>
      </c>
      <c r="T330" s="508">
        <f t="shared" si="63"/>
        <v>0</v>
      </c>
      <c r="U330" s="508"/>
      <c r="V330" s="508">
        <f t="shared" si="64"/>
        <v>0</v>
      </c>
      <c r="W330" s="490">
        <f>IF(B330&gt;$C$98,0,$C$309+SUM($J$312:J330))</f>
        <v>0</v>
      </c>
      <c r="X330" s="513">
        <f t="shared" si="65"/>
        <v>0</v>
      </c>
      <c r="Y330" s="7"/>
      <c r="Z330" s="7"/>
    </row>
    <row r="331" spans="1:26" x14ac:dyDescent="0.5">
      <c r="A331"/>
      <c r="B331" s="489">
        <v>19</v>
      </c>
      <c r="C331" s="511">
        <f t="shared" si="54"/>
        <v>0</v>
      </c>
      <c r="D331" s="508">
        <f t="shared" si="55"/>
        <v>0</v>
      </c>
      <c r="E331" s="511">
        <f t="shared" si="56"/>
        <v>0</v>
      </c>
      <c r="F331" s="508">
        <f t="shared" si="57"/>
        <v>0</v>
      </c>
      <c r="G331" s="491">
        <v>0</v>
      </c>
      <c r="H331" s="508">
        <f t="shared" si="48"/>
        <v>0</v>
      </c>
      <c r="I331" s="491">
        <v>2.564E-2</v>
      </c>
      <c r="J331" s="508">
        <f t="shared" si="58"/>
        <v>0</v>
      </c>
      <c r="K331" s="512">
        <f t="shared" si="49"/>
        <v>0</v>
      </c>
      <c r="L331" s="508">
        <f t="shared" si="50"/>
        <v>0</v>
      </c>
      <c r="M331" s="508">
        <f t="shared" si="51"/>
        <v>0</v>
      </c>
      <c r="N331" s="508">
        <f t="shared" si="52"/>
        <v>0</v>
      </c>
      <c r="O331" s="490">
        <f t="shared" si="59"/>
        <v>0</v>
      </c>
      <c r="P331" s="490">
        <f t="shared" si="60"/>
        <v>0</v>
      </c>
      <c r="Q331" s="490">
        <f t="shared" si="61"/>
        <v>0</v>
      </c>
      <c r="R331" s="508">
        <f t="shared" si="62"/>
        <v>0</v>
      </c>
      <c r="S331" s="508">
        <f t="shared" si="53"/>
        <v>0</v>
      </c>
      <c r="T331" s="508">
        <f t="shared" si="63"/>
        <v>0</v>
      </c>
      <c r="U331" s="508"/>
      <c r="V331" s="508">
        <f t="shared" si="64"/>
        <v>0</v>
      </c>
      <c r="W331" s="490">
        <f>IF(B331&gt;$C$98,0,$C$309+SUM($J$312:J331))</f>
        <v>0</v>
      </c>
      <c r="X331" s="513">
        <f t="shared" si="65"/>
        <v>0</v>
      </c>
      <c r="Y331" s="7"/>
      <c r="Z331" s="7"/>
    </row>
    <row r="332" spans="1:26" x14ac:dyDescent="0.5">
      <c r="A332"/>
      <c r="B332" s="489">
        <v>20</v>
      </c>
      <c r="C332" s="511">
        <f t="shared" si="54"/>
        <v>0</v>
      </c>
      <c r="D332" s="508">
        <f t="shared" si="55"/>
        <v>0</v>
      </c>
      <c r="E332" s="511">
        <f t="shared" si="56"/>
        <v>0</v>
      </c>
      <c r="F332" s="508">
        <f t="shared" si="57"/>
        <v>0</v>
      </c>
      <c r="G332" s="491">
        <v>0</v>
      </c>
      <c r="H332" s="508">
        <f t="shared" si="48"/>
        <v>0</v>
      </c>
      <c r="I332" s="491">
        <v>2.564E-2</v>
      </c>
      <c r="J332" s="508">
        <f t="shared" si="58"/>
        <v>0</v>
      </c>
      <c r="K332" s="512">
        <f t="shared" si="49"/>
        <v>0</v>
      </c>
      <c r="L332" s="508">
        <f t="shared" si="50"/>
        <v>0</v>
      </c>
      <c r="M332" s="508">
        <f t="shared" si="51"/>
        <v>0</v>
      </c>
      <c r="N332" s="508">
        <f t="shared" si="52"/>
        <v>0</v>
      </c>
      <c r="O332" s="490">
        <f t="shared" si="59"/>
        <v>0</v>
      </c>
      <c r="P332" s="490">
        <f t="shared" si="60"/>
        <v>0</v>
      </c>
      <c r="Q332" s="490">
        <f t="shared" si="61"/>
        <v>0</v>
      </c>
      <c r="R332" s="508">
        <f t="shared" si="62"/>
        <v>0</v>
      </c>
      <c r="S332" s="508">
        <f t="shared" si="53"/>
        <v>0</v>
      </c>
      <c r="T332" s="508">
        <f t="shared" si="63"/>
        <v>0</v>
      </c>
      <c r="U332" s="508"/>
      <c r="V332" s="508">
        <f t="shared" si="64"/>
        <v>0</v>
      </c>
      <c r="W332" s="490">
        <f>IF(B332&gt;$C$98,0,$C$309+SUM($J$312:J332))</f>
        <v>0</v>
      </c>
      <c r="X332" s="513">
        <f t="shared" si="65"/>
        <v>0</v>
      </c>
      <c r="Y332" s="7"/>
      <c r="Z332" s="7"/>
    </row>
    <row r="333" spans="1:26" x14ac:dyDescent="0.5">
      <c r="A333"/>
      <c r="B333" s="489"/>
      <c r="C333" s="511"/>
      <c r="D333" s="514"/>
      <c r="E333" s="491"/>
      <c r="F333" s="514"/>
      <c r="G333" s="491"/>
      <c r="H333" s="514"/>
      <c r="I333" s="491"/>
      <c r="J333" s="514"/>
      <c r="K333" s="514"/>
      <c r="L333" s="514"/>
      <c r="M333" s="514"/>
      <c r="N333" s="491"/>
      <c r="O333" s="491"/>
      <c r="P333" s="491"/>
      <c r="Q333" s="491"/>
      <c r="R333" s="514"/>
      <c r="S333" s="514"/>
      <c r="T333" s="491"/>
      <c r="U333" s="491"/>
      <c r="V333" s="491"/>
      <c r="W333" s="500" t="s">
        <v>297</v>
      </c>
      <c r="X333" s="515">
        <f>NPV($C$21,X313:X332)+X312</f>
        <v>0</v>
      </c>
      <c r="Y333" s="7"/>
      <c r="Z333" s="7"/>
    </row>
    <row r="334" spans="1:26" x14ac:dyDescent="0.5">
      <c r="A334"/>
      <c r="B334" s="489"/>
      <c r="C334" s="511"/>
      <c r="D334" s="516"/>
      <c r="E334" s="491"/>
      <c r="F334" s="516"/>
      <c r="G334" s="491"/>
      <c r="H334" s="516"/>
      <c r="I334" s="491"/>
      <c r="J334" s="516"/>
      <c r="K334" s="516"/>
      <c r="L334" s="516"/>
      <c r="M334" s="516"/>
      <c r="N334" s="491"/>
      <c r="O334" s="491"/>
      <c r="P334" s="491"/>
      <c r="Q334" s="491"/>
      <c r="R334" s="516"/>
      <c r="S334" s="516"/>
      <c r="T334" s="491"/>
      <c r="U334" s="491"/>
      <c r="V334" s="491"/>
      <c r="W334" s="500" t="s">
        <v>269</v>
      </c>
      <c r="X334" s="517">
        <f>IRR(X312:X332,0.1)</f>
        <v>0.14000000000000012</v>
      </c>
      <c r="Y334" s="7"/>
      <c r="Z334" s="7"/>
    </row>
    <row r="335" spans="1:26" x14ac:dyDescent="0.5">
      <c r="A335"/>
      <c r="B335" s="489"/>
      <c r="C335" s="511"/>
      <c r="D335" s="518"/>
      <c r="E335" s="491"/>
      <c r="F335" s="491"/>
      <c r="G335" s="491"/>
      <c r="H335" s="491"/>
      <c r="I335" s="491"/>
      <c r="J335" s="500"/>
      <c r="K335" s="491"/>
      <c r="L335" s="491"/>
      <c r="M335" s="491"/>
      <c r="N335" s="491"/>
      <c r="O335" s="491"/>
      <c r="P335" s="491"/>
      <c r="Q335" s="491"/>
      <c r="R335" s="491"/>
      <c r="S335" s="491"/>
      <c r="T335" s="491"/>
      <c r="U335" s="491"/>
      <c r="V335" s="491"/>
      <c r="W335" s="491"/>
      <c r="X335" s="493"/>
      <c r="Y335" s="7"/>
      <c r="Z335" s="7"/>
    </row>
    <row r="336" spans="1:26" x14ac:dyDescent="0.5">
      <c r="A336"/>
      <c r="B336" s="497" t="s">
        <v>144</v>
      </c>
      <c r="C336" s="511"/>
      <c r="D336" s="499"/>
      <c r="E336" s="491"/>
      <c r="F336" s="500"/>
      <c r="G336" s="491"/>
      <c r="H336" s="491"/>
      <c r="I336" s="491"/>
      <c r="J336" s="491"/>
      <c r="K336" s="491"/>
      <c r="L336" s="491"/>
      <c r="M336" s="491"/>
      <c r="N336" s="491"/>
      <c r="O336" s="491"/>
      <c r="P336" s="491"/>
      <c r="Q336" s="491"/>
      <c r="R336" s="491"/>
      <c r="S336" s="491"/>
      <c r="T336" s="491"/>
      <c r="U336" s="491"/>
      <c r="V336" s="491"/>
      <c r="W336" s="491"/>
      <c r="X336" s="493"/>
      <c r="Y336" s="7"/>
      <c r="Z336" s="7"/>
    </row>
    <row r="337" spans="1:26" x14ac:dyDescent="0.5">
      <c r="A337"/>
      <c r="B337" s="489" t="s">
        <v>300</v>
      </c>
      <c r="C337" s="496">
        <f>H140*C272*1000000</f>
        <v>551992552.85830486</v>
      </c>
      <c r="D337" s="491" t="s">
        <v>226</v>
      </c>
      <c r="E337" s="491"/>
      <c r="F337" s="491"/>
      <c r="G337" s="491"/>
      <c r="H337" s="491"/>
      <c r="I337" s="491"/>
      <c r="J337" s="491"/>
      <c r="K337" s="491"/>
      <c r="L337" s="491"/>
      <c r="M337" s="491"/>
      <c r="N337" s="491"/>
      <c r="O337" s="491"/>
      <c r="P337" s="491"/>
      <c r="Q337" s="491"/>
      <c r="R337" s="491"/>
      <c r="S337" s="491"/>
      <c r="T337" s="491"/>
      <c r="U337" s="491"/>
      <c r="V337" s="491"/>
      <c r="W337" s="491"/>
      <c r="X337" s="493"/>
      <c r="Y337" s="7"/>
      <c r="Z337" s="7"/>
    </row>
    <row r="338" spans="1:26" x14ac:dyDescent="0.5">
      <c r="A338"/>
      <c r="B338" s="489" t="s">
        <v>301</v>
      </c>
      <c r="C338" s="496">
        <f>I140*C272*1000000</f>
        <v>91071050.205298066</v>
      </c>
      <c r="D338" s="491" t="s">
        <v>226</v>
      </c>
      <c r="E338" s="491"/>
      <c r="F338" s="491"/>
      <c r="G338" s="490"/>
      <c r="H338" s="491"/>
      <c r="I338" s="491"/>
      <c r="J338" s="491"/>
      <c r="K338" s="491"/>
      <c r="L338" s="491"/>
      <c r="M338" s="491"/>
      <c r="N338" s="491"/>
      <c r="O338" s="491"/>
      <c r="P338" s="491"/>
      <c r="Q338" s="491"/>
      <c r="R338" s="491"/>
      <c r="S338" s="491"/>
      <c r="T338" s="491"/>
      <c r="U338" s="491"/>
      <c r="V338" s="491"/>
      <c r="W338" s="491"/>
      <c r="X338" s="493"/>
      <c r="Y338" s="7"/>
      <c r="Z338" s="7"/>
    </row>
    <row r="339" spans="1:26" x14ac:dyDescent="0.5">
      <c r="A339"/>
      <c r="B339" s="489"/>
      <c r="C339" s="511"/>
      <c r="D339" s="499"/>
      <c r="E339" s="491"/>
      <c r="F339" s="500"/>
      <c r="G339" s="491"/>
      <c r="H339" s="491"/>
      <c r="I339" s="491"/>
      <c r="J339" s="491"/>
      <c r="K339" s="491"/>
      <c r="L339" s="491"/>
      <c r="M339" s="491"/>
      <c r="N339" s="491"/>
      <c r="O339" s="491"/>
      <c r="P339" s="491"/>
      <c r="Q339" s="491"/>
      <c r="R339" s="491"/>
      <c r="S339" s="491"/>
      <c r="T339" s="491"/>
      <c r="U339" s="491"/>
      <c r="V339" s="491"/>
      <c r="W339" s="491"/>
      <c r="X339" s="493"/>
      <c r="Y339" s="7"/>
      <c r="Z339" s="7"/>
    </row>
    <row r="340" spans="1:26" x14ac:dyDescent="0.5">
      <c r="A340"/>
      <c r="B340" s="501" t="s">
        <v>274</v>
      </c>
      <c r="C340" s="502" t="s">
        <v>275</v>
      </c>
      <c r="D340" s="503" t="s">
        <v>276</v>
      </c>
      <c r="E340" s="503" t="s">
        <v>277</v>
      </c>
      <c r="F340" s="503" t="s">
        <v>278</v>
      </c>
      <c r="G340" s="503" t="s">
        <v>279</v>
      </c>
      <c r="H340" s="503" t="s">
        <v>280</v>
      </c>
      <c r="I340" s="503" t="s">
        <v>281</v>
      </c>
      <c r="J340" s="503" t="s">
        <v>282</v>
      </c>
      <c r="K340" s="503" t="s">
        <v>283</v>
      </c>
      <c r="L340" s="503" t="s">
        <v>284</v>
      </c>
      <c r="M340" s="503" t="s">
        <v>285</v>
      </c>
      <c r="N340" s="503" t="s">
        <v>286</v>
      </c>
      <c r="O340" s="503" t="s">
        <v>287</v>
      </c>
      <c r="P340" s="503" t="s">
        <v>288</v>
      </c>
      <c r="Q340" s="503" t="s">
        <v>289</v>
      </c>
      <c r="R340" s="503" t="s">
        <v>290</v>
      </c>
      <c r="S340" s="503" t="s">
        <v>291</v>
      </c>
      <c r="T340" s="503" t="s">
        <v>292</v>
      </c>
      <c r="U340" s="491" t="s">
        <v>293</v>
      </c>
      <c r="V340" s="503" t="s">
        <v>294</v>
      </c>
      <c r="W340" s="503" t="s">
        <v>295</v>
      </c>
      <c r="X340" s="504" t="s">
        <v>296</v>
      </c>
      <c r="Y340" s="7"/>
      <c r="Z340" s="7"/>
    </row>
    <row r="341" spans="1:26" x14ac:dyDescent="0.5">
      <c r="A341"/>
      <c r="B341" s="505">
        <v>0</v>
      </c>
      <c r="C341" s="494">
        <v>0.23642599918055343</v>
      </c>
      <c r="D341" s="506">
        <v>0</v>
      </c>
      <c r="E341" s="507">
        <f>K61</f>
        <v>0.12101337590272847</v>
      </c>
      <c r="F341" s="506">
        <v>0</v>
      </c>
      <c r="G341" s="491">
        <v>0</v>
      </c>
      <c r="H341" s="508">
        <f t="shared" ref="H341:H361" si="66">IF(D341&gt;0,-1*G341*$C$337,0)</f>
        <v>0</v>
      </c>
      <c r="I341" s="508">
        <v>0</v>
      </c>
      <c r="J341" s="508">
        <v>0</v>
      </c>
      <c r="K341" s="509">
        <f t="shared" ref="K341:K361" si="67">D341+F341+H341+J341</f>
        <v>0</v>
      </c>
      <c r="L341" s="506">
        <f t="shared" ref="L341:L361" si="68">IF(F341&lt;&gt;0,-1*($C$25+$C$26)*D341,0)</f>
        <v>0</v>
      </c>
      <c r="M341" s="506">
        <f t="shared" ref="M341:M361" si="69">K341+L341</f>
        <v>0</v>
      </c>
      <c r="N341" s="508">
        <f t="shared" ref="N341:N361" si="70">IF(V341&gt;0,V341-W341,0)</f>
        <v>0</v>
      </c>
      <c r="O341" s="490">
        <v>0</v>
      </c>
      <c r="P341" s="490">
        <v>0</v>
      </c>
      <c r="Q341" s="490">
        <v>0</v>
      </c>
      <c r="R341" s="508">
        <f>IF(M341&gt;0,-1*(M341+N341)*$C$24,0)</f>
        <v>0</v>
      </c>
      <c r="S341" s="506">
        <f t="shared" ref="S341:S361" si="71">IF(B341=$C$99,0,$C$27/12*(-1*F342-L342))</f>
        <v>72919052.908343285</v>
      </c>
      <c r="T341" s="506">
        <f>S341</f>
        <v>72919052.908343285</v>
      </c>
      <c r="U341" s="506">
        <f>-1*(C337+C338)</f>
        <v>-643063603.06360292</v>
      </c>
      <c r="V341" s="508">
        <f>IF(B341=$C$99+1,$C$338+SUM($J340:J$342)+$C$337+SUM($H340:H$342),0)</f>
        <v>0</v>
      </c>
      <c r="W341" s="490">
        <f>IF(B341&gt;$C$99,0,$C$338+SUM($J$341:J341))</f>
        <v>91071050.205298066</v>
      </c>
      <c r="X341" s="510">
        <f>-T341+U341</f>
        <v>-715982655.97194624</v>
      </c>
      <c r="Y341" s="7"/>
      <c r="Z341" s="7"/>
    </row>
    <row r="342" spans="1:26" x14ac:dyDescent="0.5">
      <c r="A342"/>
      <c r="B342" s="489">
        <v>1</v>
      </c>
      <c r="C342" s="511">
        <f t="shared" ref="C342:C361" si="72">IF(B342&gt;$C$99,0,$C$341*(1+$C$22)^B342)</f>
        <v>0.23642599918055343</v>
      </c>
      <c r="D342" s="508">
        <f t="shared" ref="D342:D361" si="73">C342*$C$272*1000000</f>
        <v>472851998.36110681</v>
      </c>
      <c r="E342" s="511">
        <f t="shared" ref="E342:E361" si="74">IF(B342&gt;$C$99,0,$E$341*(1+$C$23)^B342)</f>
        <v>0.12101337590272847</v>
      </c>
      <c r="F342" s="508">
        <f t="shared" ref="F342:F361" si="75">-1*E342*$C$272*1000000</f>
        <v>-242026751.80545694</v>
      </c>
      <c r="G342" s="491">
        <v>0.1429</v>
      </c>
      <c r="H342" s="508">
        <f t="shared" si="66"/>
        <v>-78879735.803451762</v>
      </c>
      <c r="I342" s="491">
        <v>1.391E-2</v>
      </c>
      <c r="J342" s="508">
        <f t="shared" ref="J342:J361" si="76">IF(D342&gt;0,-1*$C$338*I342,0)</f>
        <v>-1266798.308355696</v>
      </c>
      <c r="K342" s="512">
        <f t="shared" si="67"/>
        <v>150678712.44384241</v>
      </c>
      <c r="L342" s="508">
        <f t="shared" si="68"/>
        <v>-49649459.827916212</v>
      </c>
      <c r="M342" s="508">
        <f t="shared" si="69"/>
        <v>101029252.61592621</v>
      </c>
      <c r="N342" s="508">
        <f t="shared" si="70"/>
        <v>0</v>
      </c>
      <c r="O342" s="490">
        <f t="shared" ref="O342:O361" si="77">IF(M342&lt;0,M342*-1,0)</f>
        <v>0</v>
      </c>
      <c r="P342" s="490">
        <f t="shared" ref="P342:P361" si="78">P341+O342-Q342</f>
        <v>0</v>
      </c>
      <c r="Q342" s="490">
        <f t="shared" ref="Q342:Q361" si="79">IF(B342=$C$99+1,O342,IF(AND(M342&gt;0,P341&gt;0),MIN(M342,P341),0))</f>
        <v>0</v>
      </c>
      <c r="R342" s="508">
        <f t="shared" ref="R342:R361" si="80">IF(M342&gt;0,-1*(M342+N342-Q342)*$C$24,0)</f>
        <v>-28187161.479843408</v>
      </c>
      <c r="S342" s="508">
        <f t="shared" si="71"/>
        <v>72919052.908343285</v>
      </c>
      <c r="T342" s="508">
        <f t="shared" ref="T342:T361" si="81">(S342-S341)</f>
        <v>0</v>
      </c>
      <c r="U342" s="508"/>
      <c r="V342" s="508">
        <f t="shared" ref="V342:V361" si="82">IF(B342=$C$99,$C$338*(1-1/$C$101*B342),0)</f>
        <v>0</v>
      </c>
      <c r="W342" s="490">
        <f>IF(B342&gt;$C$99,0,$C$338+SUM($J$341:J342))</f>
        <v>89804251.896942377</v>
      </c>
      <c r="X342" s="513">
        <f t="shared" ref="X342:X361" si="83">M342+R342-1*(H342+J342)-T342+U342+V342</f>
        <v>152988625.24789023</v>
      </c>
      <c r="Y342" s="7"/>
      <c r="Z342" s="7"/>
    </row>
    <row r="343" spans="1:26" x14ac:dyDescent="0.5">
      <c r="A343"/>
      <c r="B343" s="489">
        <v>2</v>
      </c>
      <c r="C343" s="511">
        <f t="shared" si="72"/>
        <v>0.23642599918055343</v>
      </c>
      <c r="D343" s="508">
        <f t="shared" si="73"/>
        <v>472851998.36110681</v>
      </c>
      <c r="E343" s="511">
        <f t="shared" si="74"/>
        <v>0.12101337590272847</v>
      </c>
      <c r="F343" s="508">
        <f t="shared" si="75"/>
        <v>-242026751.80545694</v>
      </c>
      <c r="G343" s="491">
        <v>0.24490000000000001</v>
      </c>
      <c r="H343" s="508">
        <f t="shared" si="66"/>
        <v>-135182976.19499886</v>
      </c>
      <c r="I343" s="491">
        <v>2.564E-2</v>
      </c>
      <c r="J343" s="508">
        <f t="shared" si="76"/>
        <v>-2335061.7272638422</v>
      </c>
      <c r="K343" s="512">
        <f t="shared" si="67"/>
        <v>93307208.633387178</v>
      </c>
      <c r="L343" s="508">
        <f t="shared" si="68"/>
        <v>-49649459.827916212</v>
      </c>
      <c r="M343" s="508">
        <f t="shared" si="69"/>
        <v>43657748.805470966</v>
      </c>
      <c r="N343" s="508">
        <f t="shared" si="70"/>
        <v>0</v>
      </c>
      <c r="O343" s="490">
        <f t="shared" si="77"/>
        <v>0</v>
      </c>
      <c r="P343" s="490">
        <f t="shared" si="78"/>
        <v>0</v>
      </c>
      <c r="Q343" s="490">
        <f t="shared" si="79"/>
        <v>0</v>
      </c>
      <c r="R343" s="508">
        <f t="shared" si="80"/>
        <v>-12180511.916726397</v>
      </c>
      <c r="S343" s="508">
        <f t="shared" si="71"/>
        <v>72919052.908343285</v>
      </c>
      <c r="T343" s="508">
        <f t="shared" si="81"/>
        <v>0</v>
      </c>
      <c r="U343" s="508"/>
      <c r="V343" s="508">
        <f t="shared" si="82"/>
        <v>0</v>
      </c>
      <c r="W343" s="490">
        <f>IF(B343&gt;$C$99,0,$C$338+SUM($J$341:J343))</f>
        <v>87469190.169678524</v>
      </c>
      <c r="X343" s="513">
        <f t="shared" si="83"/>
        <v>168995274.81100726</v>
      </c>
      <c r="Y343" s="7"/>
      <c r="Z343" s="7"/>
    </row>
    <row r="344" spans="1:26" x14ac:dyDescent="0.5">
      <c r="A344"/>
      <c r="B344" s="489">
        <v>3</v>
      </c>
      <c r="C344" s="511">
        <f t="shared" si="72"/>
        <v>0.23642599918055343</v>
      </c>
      <c r="D344" s="508">
        <f t="shared" si="73"/>
        <v>472851998.36110681</v>
      </c>
      <c r="E344" s="511">
        <f t="shared" si="74"/>
        <v>0.12101337590272847</v>
      </c>
      <c r="F344" s="508">
        <f t="shared" si="75"/>
        <v>-242026751.80545694</v>
      </c>
      <c r="G344" s="491">
        <v>0.1749</v>
      </c>
      <c r="H344" s="508">
        <f t="shared" si="66"/>
        <v>-96543497.494917527</v>
      </c>
      <c r="I344" s="491">
        <v>2.564E-2</v>
      </c>
      <c r="J344" s="508">
        <f t="shared" si="76"/>
        <v>-2335061.7272638422</v>
      </c>
      <c r="K344" s="512">
        <f t="shared" si="67"/>
        <v>131946687.33346853</v>
      </c>
      <c r="L344" s="508">
        <f t="shared" si="68"/>
        <v>-49649459.827916212</v>
      </c>
      <c r="M344" s="508">
        <f t="shared" si="69"/>
        <v>82297227.505552322</v>
      </c>
      <c r="N344" s="508">
        <f t="shared" si="70"/>
        <v>0</v>
      </c>
      <c r="O344" s="490">
        <f t="shared" si="77"/>
        <v>0</v>
      </c>
      <c r="P344" s="490">
        <f t="shared" si="78"/>
        <v>0</v>
      </c>
      <c r="Q344" s="490">
        <f t="shared" si="79"/>
        <v>0</v>
      </c>
      <c r="R344" s="508">
        <f t="shared" si="80"/>
        <v>-22960926.474049095</v>
      </c>
      <c r="S344" s="508">
        <f t="shared" si="71"/>
        <v>72919052.908343285</v>
      </c>
      <c r="T344" s="508">
        <f t="shared" si="81"/>
        <v>0</v>
      </c>
      <c r="U344" s="508"/>
      <c r="V344" s="508">
        <f t="shared" si="82"/>
        <v>0</v>
      </c>
      <c r="W344" s="490">
        <f>IF(B344&gt;$C$99,0,$C$338+SUM($J$341:J344))</f>
        <v>85134128.442414686</v>
      </c>
      <c r="X344" s="513">
        <f t="shared" si="83"/>
        <v>158214860.25368458</v>
      </c>
      <c r="Y344" s="7"/>
      <c r="Z344" s="7"/>
    </row>
    <row r="345" spans="1:26" x14ac:dyDescent="0.5">
      <c r="A345"/>
      <c r="B345" s="489">
        <v>4</v>
      </c>
      <c r="C345" s="511">
        <f t="shared" si="72"/>
        <v>0.23642599918055343</v>
      </c>
      <c r="D345" s="508">
        <f t="shared" si="73"/>
        <v>472851998.36110681</v>
      </c>
      <c r="E345" s="511">
        <f t="shared" si="74"/>
        <v>0.12101337590272847</v>
      </c>
      <c r="F345" s="508">
        <f t="shared" si="75"/>
        <v>-242026751.80545694</v>
      </c>
      <c r="G345" s="491">
        <v>0.1249</v>
      </c>
      <c r="H345" s="508">
        <f t="shared" si="66"/>
        <v>-68943869.852002278</v>
      </c>
      <c r="I345" s="491">
        <v>2.564E-2</v>
      </c>
      <c r="J345" s="508">
        <f t="shared" si="76"/>
        <v>-2335061.7272638422</v>
      </c>
      <c r="K345" s="512">
        <f t="shared" si="67"/>
        <v>159546314.97638378</v>
      </c>
      <c r="L345" s="508">
        <f t="shared" si="68"/>
        <v>-49649459.827916212</v>
      </c>
      <c r="M345" s="508">
        <f t="shared" si="69"/>
        <v>109896855.14846757</v>
      </c>
      <c r="N345" s="508">
        <f t="shared" si="70"/>
        <v>0</v>
      </c>
      <c r="O345" s="490">
        <f t="shared" si="77"/>
        <v>0</v>
      </c>
      <c r="P345" s="490">
        <f t="shared" si="78"/>
        <v>0</v>
      </c>
      <c r="Q345" s="490">
        <f t="shared" si="79"/>
        <v>0</v>
      </c>
      <c r="R345" s="508">
        <f t="shared" si="80"/>
        <v>-30661222.586422447</v>
      </c>
      <c r="S345" s="508">
        <f t="shared" si="71"/>
        <v>72919052.908343285</v>
      </c>
      <c r="T345" s="508">
        <f t="shared" si="81"/>
        <v>0</v>
      </c>
      <c r="U345" s="508"/>
      <c r="V345" s="508">
        <f t="shared" si="82"/>
        <v>0</v>
      </c>
      <c r="W345" s="490">
        <f>IF(B345&gt;$C$99,0,$C$338+SUM($J$341:J345))</f>
        <v>82799066.715150848</v>
      </c>
      <c r="X345" s="513">
        <f t="shared" si="83"/>
        <v>150514564.14131123</v>
      </c>
      <c r="Y345" s="7"/>
      <c r="Z345" s="7"/>
    </row>
    <row r="346" spans="1:26" x14ac:dyDescent="0.5">
      <c r="A346"/>
      <c r="B346" s="489">
        <v>5</v>
      </c>
      <c r="C346" s="511">
        <f t="shared" si="72"/>
        <v>0.23642599918055343</v>
      </c>
      <c r="D346" s="508">
        <f t="shared" si="73"/>
        <v>472851998.36110681</v>
      </c>
      <c r="E346" s="511">
        <f t="shared" si="74"/>
        <v>0.12101337590272847</v>
      </c>
      <c r="F346" s="508">
        <f t="shared" si="75"/>
        <v>-242026751.80545694</v>
      </c>
      <c r="G346" s="491">
        <v>8.9300000000000004E-2</v>
      </c>
      <c r="H346" s="508">
        <f t="shared" si="66"/>
        <v>-49292934.970246628</v>
      </c>
      <c r="I346" s="491">
        <v>2.564E-2</v>
      </c>
      <c r="J346" s="508">
        <f t="shared" si="76"/>
        <v>-2335061.7272638422</v>
      </c>
      <c r="K346" s="512">
        <f t="shared" si="67"/>
        <v>179197249.85813943</v>
      </c>
      <c r="L346" s="508">
        <f t="shared" si="68"/>
        <v>-49649459.827916212</v>
      </c>
      <c r="M346" s="508">
        <f t="shared" si="69"/>
        <v>129547790.03022322</v>
      </c>
      <c r="N346" s="508">
        <f t="shared" si="70"/>
        <v>0</v>
      </c>
      <c r="O346" s="490">
        <f t="shared" si="77"/>
        <v>0</v>
      </c>
      <c r="P346" s="490">
        <f t="shared" si="78"/>
        <v>0</v>
      </c>
      <c r="Q346" s="490">
        <f t="shared" si="79"/>
        <v>0</v>
      </c>
      <c r="R346" s="508">
        <f t="shared" si="80"/>
        <v>-36143833.418432273</v>
      </c>
      <c r="S346" s="508">
        <f t="shared" si="71"/>
        <v>72919052.908343285</v>
      </c>
      <c r="T346" s="508">
        <f t="shared" si="81"/>
        <v>0</v>
      </c>
      <c r="U346" s="508"/>
      <c r="V346" s="508">
        <f t="shared" si="82"/>
        <v>0</v>
      </c>
      <c r="W346" s="490">
        <f>IF(B346&gt;$C$99,0,$C$338+SUM($J$341:J346))</f>
        <v>80464004.987886995</v>
      </c>
      <c r="X346" s="513">
        <f t="shared" si="83"/>
        <v>145031953.30930144</v>
      </c>
      <c r="Y346" s="7"/>
      <c r="Z346" s="7"/>
    </row>
    <row r="347" spans="1:26" x14ac:dyDescent="0.5">
      <c r="A347"/>
      <c r="B347" s="489">
        <v>6</v>
      </c>
      <c r="C347" s="511">
        <f t="shared" si="72"/>
        <v>0.23642599918055343</v>
      </c>
      <c r="D347" s="508">
        <f t="shared" si="73"/>
        <v>472851998.36110681</v>
      </c>
      <c r="E347" s="511">
        <f t="shared" si="74"/>
        <v>0.12101337590272847</v>
      </c>
      <c r="F347" s="508">
        <f t="shared" si="75"/>
        <v>-242026751.80545694</v>
      </c>
      <c r="G347" s="491">
        <v>8.9200000000000002E-2</v>
      </c>
      <c r="H347" s="508">
        <f t="shared" si="66"/>
        <v>-49237735.714960791</v>
      </c>
      <c r="I347" s="491">
        <v>2.564E-2</v>
      </c>
      <c r="J347" s="508">
        <f t="shared" si="76"/>
        <v>-2335061.7272638422</v>
      </c>
      <c r="K347" s="512">
        <f t="shared" si="67"/>
        <v>179252449.11342525</v>
      </c>
      <c r="L347" s="508">
        <f t="shared" si="68"/>
        <v>-49649459.827916212</v>
      </c>
      <c r="M347" s="508">
        <f t="shared" si="69"/>
        <v>129602989.28550905</v>
      </c>
      <c r="N347" s="508">
        <f t="shared" si="70"/>
        <v>0</v>
      </c>
      <c r="O347" s="490">
        <f t="shared" si="77"/>
        <v>0</v>
      </c>
      <c r="P347" s="490">
        <f t="shared" si="78"/>
        <v>0</v>
      </c>
      <c r="Q347" s="490">
        <f t="shared" si="79"/>
        <v>0</v>
      </c>
      <c r="R347" s="508">
        <f t="shared" si="80"/>
        <v>-36159234.01065702</v>
      </c>
      <c r="S347" s="508">
        <f t="shared" si="71"/>
        <v>72919052.908343285</v>
      </c>
      <c r="T347" s="508">
        <f t="shared" si="81"/>
        <v>0</v>
      </c>
      <c r="U347" s="508"/>
      <c r="V347" s="508">
        <f t="shared" si="82"/>
        <v>0</v>
      </c>
      <c r="W347" s="490">
        <f>IF(B347&gt;$C$99,0,$C$338+SUM($J$341:J347))</f>
        <v>78128943.260623157</v>
      </c>
      <c r="X347" s="513">
        <f t="shared" si="83"/>
        <v>145016552.71707666</v>
      </c>
      <c r="Y347" s="7"/>
      <c r="Z347" s="7"/>
    </row>
    <row r="348" spans="1:26" x14ac:dyDescent="0.5">
      <c r="A348"/>
      <c r="B348" s="489">
        <v>7</v>
      </c>
      <c r="C348" s="511">
        <f t="shared" si="72"/>
        <v>0.23642599918055343</v>
      </c>
      <c r="D348" s="508">
        <f t="shared" si="73"/>
        <v>472851998.36110681</v>
      </c>
      <c r="E348" s="511">
        <f t="shared" si="74"/>
        <v>0.12101337590272847</v>
      </c>
      <c r="F348" s="508">
        <f t="shared" si="75"/>
        <v>-242026751.80545694</v>
      </c>
      <c r="G348" s="491">
        <v>8.9300000000000004E-2</v>
      </c>
      <c r="H348" s="508">
        <f t="shared" si="66"/>
        <v>-49292934.970246628</v>
      </c>
      <c r="I348" s="491">
        <v>2.564E-2</v>
      </c>
      <c r="J348" s="508">
        <f t="shared" si="76"/>
        <v>-2335061.7272638422</v>
      </c>
      <c r="K348" s="512">
        <f t="shared" si="67"/>
        <v>179197249.85813943</v>
      </c>
      <c r="L348" s="508">
        <f t="shared" si="68"/>
        <v>-49649459.827916212</v>
      </c>
      <c r="M348" s="508">
        <f t="shared" si="69"/>
        <v>129547790.03022322</v>
      </c>
      <c r="N348" s="508">
        <f t="shared" si="70"/>
        <v>-10222725.385544717</v>
      </c>
      <c r="O348" s="490">
        <f t="shared" si="77"/>
        <v>0</v>
      </c>
      <c r="P348" s="490">
        <f t="shared" si="78"/>
        <v>0</v>
      </c>
      <c r="Q348" s="490">
        <f t="shared" si="79"/>
        <v>0</v>
      </c>
      <c r="R348" s="508">
        <f t="shared" si="80"/>
        <v>-33291693.035865299</v>
      </c>
      <c r="S348" s="508">
        <f t="shared" si="71"/>
        <v>0</v>
      </c>
      <c r="T348" s="508">
        <f t="shared" si="81"/>
        <v>-72919052.908343285</v>
      </c>
      <c r="U348" s="508"/>
      <c r="V348" s="508">
        <f t="shared" si="82"/>
        <v>65571156.147814602</v>
      </c>
      <c r="W348" s="490">
        <f>IF(B348&gt;$C$99,0,$C$338+SUM($J$341:J348))</f>
        <v>75793881.533359319</v>
      </c>
      <c r="X348" s="513">
        <f t="shared" si="83"/>
        <v>286374302.74802625</v>
      </c>
      <c r="Y348" s="7"/>
      <c r="Z348" s="7"/>
    </row>
    <row r="349" spans="1:26" x14ac:dyDescent="0.5">
      <c r="A349"/>
      <c r="B349" s="489">
        <v>8</v>
      </c>
      <c r="C349" s="511">
        <f t="shared" si="72"/>
        <v>0</v>
      </c>
      <c r="D349" s="508">
        <f t="shared" si="73"/>
        <v>0</v>
      </c>
      <c r="E349" s="511">
        <f t="shared" si="74"/>
        <v>0</v>
      </c>
      <c r="F349" s="508">
        <f t="shared" si="75"/>
        <v>0</v>
      </c>
      <c r="G349" s="491">
        <v>4.4600000000000001E-2</v>
      </c>
      <c r="H349" s="508">
        <f t="shared" si="66"/>
        <v>0</v>
      </c>
      <c r="I349" s="491">
        <v>2.564E-2</v>
      </c>
      <c r="J349" s="508">
        <f t="shared" si="76"/>
        <v>0</v>
      </c>
      <c r="K349" s="512">
        <f t="shared" si="67"/>
        <v>0</v>
      </c>
      <c r="L349" s="508">
        <f t="shared" si="68"/>
        <v>0</v>
      </c>
      <c r="M349" s="508">
        <f t="shared" si="69"/>
        <v>0</v>
      </c>
      <c r="N349" s="508">
        <f t="shared" si="70"/>
        <v>0</v>
      </c>
      <c r="O349" s="490">
        <f t="shared" si="77"/>
        <v>0</v>
      </c>
      <c r="P349" s="490">
        <f t="shared" si="78"/>
        <v>0</v>
      </c>
      <c r="Q349" s="490">
        <f t="shared" si="79"/>
        <v>0</v>
      </c>
      <c r="R349" s="508">
        <f t="shared" si="80"/>
        <v>0</v>
      </c>
      <c r="S349" s="508">
        <f t="shared" si="71"/>
        <v>0</v>
      </c>
      <c r="T349" s="508">
        <f t="shared" si="81"/>
        <v>0</v>
      </c>
      <c r="U349" s="508"/>
      <c r="V349" s="508">
        <f t="shared" si="82"/>
        <v>0</v>
      </c>
      <c r="W349" s="490">
        <f>IF(B349&gt;$C$99,0,$C$338+SUM($J$341:J349))</f>
        <v>0</v>
      </c>
      <c r="X349" s="513">
        <f t="shared" si="83"/>
        <v>0</v>
      </c>
      <c r="Y349" s="7"/>
      <c r="Z349" s="7"/>
    </row>
    <row r="350" spans="1:26" x14ac:dyDescent="0.5">
      <c r="A350"/>
      <c r="B350" s="489">
        <v>9</v>
      </c>
      <c r="C350" s="511">
        <f t="shared" si="72"/>
        <v>0</v>
      </c>
      <c r="D350" s="508">
        <f t="shared" si="73"/>
        <v>0</v>
      </c>
      <c r="E350" s="511">
        <f t="shared" si="74"/>
        <v>0</v>
      </c>
      <c r="F350" s="508">
        <f t="shared" si="75"/>
        <v>0</v>
      </c>
      <c r="G350" s="491">
        <v>0</v>
      </c>
      <c r="H350" s="508">
        <f t="shared" si="66"/>
        <v>0</v>
      </c>
      <c r="I350" s="491">
        <v>2.564E-2</v>
      </c>
      <c r="J350" s="508">
        <f t="shared" si="76"/>
        <v>0</v>
      </c>
      <c r="K350" s="512">
        <f t="shared" si="67"/>
        <v>0</v>
      </c>
      <c r="L350" s="508">
        <f t="shared" si="68"/>
        <v>0</v>
      </c>
      <c r="M350" s="508">
        <f t="shared" si="69"/>
        <v>0</v>
      </c>
      <c r="N350" s="508">
        <f t="shared" si="70"/>
        <v>0</v>
      </c>
      <c r="O350" s="490">
        <f t="shared" si="77"/>
        <v>0</v>
      </c>
      <c r="P350" s="490">
        <f t="shared" si="78"/>
        <v>0</v>
      </c>
      <c r="Q350" s="490">
        <f t="shared" si="79"/>
        <v>0</v>
      </c>
      <c r="R350" s="508">
        <f t="shared" si="80"/>
        <v>0</v>
      </c>
      <c r="S350" s="508">
        <f t="shared" si="71"/>
        <v>0</v>
      </c>
      <c r="T350" s="508">
        <f t="shared" si="81"/>
        <v>0</v>
      </c>
      <c r="U350" s="508"/>
      <c r="V350" s="508">
        <f t="shared" si="82"/>
        <v>0</v>
      </c>
      <c r="W350" s="490">
        <f>IF(B350&gt;$C$99,0,$C$338+SUM($J$341:J350))</f>
        <v>0</v>
      </c>
      <c r="X350" s="513">
        <f t="shared" si="83"/>
        <v>0</v>
      </c>
      <c r="Y350" s="7"/>
      <c r="Z350" s="7"/>
    </row>
    <row r="351" spans="1:26" x14ac:dyDescent="0.5">
      <c r="A351"/>
      <c r="B351" s="489">
        <v>10</v>
      </c>
      <c r="C351" s="511">
        <f t="shared" si="72"/>
        <v>0</v>
      </c>
      <c r="D351" s="508">
        <f t="shared" si="73"/>
        <v>0</v>
      </c>
      <c r="E351" s="511">
        <f t="shared" si="74"/>
        <v>0</v>
      </c>
      <c r="F351" s="508">
        <f t="shared" si="75"/>
        <v>0</v>
      </c>
      <c r="G351" s="491">
        <v>0</v>
      </c>
      <c r="H351" s="508">
        <f t="shared" si="66"/>
        <v>0</v>
      </c>
      <c r="I351" s="491">
        <v>2.564E-2</v>
      </c>
      <c r="J351" s="508">
        <f t="shared" si="76"/>
        <v>0</v>
      </c>
      <c r="K351" s="512">
        <f t="shared" si="67"/>
        <v>0</v>
      </c>
      <c r="L351" s="508">
        <f t="shared" si="68"/>
        <v>0</v>
      </c>
      <c r="M351" s="508">
        <f t="shared" si="69"/>
        <v>0</v>
      </c>
      <c r="N351" s="508">
        <f t="shared" si="70"/>
        <v>0</v>
      </c>
      <c r="O351" s="490">
        <f t="shared" si="77"/>
        <v>0</v>
      </c>
      <c r="P351" s="490">
        <f t="shared" si="78"/>
        <v>0</v>
      </c>
      <c r="Q351" s="490">
        <f t="shared" si="79"/>
        <v>0</v>
      </c>
      <c r="R351" s="508">
        <f t="shared" si="80"/>
        <v>0</v>
      </c>
      <c r="S351" s="508">
        <f t="shared" si="71"/>
        <v>0</v>
      </c>
      <c r="T351" s="508">
        <f t="shared" si="81"/>
        <v>0</v>
      </c>
      <c r="U351" s="508"/>
      <c r="V351" s="508">
        <f t="shared" si="82"/>
        <v>0</v>
      </c>
      <c r="W351" s="490">
        <f>IF(B351&gt;$C$99,0,$C$338+SUM($J$341:J351))</f>
        <v>0</v>
      </c>
      <c r="X351" s="513">
        <f t="shared" si="83"/>
        <v>0</v>
      </c>
      <c r="Y351" s="7"/>
      <c r="Z351" s="7"/>
    </row>
    <row r="352" spans="1:26" x14ac:dyDescent="0.5">
      <c r="A352"/>
      <c r="B352" s="489">
        <v>11</v>
      </c>
      <c r="C352" s="511">
        <f t="shared" si="72"/>
        <v>0</v>
      </c>
      <c r="D352" s="508">
        <f t="shared" si="73"/>
        <v>0</v>
      </c>
      <c r="E352" s="511">
        <f t="shared" si="74"/>
        <v>0</v>
      </c>
      <c r="F352" s="508">
        <f t="shared" si="75"/>
        <v>0</v>
      </c>
      <c r="G352" s="491">
        <v>0</v>
      </c>
      <c r="H352" s="508">
        <f t="shared" si="66"/>
        <v>0</v>
      </c>
      <c r="I352" s="491">
        <v>2.564E-2</v>
      </c>
      <c r="J352" s="508">
        <f t="shared" si="76"/>
        <v>0</v>
      </c>
      <c r="K352" s="512">
        <f t="shared" si="67"/>
        <v>0</v>
      </c>
      <c r="L352" s="508">
        <f t="shared" si="68"/>
        <v>0</v>
      </c>
      <c r="M352" s="508">
        <f t="shared" si="69"/>
        <v>0</v>
      </c>
      <c r="N352" s="508">
        <f t="shared" si="70"/>
        <v>0</v>
      </c>
      <c r="O352" s="490">
        <f t="shared" si="77"/>
        <v>0</v>
      </c>
      <c r="P352" s="490">
        <f t="shared" si="78"/>
        <v>0</v>
      </c>
      <c r="Q352" s="490">
        <f t="shared" si="79"/>
        <v>0</v>
      </c>
      <c r="R352" s="508">
        <f t="shared" si="80"/>
        <v>0</v>
      </c>
      <c r="S352" s="508">
        <f t="shared" si="71"/>
        <v>0</v>
      </c>
      <c r="T352" s="508">
        <f t="shared" si="81"/>
        <v>0</v>
      </c>
      <c r="U352" s="508"/>
      <c r="V352" s="508">
        <f t="shared" si="82"/>
        <v>0</v>
      </c>
      <c r="W352" s="490">
        <f>IF(B352&gt;$C$99,0,$C$338+SUM($J$341:J352))</f>
        <v>0</v>
      </c>
      <c r="X352" s="513">
        <f t="shared" si="83"/>
        <v>0</v>
      </c>
      <c r="Y352" s="7"/>
      <c r="Z352" s="7"/>
    </row>
    <row r="353" spans="1:26" x14ac:dyDescent="0.5">
      <c r="A353"/>
      <c r="B353" s="489">
        <v>12</v>
      </c>
      <c r="C353" s="511">
        <f t="shared" si="72"/>
        <v>0</v>
      </c>
      <c r="D353" s="508">
        <f t="shared" si="73"/>
        <v>0</v>
      </c>
      <c r="E353" s="511">
        <f t="shared" si="74"/>
        <v>0</v>
      </c>
      <c r="F353" s="508">
        <f t="shared" si="75"/>
        <v>0</v>
      </c>
      <c r="G353" s="491">
        <v>0</v>
      </c>
      <c r="H353" s="508">
        <f t="shared" si="66"/>
        <v>0</v>
      </c>
      <c r="I353" s="491">
        <v>2.564E-2</v>
      </c>
      <c r="J353" s="508">
        <f t="shared" si="76"/>
        <v>0</v>
      </c>
      <c r="K353" s="512">
        <f t="shared" si="67"/>
        <v>0</v>
      </c>
      <c r="L353" s="508">
        <f t="shared" si="68"/>
        <v>0</v>
      </c>
      <c r="M353" s="508">
        <f t="shared" si="69"/>
        <v>0</v>
      </c>
      <c r="N353" s="508">
        <f t="shared" si="70"/>
        <v>0</v>
      </c>
      <c r="O353" s="490">
        <f t="shared" si="77"/>
        <v>0</v>
      </c>
      <c r="P353" s="490">
        <f t="shared" si="78"/>
        <v>0</v>
      </c>
      <c r="Q353" s="490">
        <f t="shared" si="79"/>
        <v>0</v>
      </c>
      <c r="R353" s="508">
        <f t="shared" si="80"/>
        <v>0</v>
      </c>
      <c r="S353" s="508">
        <f t="shared" si="71"/>
        <v>0</v>
      </c>
      <c r="T353" s="508">
        <f t="shared" si="81"/>
        <v>0</v>
      </c>
      <c r="U353" s="508"/>
      <c r="V353" s="508">
        <f t="shared" si="82"/>
        <v>0</v>
      </c>
      <c r="W353" s="490">
        <f>IF(B353&gt;$C$99,0,$C$338+SUM($J$341:J353))</f>
        <v>0</v>
      </c>
      <c r="X353" s="513">
        <f t="shared" si="83"/>
        <v>0</v>
      </c>
      <c r="Y353" s="7"/>
      <c r="Z353" s="7"/>
    </row>
    <row r="354" spans="1:26" x14ac:dyDescent="0.5">
      <c r="A354"/>
      <c r="B354" s="489">
        <v>13</v>
      </c>
      <c r="C354" s="511">
        <f t="shared" si="72"/>
        <v>0</v>
      </c>
      <c r="D354" s="508">
        <f t="shared" si="73"/>
        <v>0</v>
      </c>
      <c r="E354" s="511">
        <f t="shared" si="74"/>
        <v>0</v>
      </c>
      <c r="F354" s="508">
        <f t="shared" si="75"/>
        <v>0</v>
      </c>
      <c r="G354" s="491">
        <v>0</v>
      </c>
      <c r="H354" s="508">
        <f t="shared" si="66"/>
        <v>0</v>
      </c>
      <c r="I354" s="491">
        <v>2.564E-2</v>
      </c>
      <c r="J354" s="508">
        <f t="shared" si="76"/>
        <v>0</v>
      </c>
      <c r="K354" s="512">
        <f t="shared" si="67"/>
        <v>0</v>
      </c>
      <c r="L354" s="508">
        <f t="shared" si="68"/>
        <v>0</v>
      </c>
      <c r="M354" s="508">
        <f t="shared" si="69"/>
        <v>0</v>
      </c>
      <c r="N354" s="508">
        <f t="shared" si="70"/>
        <v>0</v>
      </c>
      <c r="O354" s="490">
        <f t="shared" si="77"/>
        <v>0</v>
      </c>
      <c r="P354" s="490">
        <f t="shared" si="78"/>
        <v>0</v>
      </c>
      <c r="Q354" s="490">
        <f t="shared" si="79"/>
        <v>0</v>
      </c>
      <c r="R354" s="508">
        <f t="shared" si="80"/>
        <v>0</v>
      </c>
      <c r="S354" s="508">
        <f t="shared" si="71"/>
        <v>0</v>
      </c>
      <c r="T354" s="508">
        <f t="shared" si="81"/>
        <v>0</v>
      </c>
      <c r="U354" s="508"/>
      <c r="V354" s="508">
        <f t="shared" si="82"/>
        <v>0</v>
      </c>
      <c r="W354" s="490">
        <f>IF(B354&gt;$C$99,0,$C$338+SUM($J$341:J354))</f>
        <v>0</v>
      </c>
      <c r="X354" s="513">
        <f t="shared" si="83"/>
        <v>0</v>
      </c>
      <c r="Y354" s="7"/>
      <c r="Z354" s="7"/>
    </row>
    <row r="355" spans="1:26" x14ac:dyDescent="0.5">
      <c r="A355"/>
      <c r="B355" s="489">
        <v>14</v>
      </c>
      <c r="C355" s="511">
        <f t="shared" si="72"/>
        <v>0</v>
      </c>
      <c r="D355" s="508">
        <f t="shared" si="73"/>
        <v>0</v>
      </c>
      <c r="E355" s="511">
        <f t="shared" si="74"/>
        <v>0</v>
      </c>
      <c r="F355" s="508">
        <f t="shared" si="75"/>
        <v>0</v>
      </c>
      <c r="G355" s="491">
        <v>0</v>
      </c>
      <c r="H355" s="508">
        <f t="shared" si="66"/>
        <v>0</v>
      </c>
      <c r="I355" s="491">
        <v>2.564E-2</v>
      </c>
      <c r="J355" s="508">
        <f t="shared" si="76"/>
        <v>0</v>
      </c>
      <c r="K355" s="512">
        <f t="shared" si="67"/>
        <v>0</v>
      </c>
      <c r="L355" s="508">
        <f t="shared" si="68"/>
        <v>0</v>
      </c>
      <c r="M355" s="508">
        <f t="shared" si="69"/>
        <v>0</v>
      </c>
      <c r="N355" s="508">
        <f t="shared" si="70"/>
        <v>0</v>
      </c>
      <c r="O355" s="490">
        <f t="shared" si="77"/>
        <v>0</v>
      </c>
      <c r="P355" s="490">
        <f t="shared" si="78"/>
        <v>0</v>
      </c>
      <c r="Q355" s="490">
        <f t="shared" si="79"/>
        <v>0</v>
      </c>
      <c r="R355" s="508">
        <f t="shared" si="80"/>
        <v>0</v>
      </c>
      <c r="S355" s="508">
        <f t="shared" si="71"/>
        <v>0</v>
      </c>
      <c r="T355" s="508">
        <f t="shared" si="81"/>
        <v>0</v>
      </c>
      <c r="U355" s="508"/>
      <c r="V355" s="508">
        <f t="shared" si="82"/>
        <v>0</v>
      </c>
      <c r="W355" s="490">
        <f>IF(B355&gt;$C$99,0,$C$338+SUM($J$341:J355))</f>
        <v>0</v>
      </c>
      <c r="X355" s="513">
        <f t="shared" si="83"/>
        <v>0</v>
      </c>
      <c r="Y355" s="7"/>
      <c r="Z355" s="7"/>
    </row>
    <row r="356" spans="1:26" x14ac:dyDescent="0.5">
      <c r="A356"/>
      <c r="B356" s="489">
        <v>15</v>
      </c>
      <c r="C356" s="511">
        <f t="shared" si="72"/>
        <v>0</v>
      </c>
      <c r="D356" s="508">
        <f t="shared" si="73"/>
        <v>0</v>
      </c>
      <c r="E356" s="511">
        <f t="shared" si="74"/>
        <v>0</v>
      </c>
      <c r="F356" s="508">
        <f t="shared" si="75"/>
        <v>0</v>
      </c>
      <c r="G356" s="491">
        <v>0</v>
      </c>
      <c r="H356" s="508">
        <f t="shared" si="66"/>
        <v>0</v>
      </c>
      <c r="I356" s="491">
        <v>2.564E-2</v>
      </c>
      <c r="J356" s="508">
        <f t="shared" si="76"/>
        <v>0</v>
      </c>
      <c r="K356" s="512">
        <f t="shared" si="67"/>
        <v>0</v>
      </c>
      <c r="L356" s="508">
        <f t="shared" si="68"/>
        <v>0</v>
      </c>
      <c r="M356" s="508">
        <f t="shared" si="69"/>
        <v>0</v>
      </c>
      <c r="N356" s="508">
        <f t="shared" si="70"/>
        <v>0</v>
      </c>
      <c r="O356" s="490">
        <f t="shared" si="77"/>
        <v>0</v>
      </c>
      <c r="P356" s="490">
        <f t="shared" si="78"/>
        <v>0</v>
      </c>
      <c r="Q356" s="490">
        <f t="shared" si="79"/>
        <v>0</v>
      </c>
      <c r="R356" s="508">
        <f t="shared" si="80"/>
        <v>0</v>
      </c>
      <c r="S356" s="508">
        <f t="shared" si="71"/>
        <v>0</v>
      </c>
      <c r="T356" s="508">
        <f t="shared" si="81"/>
        <v>0</v>
      </c>
      <c r="U356" s="508"/>
      <c r="V356" s="508">
        <f t="shared" si="82"/>
        <v>0</v>
      </c>
      <c r="W356" s="490">
        <f>IF(B356&gt;$C$99,0,$C$338+SUM($J$341:J356))</f>
        <v>0</v>
      </c>
      <c r="X356" s="513">
        <f t="shared" si="83"/>
        <v>0</v>
      </c>
      <c r="Y356" s="7"/>
      <c r="Z356" s="7"/>
    </row>
    <row r="357" spans="1:26" x14ac:dyDescent="0.5">
      <c r="A357"/>
      <c r="B357" s="489">
        <v>16</v>
      </c>
      <c r="C357" s="511">
        <f t="shared" si="72"/>
        <v>0</v>
      </c>
      <c r="D357" s="508">
        <f t="shared" si="73"/>
        <v>0</v>
      </c>
      <c r="E357" s="511">
        <f t="shared" si="74"/>
        <v>0</v>
      </c>
      <c r="F357" s="508">
        <f t="shared" si="75"/>
        <v>0</v>
      </c>
      <c r="G357" s="491">
        <v>0</v>
      </c>
      <c r="H357" s="508">
        <f t="shared" si="66"/>
        <v>0</v>
      </c>
      <c r="I357" s="491">
        <v>2.564E-2</v>
      </c>
      <c r="J357" s="508">
        <f t="shared" si="76"/>
        <v>0</v>
      </c>
      <c r="K357" s="512">
        <f t="shared" si="67"/>
        <v>0</v>
      </c>
      <c r="L357" s="508">
        <f t="shared" si="68"/>
        <v>0</v>
      </c>
      <c r="M357" s="508">
        <f t="shared" si="69"/>
        <v>0</v>
      </c>
      <c r="N357" s="508">
        <f t="shared" si="70"/>
        <v>0</v>
      </c>
      <c r="O357" s="490">
        <f t="shared" si="77"/>
        <v>0</v>
      </c>
      <c r="P357" s="490">
        <f t="shared" si="78"/>
        <v>0</v>
      </c>
      <c r="Q357" s="490">
        <f t="shared" si="79"/>
        <v>0</v>
      </c>
      <c r="R357" s="508">
        <f t="shared" si="80"/>
        <v>0</v>
      </c>
      <c r="S357" s="508">
        <f t="shared" si="71"/>
        <v>0</v>
      </c>
      <c r="T357" s="508">
        <f t="shared" si="81"/>
        <v>0</v>
      </c>
      <c r="U357" s="508"/>
      <c r="V357" s="508">
        <f t="shared" si="82"/>
        <v>0</v>
      </c>
      <c r="W357" s="490">
        <f>IF(B357&gt;$C$99,0,$C$338+SUM($J$341:J357))</f>
        <v>0</v>
      </c>
      <c r="X357" s="513">
        <f t="shared" si="83"/>
        <v>0</v>
      </c>
      <c r="Y357" s="7"/>
      <c r="Z357" s="7"/>
    </row>
    <row r="358" spans="1:26" x14ac:dyDescent="0.5">
      <c r="A358"/>
      <c r="B358" s="489">
        <v>17</v>
      </c>
      <c r="C358" s="511">
        <f t="shared" si="72"/>
        <v>0</v>
      </c>
      <c r="D358" s="508">
        <f t="shared" si="73"/>
        <v>0</v>
      </c>
      <c r="E358" s="511">
        <f t="shared" si="74"/>
        <v>0</v>
      </c>
      <c r="F358" s="508">
        <f t="shared" si="75"/>
        <v>0</v>
      </c>
      <c r="G358" s="491">
        <v>0</v>
      </c>
      <c r="H358" s="508">
        <f t="shared" si="66"/>
        <v>0</v>
      </c>
      <c r="I358" s="491">
        <v>2.564E-2</v>
      </c>
      <c r="J358" s="508">
        <f t="shared" si="76"/>
        <v>0</v>
      </c>
      <c r="K358" s="512">
        <f t="shared" si="67"/>
        <v>0</v>
      </c>
      <c r="L358" s="508">
        <f t="shared" si="68"/>
        <v>0</v>
      </c>
      <c r="M358" s="508">
        <f t="shared" si="69"/>
        <v>0</v>
      </c>
      <c r="N358" s="508">
        <f t="shared" si="70"/>
        <v>0</v>
      </c>
      <c r="O358" s="490">
        <f t="shared" si="77"/>
        <v>0</v>
      </c>
      <c r="P358" s="490">
        <f t="shared" si="78"/>
        <v>0</v>
      </c>
      <c r="Q358" s="490">
        <f t="shared" si="79"/>
        <v>0</v>
      </c>
      <c r="R358" s="508">
        <f t="shared" si="80"/>
        <v>0</v>
      </c>
      <c r="S358" s="508">
        <f t="shared" si="71"/>
        <v>0</v>
      </c>
      <c r="T358" s="508">
        <f t="shared" si="81"/>
        <v>0</v>
      </c>
      <c r="U358" s="508"/>
      <c r="V358" s="508">
        <f t="shared" si="82"/>
        <v>0</v>
      </c>
      <c r="W358" s="490">
        <f>IF(B358&gt;$C$99,0,$C$338+SUM($J$341:J358))</f>
        <v>0</v>
      </c>
      <c r="X358" s="513">
        <f t="shared" si="83"/>
        <v>0</v>
      </c>
      <c r="Y358" s="7"/>
      <c r="Z358" s="7"/>
    </row>
    <row r="359" spans="1:26" x14ac:dyDescent="0.5">
      <c r="A359"/>
      <c r="B359" s="489">
        <v>18</v>
      </c>
      <c r="C359" s="511">
        <f t="shared" si="72"/>
        <v>0</v>
      </c>
      <c r="D359" s="508">
        <f t="shared" si="73"/>
        <v>0</v>
      </c>
      <c r="E359" s="511">
        <f t="shared" si="74"/>
        <v>0</v>
      </c>
      <c r="F359" s="508">
        <f t="shared" si="75"/>
        <v>0</v>
      </c>
      <c r="G359" s="491">
        <v>0</v>
      </c>
      <c r="H359" s="508">
        <f t="shared" si="66"/>
        <v>0</v>
      </c>
      <c r="I359" s="491">
        <v>2.564E-2</v>
      </c>
      <c r="J359" s="508">
        <f t="shared" si="76"/>
        <v>0</v>
      </c>
      <c r="K359" s="512">
        <f t="shared" si="67"/>
        <v>0</v>
      </c>
      <c r="L359" s="508">
        <f t="shared" si="68"/>
        <v>0</v>
      </c>
      <c r="M359" s="508">
        <f t="shared" si="69"/>
        <v>0</v>
      </c>
      <c r="N359" s="508">
        <f t="shared" si="70"/>
        <v>0</v>
      </c>
      <c r="O359" s="490">
        <f t="shared" si="77"/>
        <v>0</v>
      </c>
      <c r="P359" s="490">
        <f t="shared" si="78"/>
        <v>0</v>
      </c>
      <c r="Q359" s="490">
        <f t="shared" si="79"/>
        <v>0</v>
      </c>
      <c r="R359" s="508">
        <f t="shared" si="80"/>
        <v>0</v>
      </c>
      <c r="S359" s="508">
        <f t="shared" si="71"/>
        <v>0</v>
      </c>
      <c r="T359" s="508">
        <f t="shared" si="81"/>
        <v>0</v>
      </c>
      <c r="U359" s="508"/>
      <c r="V359" s="508">
        <f t="shared" si="82"/>
        <v>0</v>
      </c>
      <c r="W359" s="490">
        <f>IF(B359&gt;$C$99,0,$C$338+SUM($J$341:J359))</f>
        <v>0</v>
      </c>
      <c r="X359" s="513">
        <f t="shared" si="83"/>
        <v>0</v>
      </c>
      <c r="Y359" s="7"/>
      <c r="Z359" s="7"/>
    </row>
    <row r="360" spans="1:26" x14ac:dyDescent="0.5">
      <c r="A360"/>
      <c r="B360" s="489">
        <v>19</v>
      </c>
      <c r="C360" s="511">
        <f t="shared" si="72"/>
        <v>0</v>
      </c>
      <c r="D360" s="508">
        <f t="shared" si="73"/>
        <v>0</v>
      </c>
      <c r="E360" s="511">
        <f t="shared" si="74"/>
        <v>0</v>
      </c>
      <c r="F360" s="508">
        <f t="shared" si="75"/>
        <v>0</v>
      </c>
      <c r="G360" s="491">
        <v>0</v>
      </c>
      <c r="H360" s="508">
        <f t="shared" si="66"/>
        <v>0</v>
      </c>
      <c r="I360" s="491">
        <v>2.564E-2</v>
      </c>
      <c r="J360" s="508">
        <f t="shared" si="76"/>
        <v>0</v>
      </c>
      <c r="K360" s="512">
        <f t="shared" si="67"/>
        <v>0</v>
      </c>
      <c r="L360" s="508">
        <f t="shared" si="68"/>
        <v>0</v>
      </c>
      <c r="M360" s="508">
        <f t="shared" si="69"/>
        <v>0</v>
      </c>
      <c r="N360" s="508">
        <f t="shared" si="70"/>
        <v>0</v>
      </c>
      <c r="O360" s="490">
        <f t="shared" si="77"/>
        <v>0</v>
      </c>
      <c r="P360" s="490">
        <f t="shared" si="78"/>
        <v>0</v>
      </c>
      <c r="Q360" s="490">
        <f t="shared" si="79"/>
        <v>0</v>
      </c>
      <c r="R360" s="508">
        <f t="shared" si="80"/>
        <v>0</v>
      </c>
      <c r="S360" s="508">
        <f t="shared" si="71"/>
        <v>0</v>
      </c>
      <c r="T360" s="508">
        <f t="shared" si="81"/>
        <v>0</v>
      </c>
      <c r="U360" s="508"/>
      <c r="V360" s="508">
        <f t="shared" si="82"/>
        <v>0</v>
      </c>
      <c r="W360" s="490">
        <f>IF(B360&gt;$C$99,0,$C$338+SUM($J$341:J360))</f>
        <v>0</v>
      </c>
      <c r="X360" s="513">
        <f t="shared" si="83"/>
        <v>0</v>
      </c>
      <c r="Y360" s="7"/>
      <c r="Z360" s="7"/>
    </row>
    <row r="361" spans="1:26" x14ac:dyDescent="0.5">
      <c r="A361"/>
      <c r="B361" s="489">
        <v>20</v>
      </c>
      <c r="C361" s="511">
        <f t="shared" si="72"/>
        <v>0</v>
      </c>
      <c r="D361" s="508">
        <f t="shared" si="73"/>
        <v>0</v>
      </c>
      <c r="E361" s="511">
        <f t="shared" si="74"/>
        <v>0</v>
      </c>
      <c r="F361" s="508">
        <f t="shared" si="75"/>
        <v>0</v>
      </c>
      <c r="G361" s="491">
        <v>0</v>
      </c>
      <c r="H361" s="508">
        <f t="shared" si="66"/>
        <v>0</v>
      </c>
      <c r="I361" s="491">
        <v>2.564E-2</v>
      </c>
      <c r="J361" s="508">
        <f t="shared" si="76"/>
        <v>0</v>
      </c>
      <c r="K361" s="512">
        <f t="shared" si="67"/>
        <v>0</v>
      </c>
      <c r="L361" s="508">
        <f t="shared" si="68"/>
        <v>0</v>
      </c>
      <c r="M361" s="508">
        <f t="shared" si="69"/>
        <v>0</v>
      </c>
      <c r="N361" s="508">
        <f t="shared" si="70"/>
        <v>0</v>
      </c>
      <c r="O361" s="490">
        <f t="shared" si="77"/>
        <v>0</v>
      </c>
      <c r="P361" s="490">
        <f t="shared" si="78"/>
        <v>0</v>
      </c>
      <c r="Q361" s="490">
        <f t="shared" si="79"/>
        <v>0</v>
      </c>
      <c r="R361" s="508">
        <f t="shared" si="80"/>
        <v>0</v>
      </c>
      <c r="S361" s="508">
        <f t="shared" si="71"/>
        <v>0</v>
      </c>
      <c r="T361" s="508">
        <f t="shared" si="81"/>
        <v>0</v>
      </c>
      <c r="U361" s="508"/>
      <c r="V361" s="508">
        <f t="shared" si="82"/>
        <v>0</v>
      </c>
      <c r="W361" s="490">
        <f>IF(B361&gt;$C$99,0,$C$338+SUM($J$341:J361))</f>
        <v>0</v>
      </c>
      <c r="X361" s="513">
        <f t="shared" si="83"/>
        <v>0</v>
      </c>
      <c r="Y361" s="7"/>
      <c r="Z361" s="7"/>
    </row>
    <row r="362" spans="1:26" x14ac:dyDescent="0.5">
      <c r="A362"/>
      <c r="B362" s="489"/>
      <c r="C362" s="511"/>
      <c r="D362" s="514"/>
      <c r="E362" s="491"/>
      <c r="F362" s="514"/>
      <c r="G362" s="491"/>
      <c r="H362" s="514"/>
      <c r="I362" s="491"/>
      <c r="J362" s="514"/>
      <c r="K362" s="514"/>
      <c r="L362" s="514"/>
      <c r="M362" s="514"/>
      <c r="N362" s="491"/>
      <c r="O362" s="491"/>
      <c r="P362" s="491"/>
      <c r="Q362" s="491"/>
      <c r="R362" s="514"/>
      <c r="S362" s="514"/>
      <c r="T362" s="491"/>
      <c r="U362" s="491"/>
      <c r="V362" s="491"/>
      <c r="W362" s="500" t="s">
        <v>297</v>
      </c>
      <c r="X362" s="515">
        <f>NPV($C$21,X342:X361)+X341</f>
        <v>0</v>
      </c>
      <c r="Y362" s="7"/>
      <c r="Z362" s="7"/>
    </row>
    <row r="363" spans="1:26" x14ac:dyDescent="0.5">
      <c r="A363"/>
      <c r="B363" s="489"/>
      <c r="C363" s="511"/>
      <c r="D363" s="516"/>
      <c r="E363" s="491"/>
      <c r="F363" s="516"/>
      <c r="G363" s="491"/>
      <c r="H363" s="516"/>
      <c r="I363" s="491"/>
      <c r="J363" s="516"/>
      <c r="K363" s="516"/>
      <c r="L363" s="516"/>
      <c r="M363" s="516"/>
      <c r="N363" s="491"/>
      <c r="O363" s="491"/>
      <c r="P363" s="491"/>
      <c r="Q363" s="491"/>
      <c r="R363" s="516"/>
      <c r="S363" s="516"/>
      <c r="T363" s="491"/>
      <c r="U363" s="491"/>
      <c r="V363" s="491"/>
      <c r="W363" s="500" t="s">
        <v>269</v>
      </c>
      <c r="X363" s="517">
        <f>IRR(X341:X361,0.1)</f>
        <v>0.14000000000000035</v>
      </c>
      <c r="Y363" s="7"/>
      <c r="Z363" s="7"/>
    </row>
    <row r="364" spans="1:26" x14ac:dyDescent="0.5">
      <c r="A364"/>
      <c r="B364" s="489"/>
      <c r="C364" s="511"/>
      <c r="D364" s="518"/>
      <c r="E364" s="491"/>
      <c r="F364" s="491"/>
      <c r="G364" s="491"/>
      <c r="H364" s="491"/>
      <c r="I364" s="491"/>
      <c r="J364" s="500"/>
      <c r="K364" s="491"/>
      <c r="L364" s="491"/>
      <c r="M364" s="491"/>
      <c r="N364" s="491"/>
      <c r="O364" s="491"/>
      <c r="P364" s="491"/>
      <c r="Q364" s="491"/>
      <c r="R364" s="491"/>
      <c r="S364" s="491"/>
      <c r="T364" s="491"/>
      <c r="U364" s="491"/>
      <c r="V364" s="491"/>
      <c r="W364" s="491"/>
      <c r="X364" s="493"/>
      <c r="Y364" s="7"/>
      <c r="Z364" s="7"/>
    </row>
    <row r="365" spans="1:26" x14ac:dyDescent="0.5">
      <c r="A365"/>
      <c r="B365" s="497" t="s">
        <v>58</v>
      </c>
      <c r="C365" s="511"/>
      <c r="D365" s="499"/>
      <c r="E365" s="491"/>
      <c r="F365" s="500"/>
      <c r="G365" s="491"/>
      <c r="H365" s="491"/>
      <c r="I365" s="491"/>
      <c r="J365" s="491"/>
      <c r="K365" s="491"/>
      <c r="L365" s="491"/>
      <c r="M365" s="491"/>
      <c r="N365" s="491"/>
      <c r="O365" s="491"/>
      <c r="P365" s="491"/>
      <c r="Q365" s="491"/>
      <c r="R365" s="491"/>
      <c r="S365" s="491"/>
      <c r="T365" s="491"/>
      <c r="U365" s="491"/>
      <c r="V365" s="491"/>
      <c r="W365" s="491"/>
      <c r="X365" s="493"/>
      <c r="Y365" s="7"/>
      <c r="Z365" s="7"/>
    </row>
    <row r="366" spans="1:26" x14ac:dyDescent="0.5">
      <c r="A366"/>
      <c r="B366" s="489" t="s">
        <v>302</v>
      </c>
      <c r="C366" s="496">
        <f>H151*C272*1000000</f>
        <v>194376344.46315002</v>
      </c>
      <c r="D366" s="491" t="s">
        <v>226</v>
      </c>
      <c r="E366" s="491"/>
      <c r="F366" s="491"/>
      <c r="G366" s="491"/>
      <c r="H366" s="491"/>
      <c r="I366" s="491"/>
      <c r="J366" s="491"/>
      <c r="K366" s="491"/>
      <c r="L366" s="491"/>
      <c r="M366" s="491"/>
      <c r="N366" s="491"/>
      <c r="O366" s="491"/>
      <c r="P366" s="491"/>
      <c r="Q366" s="491"/>
      <c r="R366" s="491"/>
      <c r="S366" s="491"/>
      <c r="T366" s="491"/>
      <c r="U366" s="491"/>
      <c r="V366" s="491"/>
      <c r="W366" s="491"/>
      <c r="X366" s="493"/>
      <c r="Y366" s="7"/>
      <c r="Z366" s="7"/>
    </row>
    <row r="367" spans="1:26" x14ac:dyDescent="0.5">
      <c r="A367"/>
      <c r="B367" s="489" t="s">
        <v>303</v>
      </c>
      <c r="C367" s="496">
        <f>I151*C272*1000000</f>
        <v>70259274.094037145</v>
      </c>
      <c r="D367" s="491" t="s">
        <v>226</v>
      </c>
      <c r="E367" s="491"/>
      <c r="F367" s="491"/>
      <c r="G367" s="490"/>
      <c r="H367" s="491"/>
      <c r="I367" s="491"/>
      <c r="J367" s="491"/>
      <c r="K367" s="491"/>
      <c r="L367" s="491"/>
      <c r="M367" s="491"/>
      <c r="N367" s="491"/>
      <c r="O367" s="491"/>
      <c r="P367" s="491"/>
      <c r="Q367" s="491"/>
      <c r="R367" s="491"/>
      <c r="S367" s="491"/>
      <c r="T367" s="491"/>
      <c r="U367" s="491"/>
      <c r="V367" s="491"/>
      <c r="W367" s="491"/>
      <c r="X367" s="493"/>
      <c r="Y367" s="7"/>
      <c r="Z367" s="7"/>
    </row>
    <row r="368" spans="1:26" x14ac:dyDescent="0.5">
      <c r="A368"/>
      <c r="B368" s="489"/>
      <c r="C368" s="511"/>
      <c r="D368" s="499"/>
      <c r="E368" s="491"/>
      <c r="F368" s="500"/>
      <c r="G368" s="491"/>
      <c r="H368" s="491"/>
      <c r="I368" s="491"/>
      <c r="J368" s="491"/>
      <c r="K368" s="491"/>
      <c r="L368" s="491"/>
      <c r="M368" s="491"/>
      <c r="N368" s="491"/>
      <c r="O368" s="491"/>
      <c r="P368" s="491"/>
      <c r="Q368" s="491"/>
      <c r="R368" s="491"/>
      <c r="S368" s="491"/>
      <c r="T368" s="491"/>
      <c r="U368" s="491"/>
      <c r="V368" s="491"/>
      <c r="W368" s="491"/>
      <c r="X368" s="493"/>
      <c r="Y368" s="7"/>
      <c r="Z368" s="7"/>
    </row>
    <row r="369" spans="1:26" x14ac:dyDescent="0.5">
      <c r="A369"/>
      <c r="B369" s="501" t="s">
        <v>274</v>
      </c>
      <c r="C369" s="502" t="s">
        <v>275</v>
      </c>
      <c r="D369" s="503" t="s">
        <v>276</v>
      </c>
      <c r="E369" s="503" t="s">
        <v>277</v>
      </c>
      <c r="F369" s="503" t="s">
        <v>278</v>
      </c>
      <c r="G369" s="503" t="s">
        <v>279</v>
      </c>
      <c r="H369" s="503" t="s">
        <v>280</v>
      </c>
      <c r="I369" s="503" t="s">
        <v>281</v>
      </c>
      <c r="J369" s="503" t="s">
        <v>282</v>
      </c>
      <c r="K369" s="503" t="s">
        <v>283</v>
      </c>
      <c r="L369" s="503" t="s">
        <v>284</v>
      </c>
      <c r="M369" s="503" t="s">
        <v>285</v>
      </c>
      <c r="N369" s="503" t="s">
        <v>286</v>
      </c>
      <c r="O369" s="503" t="s">
        <v>287</v>
      </c>
      <c r="P369" s="503" t="s">
        <v>288</v>
      </c>
      <c r="Q369" s="503" t="s">
        <v>289</v>
      </c>
      <c r="R369" s="503" t="s">
        <v>290</v>
      </c>
      <c r="S369" s="503" t="s">
        <v>291</v>
      </c>
      <c r="T369" s="503" t="s">
        <v>292</v>
      </c>
      <c r="U369" s="491" t="s">
        <v>293</v>
      </c>
      <c r="V369" s="503" t="s">
        <v>294</v>
      </c>
      <c r="W369" s="503" t="s">
        <v>295</v>
      </c>
      <c r="X369" s="504" t="s">
        <v>296</v>
      </c>
      <c r="Y369" s="7"/>
      <c r="Z369" s="7"/>
    </row>
    <row r="370" spans="1:26" x14ac:dyDescent="0.5">
      <c r="A370"/>
      <c r="B370" s="505">
        <v>0</v>
      </c>
      <c r="C370" s="494">
        <v>0.26744426802747207</v>
      </c>
      <c r="D370" s="506">
        <v>0</v>
      </c>
      <c r="E370" s="507">
        <f>L61</f>
        <v>0.194978369442731</v>
      </c>
      <c r="F370" s="506">
        <v>0</v>
      </c>
      <c r="G370" s="491">
        <v>0</v>
      </c>
      <c r="H370" s="508">
        <f t="shared" ref="H370:H390" si="84">IF(D370&gt;0,-1*G370*$C$366,0)</f>
        <v>0</v>
      </c>
      <c r="I370" s="508">
        <v>0</v>
      </c>
      <c r="J370" s="508">
        <v>0</v>
      </c>
      <c r="K370" s="509">
        <f t="shared" ref="K370:K390" si="85">D370+F370+H370+J370</f>
        <v>0</v>
      </c>
      <c r="L370" s="506">
        <f t="shared" ref="L370:L390" si="86">IF(F370&lt;&gt;0,-1*($C$25+$C$26)*D370,0)</f>
        <v>0</v>
      </c>
      <c r="M370" s="506">
        <f t="shared" ref="M370:M390" si="87">K370+L370</f>
        <v>0</v>
      </c>
      <c r="N370" s="508">
        <f t="shared" ref="N370:N390" si="88">IF(V370&gt;0,V370-W370,0)</f>
        <v>0</v>
      </c>
      <c r="O370" s="490">
        <v>0</v>
      </c>
      <c r="P370" s="490">
        <v>0</v>
      </c>
      <c r="Q370" s="490">
        <v>0</v>
      </c>
      <c r="R370" s="508">
        <f>IF(M370&gt;0,-1*(M370+N370)*$C$24,0)</f>
        <v>0</v>
      </c>
      <c r="S370" s="506">
        <f t="shared" ref="S370:S390" si="89">IF(B370=$C$100,0,$C$27/12*(-1*F371-L371))</f>
        <v>111530008.79280779</v>
      </c>
      <c r="T370" s="506">
        <f>S370</f>
        <v>111530008.79280779</v>
      </c>
      <c r="U370" s="506">
        <f>-1*(C366+C367)</f>
        <v>-264635618.55718717</v>
      </c>
      <c r="V370" s="508">
        <v>0</v>
      </c>
      <c r="W370" s="490">
        <f>IF(B370&gt;$C$100,0,$C$367+SUM($J$370:J370))</f>
        <v>70259274.094037145</v>
      </c>
      <c r="X370" s="510">
        <f>-T370+U370</f>
        <v>-376165627.34999496</v>
      </c>
      <c r="Y370" s="7"/>
      <c r="Z370" s="7"/>
    </row>
    <row r="371" spans="1:26" x14ac:dyDescent="0.5">
      <c r="A371"/>
      <c r="B371" s="489">
        <v>1</v>
      </c>
      <c r="C371" s="511">
        <f t="shared" ref="C371:C390" si="90">IF(B371&gt;$C$100,0,$C$370*(1+$C$22)^B371)</f>
        <v>0.26744426802747207</v>
      </c>
      <c r="D371" s="508">
        <f t="shared" ref="D371:D390" si="91">C371*$C$272*1000000</f>
        <v>534888536.0549441</v>
      </c>
      <c r="E371" s="511">
        <f t="shared" ref="E371:E390" si="92">IF(B371&gt;$C$100,0,$E$370*(1+$C$23)^B371)</f>
        <v>0.194978369442731</v>
      </c>
      <c r="F371" s="508">
        <f t="shared" ref="F371:F390" si="93">-1*E371*$C$272*1000000</f>
        <v>-389956738.88546205</v>
      </c>
      <c r="G371" s="491">
        <v>0.1429</v>
      </c>
      <c r="H371" s="508">
        <f t="shared" si="84"/>
        <v>-27776379.62378414</v>
      </c>
      <c r="I371" s="491">
        <v>1.391E-2</v>
      </c>
      <c r="J371" s="508">
        <f t="shared" ref="J371:J390" si="94">IF(D371&gt;0,-1*$C$367*I371,0)</f>
        <v>-977306.50264805672</v>
      </c>
      <c r="K371" s="512">
        <f t="shared" si="85"/>
        <v>116178111.04304986</v>
      </c>
      <c r="L371" s="508">
        <f t="shared" si="86"/>
        <v>-56163296.285769127</v>
      </c>
      <c r="M371" s="508">
        <f t="shared" si="87"/>
        <v>60014814.75728073</v>
      </c>
      <c r="N371" s="508">
        <f t="shared" si="88"/>
        <v>0</v>
      </c>
      <c r="O371" s="490">
        <f t="shared" ref="O371:O390" si="95">IF(M371&lt;0,M371*-1,0)</f>
        <v>0</v>
      </c>
      <c r="P371" s="490">
        <f t="shared" ref="P371:P390" si="96">P370+O371-Q371</f>
        <v>0</v>
      </c>
      <c r="Q371" s="490">
        <f t="shared" ref="Q371:Q390" si="97">IF(B371=$C$100+1,O371,IF(AND(M371&gt;0,P370&gt;0),MIN(M371,P370),0))</f>
        <v>0</v>
      </c>
      <c r="R371" s="508">
        <f t="shared" ref="R371:R390" si="98">IF(M371&gt;0,-1*(M371+N371-Q371)*$C$24,0)</f>
        <v>-16744133.317281323</v>
      </c>
      <c r="S371" s="508">
        <f t="shared" si="89"/>
        <v>111530008.79280779</v>
      </c>
      <c r="T371" s="508">
        <f t="shared" ref="T371:T390" si="99">(S371-S370)</f>
        <v>0</v>
      </c>
      <c r="U371" s="508"/>
      <c r="V371" s="508">
        <f t="shared" ref="V371:V390" si="100">IF(B371=$C$100,$C$367*(1-1/$C$101*B371),0)</f>
        <v>0</v>
      </c>
      <c r="W371" s="490">
        <f>IF(B371&gt;$C$100,0,$C$367+SUM($J$370:J371))</f>
        <v>69281967.59138909</v>
      </c>
      <c r="X371" s="513">
        <f t="shared" ref="X371:X390" si="101">M371+R371-1*(H371+J371)-T371+U371+V371</f>
        <v>72024367.566431612</v>
      </c>
      <c r="Y371" s="7"/>
      <c r="Z371" s="7"/>
    </row>
    <row r="372" spans="1:26" x14ac:dyDescent="0.5">
      <c r="A372"/>
      <c r="B372" s="489">
        <v>2</v>
      </c>
      <c r="C372" s="511">
        <f t="shared" si="90"/>
        <v>0.26744426802747207</v>
      </c>
      <c r="D372" s="508">
        <f t="shared" si="91"/>
        <v>534888536.0549441</v>
      </c>
      <c r="E372" s="511">
        <f t="shared" si="92"/>
        <v>0.194978369442731</v>
      </c>
      <c r="F372" s="508">
        <f t="shared" si="93"/>
        <v>-389956738.88546205</v>
      </c>
      <c r="G372" s="491">
        <v>0.24490000000000001</v>
      </c>
      <c r="H372" s="508">
        <f t="shared" si="84"/>
        <v>-47602766.75902544</v>
      </c>
      <c r="I372" s="491">
        <v>2.564E-2</v>
      </c>
      <c r="J372" s="508">
        <f t="shared" si="94"/>
        <v>-1801447.7877711123</v>
      </c>
      <c r="K372" s="512">
        <f t="shared" si="85"/>
        <v>95527582.622685507</v>
      </c>
      <c r="L372" s="508">
        <f t="shared" si="86"/>
        <v>-56163296.285769127</v>
      </c>
      <c r="M372" s="508">
        <f t="shared" si="87"/>
        <v>39364286.33691638</v>
      </c>
      <c r="N372" s="508">
        <f t="shared" si="88"/>
        <v>0</v>
      </c>
      <c r="O372" s="490">
        <f t="shared" si="95"/>
        <v>0</v>
      </c>
      <c r="P372" s="490">
        <f t="shared" si="96"/>
        <v>0</v>
      </c>
      <c r="Q372" s="490">
        <f t="shared" si="97"/>
        <v>0</v>
      </c>
      <c r="R372" s="508">
        <f t="shared" si="98"/>
        <v>-10982635.887999669</v>
      </c>
      <c r="S372" s="508">
        <f t="shared" si="89"/>
        <v>111530008.79280779</v>
      </c>
      <c r="T372" s="508">
        <f t="shared" si="99"/>
        <v>0</v>
      </c>
      <c r="U372" s="508"/>
      <c r="V372" s="508">
        <f t="shared" si="100"/>
        <v>0</v>
      </c>
      <c r="W372" s="490">
        <f>IF(B372&gt;$C$100,0,$C$367+SUM($J$370:J372))</f>
        <v>67480519.803617984</v>
      </c>
      <c r="X372" s="513">
        <f t="shared" si="101"/>
        <v>77785864.995713264</v>
      </c>
      <c r="Y372" s="7"/>
      <c r="Z372" s="7"/>
    </row>
    <row r="373" spans="1:26" x14ac:dyDescent="0.5">
      <c r="A373"/>
      <c r="B373" s="489">
        <v>3</v>
      </c>
      <c r="C373" s="511">
        <f t="shared" si="90"/>
        <v>0.26744426802747207</v>
      </c>
      <c r="D373" s="508">
        <f t="shared" si="91"/>
        <v>534888536.0549441</v>
      </c>
      <c r="E373" s="511">
        <f t="shared" si="92"/>
        <v>0.194978369442731</v>
      </c>
      <c r="F373" s="508">
        <f t="shared" si="93"/>
        <v>-389956738.88546205</v>
      </c>
      <c r="G373" s="491">
        <v>0.1749</v>
      </c>
      <c r="H373" s="508">
        <f t="shared" si="84"/>
        <v>-33996422.64660494</v>
      </c>
      <c r="I373" s="491">
        <v>2.564E-2</v>
      </c>
      <c r="J373" s="508">
        <f t="shared" si="94"/>
        <v>-1801447.7877711123</v>
      </c>
      <c r="K373" s="512">
        <f t="shared" si="85"/>
        <v>109133926.73510601</v>
      </c>
      <c r="L373" s="508">
        <f t="shared" si="86"/>
        <v>-56163296.285769127</v>
      </c>
      <c r="M373" s="508">
        <f t="shared" si="87"/>
        <v>52970630.449336879</v>
      </c>
      <c r="N373" s="508">
        <f t="shared" si="88"/>
        <v>0</v>
      </c>
      <c r="O373" s="490">
        <f t="shared" si="95"/>
        <v>0</v>
      </c>
      <c r="P373" s="490">
        <f t="shared" si="96"/>
        <v>0</v>
      </c>
      <c r="Q373" s="490">
        <f t="shared" si="97"/>
        <v>0</v>
      </c>
      <c r="R373" s="508">
        <f t="shared" si="98"/>
        <v>-14778805.895364987</v>
      </c>
      <c r="S373" s="508">
        <f t="shared" si="89"/>
        <v>111530008.79280779</v>
      </c>
      <c r="T373" s="508">
        <f t="shared" si="99"/>
        <v>0</v>
      </c>
      <c r="U373" s="508"/>
      <c r="V373" s="508">
        <f t="shared" si="100"/>
        <v>0</v>
      </c>
      <c r="W373" s="490">
        <f>IF(B373&gt;$C$100,0,$C$367+SUM($J$370:J373))</f>
        <v>65679072.015846863</v>
      </c>
      <c r="X373" s="513">
        <f t="shared" si="101"/>
        <v>73989694.988347948</v>
      </c>
      <c r="Y373" s="7"/>
      <c r="Z373" s="7"/>
    </row>
    <row r="374" spans="1:26" x14ac:dyDescent="0.5">
      <c r="A374"/>
      <c r="B374" s="489">
        <v>4</v>
      </c>
      <c r="C374" s="511">
        <f t="shared" si="90"/>
        <v>0.26744426802747207</v>
      </c>
      <c r="D374" s="508">
        <f t="shared" si="91"/>
        <v>534888536.0549441</v>
      </c>
      <c r="E374" s="511">
        <f t="shared" si="92"/>
        <v>0.194978369442731</v>
      </c>
      <c r="F374" s="508">
        <f t="shared" si="93"/>
        <v>-389956738.88546205</v>
      </c>
      <c r="G374" s="491">
        <v>0.1249</v>
      </c>
      <c r="H374" s="508">
        <f t="shared" si="84"/>
        <v>-24277605.423447438</v>
      </c>
      <c r="I374" s="491">
        <v>2.564E-2</v>
      </c>
      <c r="J374" s="508">
        <f t="shared" si="94"/>
        <v>-1801447.7877711123</v>
      </c>
      <c r="K374" s="512">
        <f t="shared" si="85"/>
        <v>118852743.95826352</v>
      </c>
      <c r="L374" s="508">
        <f t="shared" si="86"/>
        <v>-56163296.285769127</v>
      </c>
      <c r="M374" s="508">
        <f t="shared" si="87"/>
        <v>62689447.672494389</v>
      </c>
      <c r="N374" s="508">
        <f t="shared" si="88"/>
        <v>0</v>
      </c>
      <c r="O374" s="490">
        <f t="shared" si="95"/>
        <v>0</v>
      </c>
      <c r="P374" s="490">
        <f t="shared" si="96"/>
        <v>0</v>
      </c>
      <c r="Q374" s="490">
        <f t="shared" si="97"/>
        <v>0</v>
      </c>
      <c r="R374" s="508">
        <f t="shared" si="98"/>
        <v>-17490355.900625933</v>
      </c>
      <c r="S374" s="508">
        <f t="shared" si="89"/>
        <v>111530008.79280779</v>
      </c>
      <c r="T374" s="508">
        <f t="shared" si="99"/>
        <v>0</v>
      </c>
      <c r="U374" s="508"/>
      <c r="V374" s="508">
        <f t="shared" si="100"/>
        <v>0</v>
      </c>
      <c r="W374" s="490">
        <f>IF(B374&gt;$C$100,0,$C$367+SUM($J$370:J374))</f>
        <v>63877624.22807575</v>
      </c>
      <c r="X374" s="513">
        <f t="shared" si="101"/>
        <v>71278144.983087003</v>
      </c>
      <c r="Y374" s="7"/>
      <c r="Z374" s="7"/>
    </row>
    <row r="375" spans="1:26" x14ac:dyDescent="0.5">
      <c r="A375"/>
      <c r="B375" s="489">
        <v>5</v>
      </c>
      <c r="C375" s="511">
        <f t="shared" si="90"/>
        <v>0.26744426802747207</v>
      </c>
      <c r="D375" s="508">
        <f t="shared" si="91"/>
        <v>534888536.0549441</v>
      </c>
      <c r="E375" s="511">
        <f t="shared" si="92"/>
        <v>0.194978369442731</v>
      </c>
      <c r="F375" s="508">
        <f t="shared" si="93"/>
        <v>-389956738.88546205</v>
      </c>
      <c r="G375" s="491">
        <v>8.9300000000000004E-2</v>
      </c>
      <c r="H375" s="508">
        <f t="shared" si="84"/>
        <v>-17357807.560559299</v>
      </c>
      <c r="I375" s="491">
        <v>2.564E-2</v>
      </c>
      <c r="J375" s="508">
        <f t="shared" si="94"/>
        <v>-1801447.7877711123</v>
      </c>
      <c r="K375" s="512">
        <f t="shared" si="85"/>
        <v>125772541.82115164</v>
      </c>
      <c r="L375" s="508">
        <f t="shared" si="86"/>
        <v>-56163296.285769127</v>
      </c>
      <c r="M375" s="508">
        <f t="shared" si="87"/>
        <v>69609245.535382509</v>
      </c>
      <c r="N375" s="508">
        <f t="shared" si="88"/>
        <v>0</v>
      </c>
      <c r="O375" s="490">
        <f t="shared" si="95"/>
        <v>0</v>
      </c>
      <c r="P375" s="490">
        <f t="shared" si="96"/>
        <v>0</v>
      </c>
      <c r="Q375" s="490">
        <f t="shared" si="97"/>
        <v>0</v>
      </c>
      <c r="R375" s="508">
        <f t="shared" si="98"/>
        <v>-19420979.504371718</v>
      </c>
      <c r="S375" s="508">
        <f t="shared" si="89"/>
        <v>111530008.79280779</v>
      </c>
      <c r="T375" s="508">
        <f t="shared" si="99"/>
        <v>0</v>
      </c>
      <c r="U375" s="508"/>
      <c r="V375" s="508">
        <f t="shared" si="100"/>
        <v>0</v>
      </c>
      <c r="W375" s="490">
        <f>IF(B375&gt;$C$100,0,$C$367+SUM($J$370:J375))</f>
        <v>62076176.440304637</v>
      </c>
      <c r="X375" s="513">
        <f t="shared" si="101"/>
        <v>69347521.3793412</v>
      </c>
      <c r="Y375" s="7"/>
      <c r="Z375" s="7"/>
    </row>
    <row r="376" spans="1:26" x14ac:dyDescent="0.5">
      <c r="A376"/>
      <c r="B376" s="489">
        <v>6</v>
      </c>
      <c r="C376" s="511">
        <f t="shared" si="90"/>
        <v>0.26744426802747207</v>
      </c>
      <c r="D376" s="508">
        <f t="shared" si="91"/>
        <v>534888536.0549441</v>
      </c>
      <c r="E376" s="511">
        <f t="shared" si="92"/>
        <v>0.194978369442731</v>
      </c>
      <c r="F376" s="508">
        <f t="shared" si="93"/>
        <v>-389956738.88546205</v>
      </c>
      <c r="G376" s="491">
        <v>8.9200000000000002E-2</v>
      </c>
      <c r="H376" s="508">
        <f t="shared" si="84"/>
        <v>-17338369.926112983</v>
      </c>
      <c r="I376" s="491">
        <v>2.564E-2</v>
      </c>
      <c r="J376" s="508">
        <f t="shared" si="94"/>
        <v>-1801447.7877711123</v>
      </c>
      <c r="K376" s="512">
        <f t="shared" si="85"/>
        <v>125791979.45559797</v>
      </c>
      <c r="L376" s="508">
        <f t="shared" si="86"/>
        <v>-56163296.285769127</v>
      </c>
      <c r="M376" s="508">
        <f t="shared" si="87"/>
        <v>69628683.169828832</v>
      </c>
      <c r="N376" s="508">
        <f t="shared" si="88"/>
        <v>0</v>
      </c>
      <c r="O376" s="490">
        <f t="shared" si="95"/>
        <v>0</v>
      </c>
      <c r="P376" s="490">
        <f t="shared" si="96"/>
        <v>0</v>
      </c>
      <c r="Q376" s="490">
        <f t="shared" si="97"/>
        <v>0</v>
      </c>
      <c r="R376" s="508">
        <f t="shared" si="98"/>
        <v>-19426402.604382243</v>
      </c>
      <c r="S376" s="508">
        <f t="shared" si="89"/>
        <v>111530008.79280779</v>
      </c>
      <c r="T376" s="508">
        <f t="shared" si="99"/>
        <v>0</v>
      </c>
      <c r="U376" s="508"/>
      <c r="V376" s="508">
        <f t="shared" si="100"/>
        <v>0</v>
      </c>
      <c r="W376" s="490">
        <f>IF(B376&gt;$C$100,0,$C$367+SUM($J$370:J376))</f>
        <v>60274728.652533531</v>
      </c>
      <c r="X376" s="513">
        <f t="shared" si="101"/>
        <v>69342098.279330686</v>
      </c>
      <c r="Y376" s="7"/>
      <c r="Z376" s="7"/>
    </row>
    <row r="377" spans="1:26" x14ac:dyDescent="0.5">
      <c r="A377"/>
      <c r="B377" s="489">
        <v>7</v>
      </c>
      <c r="C377" s="511">
        <f t="shared" si="90"/>
        <v>0.26744426802747207</v>
      </c>
      <c r="D377" s="508">
        <f t="shared" si="91"/>
        <v>534888536.0549441</v>
      </c>
      <c r="E377" s="511">
        <f t="shared" si="92"/>
        <v>0.194978369442731</v>
      </c>
      <c r="F377" s="508">
        <f t="shared" si="93"/>
        <v>-389956738.88546205</v>
      </c>
      <c r="G377" s="491">
        <v>8.9300000000000004E-2</v>
      </c>
      <c r="H377" s="508">
        <f t="shared" si="84"/>
        <v>-17357807.560559299</v>
      </c>
      <c r="I377" s="491">
        <v>2.564E-2</v>
      </c>
      <c r="J377" s="508">
        <f t="shared" si="94"/>
        <v>-1801447.7877711123</v>
      </c>
      <c r="K377" s="512">
        <f t="shared" si="85"/>
        <v>125772541.82115164</v>
      </c>
      <c r="L377" s="508">
        <f t="shared" si="86"/>
        <v>-56163296.285769127</v>
      </c>
      <c r="M377" s="508">
        <f t="shared" si="87"/>
        <v>69609245.535382509</v>
      </c>
      <c r="N377" s="508">
        <f t="shared" si="88"/>
        <v>-7886603.5170556679</v>
      </c>
      <c r="O377" s="490">
        <f t="shared" si="95"/>
        <v>0</v>
      </c>
      <c r="P377" s="490">
        <f t="shared" si="96"/>
        <v>0</v>
      </c>
      <c r="Q377" s="490">
        <f t="shared" si="97"/>
        <v>0</v>
      </c>
      <c r="R377" s="508">
        <f t="shared" si="98"/>
        <v>-17220617.123113185</v>
      </c>
      <c r="S377" s="508">
        <f t="shared" si="89"/>
        <v>0</v>
      </c>
      <c r="T377" s="508">
        <f t="shared" si="99"/>
        <v>-111530008.79280779</v>
      </c>
      <c r="U377" s="508"/>
      <c r="V377" s="508">
        <f t="shared" si="100"/>
        <v>50586677.347706743</v>
      </c>
      <c r="W377" s="490">
        <f>IF(B377&gt;$C$100,0,$C$367+SUM($J$370:J377))</f>
        <v>58473280.864762411</v>
      </c>
      <c r="X377" s="513">
        <f t="shared" si="101"/>
        <v>233664569.90111426</v>
      </c>
      <c r="Y377" s="7"/>
      <c r="Z377" s="7"/>
    </row>
    <row r="378" spans="1:26" x14ac:dyDescent="0.5">
      <c r="A378"/>
      <c r="B378" s="489">
        <v>8</v>
      </c>
      <c r="C378" s="511">
        <f t="shared" si="90"/>
        <v>0</v>
      </c>
      <c r="D378" s="508">
        <f t="shared" si="91"/>
        <v>0</v>
      </c>
      <c r="E378" s="511">
        <f t="shared" si="92"/>
        <v>0</v>
      </c>
      <c r="F378" s="508">
        <f t="shared" si="93"/>
        <v>0</v>
      </c>
      <c r="G378" s="491">
        <v>4.4600000000000001E-2</v>
      </c>
      <c r="H378" s="508">
        <f t="shared" si="84"/>
        <v>0</v>
      </c>
      <c r="I378" s="491">
        <v>2.564E-2</v>
      </c>
      <c r="J378" s="508">
        <f t="shared" si="94"/>
        <v>0</v>
      </c>
      <c r="K378" s="512">
        <f t="shared" si="85"/>
        <v>0</v>
      </c>
      <c r="L378" s="508">
        <f t="shared" si="86"/>
        <v>0</v>
      </c>
      <c r="M378" s="508">
        <f t="shared" si="87"/>
        <v>0</v>
      </c>
      <c r="N378" s="508">
        <f t="shared" si="88"/>
        <v>0</v>
      </c>
      <c r="O378" s="490">
        <f t="shared" si="95"/>
        <v>0</v>
      </c>
      <c r="P378" s="490">
        <f t="shared" si="96"/>
        <v>0</v>
      </c>
      <c r="Q378" s="490">
        <f t="shared" si="97"/>
        <v>0</v>
      </c>
      <c r="R378" s="508">
        <f t="shared" si="98"/>
        <v>0</v>
      </c>
      <c r="S378" s="508">
        <f t="shared" si="89"/>
        <v>0</v>
      </c>
      <c r="T378" s="508">
        <f t="shared" si="99"/>
        <v>0</v>
      </c>
      <c r="U378" s="508"/>
      <c r="V378" s="508">
        <f t="shared" si="100"/>
        <v>0</v>
      </c>
      <c r="W378" s="490">
        <f>IF(B378&gt;$C$100,0,$C$367+SUM($J$370:J378))</f>
        <v>0</v>
      </c>
      <c r="X378" s="513">
        <f t="shared" si="101"/>
        <v>0</v>
      </c>
      <c r="Y378" s="7"/>
      <c r="Z378" s="7"/>
    </row>
    <row r="379" spans="1:26" x14ac:dyDescent="0.5">
      <c r="A379"/>
      <c r="B379" s="489">
        <v>9</v>
      </c>
      <c r="C379" s="511">
        <f t="shared" si="90"/>
        <v>0</v>
      </c>
      <c r="D379" s="508">
        <f t="shared" si="91"/>
        <v>0</v>
      </c>
      <c r="E379" s="511">
        <f t="shared" si="92"/>
        <v>0</v>
      </c>
      <c r="F379" s="508">
        <f t="shared" si="93"/>
        <v>0</v>
      </c>
      <c r="G379" s="491">
        <v>0</v>
      </c>
      <c r="H379" s="508">
        <f t="shared" si="84"/>
        <v>0</v>
      </c>
      <c r="I379" s="491">
        <v>2.564E-2</v>
      </c>
      <c r="J379" s="508">
        <f t="shared" si="94"/>
        <v>0</v>
      </c>
      <c r="K379" s="512">
        <f t="shared" si="85"/>
        <v>0</v>
      </c>
      <c r="L379" s="508">
        <f t="shared" si="86"/>
        <v>0</v>
      </c>
      <c r="M379" s="508">
        <f t="shared" si="87"/>
        <v>0</v>
      </c>
      <c r="N379" s="508">
        <f t="shared" si="88"/>
        <v>0</v>
      </c>
      <c r="O379" s="490">
        <f t="shared" si="95"/>
        <v>0</v>
      </c>
      <c r="P379" s="490">
        <f t="shared" si="96"/>
        <v>0</v>
      </c>
      <c r="Q379" s="490">
        <f t="shared" si="97"/>
        <v>0</v>
      </c>
      <c r="R379" s="508">
        <f t="shared" si="98"/>
        <v>0</v>
      </c>
      <c r="S379" s="508">
        <f t="shared" si="89"/>
        <v>0</v>
      </c>
      <c r="T379" s="508">
        <f t="shared" si="99"/>
        <v>0</v>
      </c>
      <c r="U379" s="508"/>
      <c r="V379" s="508">
        <f t="shared" si="100"/>
        <v>0</v>
      </c>
      <c r="W379" s="490">
        <f>IF(B379&gt;$C$100,0,$C$367+SUM($J$370:J379))</f>
        <v>0</v>
      </c>
      <c r="X379" s="513">
        <f t="shared" si="101"/>
        <v>0</v>
      </c>
      <c r="Y379" s="7"/>
      <c r="Z379" s="7"/>
    </row>
    <row r="380" spans="1:26" x14ac:dyDescent="0.5">
      <c r="A380"/>
      <c r="B380" s="489">
        <v>10</v>
      </c>
      <c r="C380" s="511">
        <f t="shared" si="90"/>
        <v>0</v>
      </c>
      <c r="D380" s="508">
        <f t="shared" si="91"/>
        <v>0</v>
      </c>
      <c r="E380" s="511">
        <f t="shared" si="92"/>
        <v>0</v>
      </c>
      <c r="F380" s="508">
        <f t="shared" si="93"/>
        <v>0</v>
      </c>
      <c r="G380" s="491">
        <v>0</v>
      </c>
      <c r="H380" s="508">
        <f t="shared" si="84"/>
        <v>0</v>
      </c>
      <c r="I380" s="491">
        <v>2.564E-2</v>
      </c>
      <c r="J380" s="508">
        <f t="shared" si="94"/>
        <v>0</v>
      </c>
      <c r="K380" s="512">
        <f t="shared" si="85"/>
        <v>0</v>
      </c>
      <c r="L380" s="508">
        <f t="shared" si="86"/>
        <v>0</v>
      </c>
      <c r="M380" s="508">
        <f t="shared" si="87"/>
        <v>0</v>
      </c>
      <c r="N380" s="508">
        <f t="shared" si="88"/>
        <v>0</v>
      </c>
      <c r="O380" s="490">
        <f t="shared" si="95"/>
        <v>0</v>
      </c>
      <c r="P380" s="490">
        <f t="shared" si="96"/>
        <v>0</v>
      </c>
      <c r="Q380" s="490">
        <f t="shared" si="97"/>
        <v>0</v>
      </c>
      <c r="R380" s="508">
        <f t="shared" si="98"/>
        <v>0</v>
      </c>
      <c r="S380" s="508">
        <f t="shared" si="89"/>
        <v>0</v>
      </c>
      <c r="T380" s="508">
        <f t="shared" si="99"/>
        <v>0</v>
      </c>
      <c r="U380" s="508"/>
      <c r="V380" s="508">
        <f t="shared" si="100"/>
        <v>0</v>
      </c>
      <c r="W380" s="490">
        <f>IF(B380&gt;$C$100,0,$C$367+SUM($J$370:J380))</f>
        <v>0</v>
      </c>
      <c r="X380" s="513">
        <f t="shared" si="101"/>
        <v>0</v>
      </c>
      <c r="Y380" s="7"/>
      <c r="Z380" s="7"/>
    </row>
    <row r="381" spans="1:26" x14ac:dyDescent="0.5">
      <c r="A381"/>
      <c r="B381" s="489">
        <v>11</v>
      </c>
      <c r="C381" s="511">
        <f t="shared" si="90"/>
        <v>0</v>
      </c>
      <c r="D381" s="508">
        <f t="shared" si="91"/>
        <v>0</v>
      </c>
      <c r="E381" s="511">
        <f t="shared" si="92"/>
        <v>0</v>
      </c>
      <c r="F381" s="508">
        <f t="shared" si="93"/>
        <v>0</v>
      </c>
      <c r="G381" s="491">
        <v>0</v>
      </c>
      <c r="H381" s="508">
        <f t="shared" si="84"/>
        <v>0</v>
      </c>
      <c r="I381" s="491">
        <v>2.564E-2</v>
      </c>
      <c r="J381" s="508">
        <f t="shared" si="94"/>
        <v>0</v>
      </c>
      <c r="K381" s="512">
        <f t="shared" si="85"/>
        <v>0</v>
      </c>
      <c r="L381" s="508">
        <f t="shared" si="86"/>
        <v>0</v>
      </c>
      <c r="M381" s="508">
        <f t="shared" si="87"/>
        <v>0</v>
      </c>
      <c r="N381" s="508">
        <f t="shared" si="88"/>
        <v>0</v>
      </c>
      <c r="O381" s="490">
        <f t="shared" si="95"/>
        <v>0</v>
      </c>
      <c r="P381" s="490">
        <f t="shared" si="96"/>
        <v>0</v>
      </c>
      <c r="Q381" s="490">
        <f t="shared" si="97"/>
        <v>0</v>
      </c>
      <c r="R381" s="508">
        <f t="shared" si="98"/>
        <v>0</v>
      </c>
      <c r="S381" s="508">
        <f t="shared" si="89"/>
        <v>0</v>
      </c>
      <c r="T381" s="508">
        <f t="shared" si="99"/>
        <v>0</v>
      </c>
      <c r="U381" s="508"/>
      <c r="V381" s="508">
        <f t="shared" si="100"/>
        <v>0</v>
      </c>
      <c r="W381" s="490">
        <f>IF(B381&gt;$C$100,0,$C$367+SUM($J$370:J381))</f>
        <v>0</v>
      </c>
      <c r="X381" s="513">
        <f t="shared" si="101"/>
        <v>0</v>
      </c>
      <c r="Y381" s="7"/>
      <c r="Z381" s="7"/>
    </row>
    <row r="382" spans="1:26" x14ac:dyDescent="0.5">
      <c r="A382"/>
      <c r="B382" s="489">
        <v>12</v>
      </c>
      <c r="C382" s="511">
        <f t="shared" si="90"/>
        <v>0</v>
      </c>
      <c r="D382" s="508">
        <f t="shared" si="91"/>
        <v>0</v>
      </c>
      <c r="E382" s="511">
        <f t="shared" si="92"/>
        <v>0</v>
      </c>
      <c r="F382" s="508">
        <f t="shared" si="93"/>
        <v>0</v>
      </c>
      <c r="G382" s="491">
        <v>0</v>
      </c>
      <c r="H382" s="508">
        <f t="shared" si="84"/>
        <v>0</v>
      </c>
      <c r="I382" s="491">
        <v>2.564E-2</v>
      </c>
      <c r="J382" s="508">
        <f t="shared" si="94"/>
        <v>0</v>
      </c>
      <c r="K382" s="512">
        <f t="shared" si="85"/>
        <v>0</v>
      </c>
      <c r="L382" s="508">
        <f t="shared" si="86"/>
        <v>0</v>
      </c>
      <c r="M382" s="508">
        <f t="shared" si="87"/>
        <v>0</v>
      </c>
      <c r="N382" s="508">
        <f t="shared" si="88"/>
        <v>0</v>
      </c>
      <c r="O382" s="490">
        <f t="shared" si="95"/>
        <v>0</v>
      </c>
      <c r="P382" s="490">
        <f t="shared" si="96"/>
        <v>0</v>
      </c>
      <c r="Q382" s="490">
        <f t="shared" si="97"/>
        <v>0</v>
      </c>
      <c r="R382" s="508">
        <f t="shared" si="98"/>
        <v>0</v>
      </c>
      <c r="S382" s="508">
        <f t="shared" si="89"/>
        <v>0</v>
      </c>
      <c r="T382" s="508">
        <f t="shared" si="99"/>
        <v>0</v>
      </c>
      <c r="U382" s="508"/>
      <c r="V382" s="508">
        <f t="shared" si="100"/>
        <v>0</v>
      </c>
      <c r="W382" s="490">
        <f>IF(B382&gt;$C$100,0,$C$367+SUM($J$370:J382))</f>
        <v>0</v>
      </c>
      <c r="X382" s="513">
        <f t="shared" si="101"/>
        <v>0</v>
      </c>
      <c r="Y382" s="7"/>
      <c r="Z382" s="7"/>
    </row>
    <row r="383" spans="1:26" x14ac:dyDescent="0.5">
      <c r="A383"/>
      <c r="B383" s="489">
        <v>13</v>
      </c>
      <c r="C383" s="511">
        <f t="shared" si="90"/>
        <v>0</v>
      </c>
      <c r="D383" s="508">
        <f t="shared" si="91"/>
        <v>0</v>
      </c>
      <c r="E383" s="511">
        <f t="shared" si="92"/>
        <v>0</v>
      </c>
      <c r="F383" s="508">
        <f t="shared" si="93"/>
        <v>0</v>
      </c>
      <c r="G383" s="491">
        <v>0</v>
      </c>
      <c r="H383" s="508">
        <f t="shared" si="84"/>
        <v>0</v>
      </c>
      <c r="I383" s="491">
        <v>2.564E-2</v>
      </c>
      <c r="J383" s="508">
        <f t="shared" si="94"/>
        <v>0</v>
      </c>
      <c r="K383" s="512">
        <f t="shared" si="85"/>
        <v>0</v>
      </c>
      <c r="L383" s="508">
        <f t="shared" si="86"/>
        <v>0</v>
      </c>
      <c r="M383" s="508">
        <f t="shared" si="87"/>
        <v>0</v>
      </c>
      <c r="N383" s="508">
        <f t="shared" si="88"/>
        <v>0</v>
      </c>
      <c r="O383" s="490">
        <f t="shared" si="95"/>
        <v>0</v>
      </c>
      <c r="P383" s="490">
        <f t="shared" si="96"/>
        <v>0</v>
      </c>
      <c r="Q383" s="490">
        <f t="shared" si="97"/>
        <v>0</v>
      </c>
      <c r="R383" s="508">
        <f t="shared" si="98"/>
        <v>0</v>
      </c>
      <c r="S383" s="508">
        <f t="shared" si="89"/>
        <v>0</v>
      </c>
      <c r="T383" s="508">
        <f t="shared" si="99"/>
        <v>0</v>
      </c>
      <c r="U383" s="508"/>
      <c r="V383" s="508">
        <f t="shared" si="100"/>
        <v>0</v>
      </c>
      <c r="W383" s="490">
        <f>IF(B383&gt;$C$100,0,$C$367+SUM($J$370:J383))</f>
        <v>0</v>
      </c>
      <c r="X383" s="513">
        <f t="shared" si="101"/>
        <v>0</v>
      </c>
      <c r="Y383" s="7"/>
      <c r="Z383" s="7"/>
    </row>
    <row r="384" spans="1:26" x14ac:dyDescent="0.5">
      <c r="A384"/>
      <c r="B384" s="489">
        <v>14</v>
      </c>
      <c r="C384" s="511">
        <f t="shared" si="90"/>
        <v>0</v>
      </c>
      <c r="D384" s="508">
        <f t="shared" si="91"/>
        <v>0</v>
      </c>
      <c r="E384" s="511">
        <f t="shared" si="92"/>
        <v>0</v>
      </c>
      <c r="F384" s="508">
        <f t="shared" si="93"/>
        <v>0</v>
      </c>
      <c r="G384" s="491">
        <v>0</v>
      </c>
      <c r="H384" s="508">
        <f t="shared" si="84"/>
        <v>0</v>
      </c>
      <c r="I384" s="491">
        <v>2.564E-2</v>
      </c>
      <c r="J384" s="508">
        <f t="shared" si="94"/>
        <v>0</v>
      </c>
      <c r="K384" s="512">
        <f t="shared" si="85"/>
        <v>0</v>
      </c>
      <c r="L384" s="508">
        <f t="shared" si="86"/>
        <v>0</v>
      </c>
      <c r="M384" s="508">
        <f t="shared" si="87"/>
        <v>0</v>
      </c>
      <c r="N384" s="508">
        <f t="shared" si="88"/>
        <v>0</v>
      </c>
      <c r="O384" s="490">
        <f t="shared" si="95"/>
        <v>0</v>
      </c>
      <c r="P384" s="490">
        <f t="shared" si="96"/>
        <v>0</v>
      </c>
      <c r="Q384" s="490">
        <f t="shared" si="97"/>
        <v>0</v>
      </c>
      <c r="R384" s="508">
        <f t="shared" si="98"/>
        <v>0</v>
      </c>
      <c r="S384" s="508">
        <f t="shared" si="89"/>
        <v>0</v>
      </c>
      <c r="T384" s="508">
        <f t="shared" si="99"/>
        <v>0</v>
      </c>
      <c r="U384" s="508"/>
      <c r="V384" s="508">
        <f t="shared" si="100"/>
        <v>0</v>
      </c>
      <c r="W384" s="490">
        <f>IF(B384&gt;$C$100,0,$C$367+SUM($J$370:J384))</f>
        <v>0</v>
      </c>
      <c r="X384" s="513">
        <f t="shared" si="101"/>
        <v>0</v>
      </c>
      <c r="Y384" s="7"/>
      <c r="Z384" s="7"/>
    </row>
    <row r="385" spans="1:26" x14ac:dyDescent="0.5">
      <c r="A385"/>
      <c r="B385" s="489">
        <v>15</v>
      </c>
      <c r="C385" s="511">
        <f t="shared" si="90"/>
        <v>0</v>
      </c>
      <c r="D385" s="508">
        <f t="shared" si="91"/>
        <v>0</v>
      </c>
      <c r="E385" s="511">
        <f t="shared" si="92"/>
        <v>0</v>
      </c>
      <c r="F385" s="508">
        <f t="shared" si="93"/>
        <v>0</v>
      </c>
      <c r="G385" s="491">
        <v>0</v>
      </c>
      <c r="H385" s="508">
        <f t="shared" si="84"/>
        <v>0</v>
      </c>
      <c r="I385" s="491">
        <v>2.564E-2</v>
      </c>
      <c r="J385" s="508">
        <f t="shared" si="94"/>
        <v>0</v>
      </c>
      <c r="K385" s="512">
        <f t="shared" si="85"/>
        <v>0</v>
      </c>
      <c r="L385" s="508">
        <f t="shared" si="86"/>
        <v>0</v>
      </c>
      <c r="M385" s="508">
        <f t="shared" si="87"/>
        <v>0</v>
      </c>
      <c r="N385" s="508">
        <f t="shared" si="88"/>
        <v>0</v>
      </c>
      <c r="O385" s="490">
        <f t="shared" si="95"/>
        <v>0</v>
      </c>
      <c r="P385" s="490">
        <f t="shared" si="96"/>
        <v>0</v>
      </c>
      <c r="Q385" s="490">
        <f t="shared" si="97"/>
        <v>0</v>
      </c>
      <c r="R385" s="508">
        <f t="shared" si="98"/>
        <v>0</v>
      </c>
      <c r="S385" s="508">
        <f t="shared" si="89"/>
        <v>0</v>
      </c>
      <c r="T385" s="508">
        <f t="shared" si="99"/>
        <v>0</v>
      </c>
      <c r="U385" s="508"/>
      <c r="V385" s="508">
        <f t="shared" si="100"/>
        <v>0</v>
      </c>
      <c r="W385" s="490">
        <f>IF(B385&gt;$C$100,0,$C$367+SUM($J$370:J385))</f>
        <v>0</v>
      </c>
      <c r="X385" s="513">
        <f t="shared" si="101"/>
        <v>0</v>
      </c>
      <c r="Y385" s="7"/>
      <c r="Z385" s="7"/>
    </row>
    <row r="386" spans="1:26" x14ac:dyDescent="0.5">
      <c r="A386"/>
      <c r="B386" s="489">
        <v>16</v>
      </c>
      <c r="C386" s="511">
        <f t="shared" si="90"/>
        <v>0</v>
      </c>
      <c r="D386" s="508">
        <f t="shared" si="91"/>
        <v>0</v>
      </c>
      <c r="E386" s="511">
        <f t="shared" si="92"/>
        <v>0</v>
      </c>
      <c r="F386" s="508">
        <f t="shared" si="93"/>
        <v>0</v>
      </c>
      <c r="G386" s="491">
        <v>0</v>
      </c>
      <c r="H386" s="508">
        <f t="shared" si="84"/>
        <v>0</v>
      </c>
      <c r="I386" s="491">
        <v>2.564E-2</v>
      </c>
      <c r="J386" s="508">
        <f t="shared" si="94"/>
        <v>0</v>
      </c>
      <c r="K386" s="512">
        <f t="shared" si="85"/>
        <v>0</v>
      </c>
      <c r="L386" s="508">
        <f t="shared" si="86"/>
        <v>0</v>
      </c>
      <c r="M386" s="508">
        <f t="shared" si="87"/>
        <v>0</v>
      </c>
      <c r="N386" s="508">
        <f t="shared" si="88"/>
        <v>0</v>
      </c>
      <c r="O386" s="490">
        <f t="shared" si="95"/>
        <v>0</v>
      </c>
      <c r="P386" s="490">
        <f t="shared" si="96"/>
        <v>0</v>
      </c>
      <c r="Q386" s="490">
        <f t="shared" si="97"/>
        <v>0</v>
      </c>
      <c r="R386" s="508">
        <f t="shared" si="98"/>
        <v>0</v>
      </c>
      <c r="S386" s="508">
        <f t="shared" si="89"/>
        <v>0</v>
      </c>
      <c r="T386" s="508">
        <f t="shared" si="99"/>
        <v>0</v>
      </c>
      <c r="U386" s="508"/>
      <c r="V386" s="508">
        <f t="shared" si="100"/>
        <v>0</v>
      </c>
      <c r="W386" s="490">
        <f>IF(B386&gt;$C$100,0,$C$367+SUM($J$370:J386))</f>
        <v>0</v>
      </c>
      <c r="X386" s="513">
        <f t="shared" si="101"/>
        <v>0</v>
      </c>
      <c r="Y386" s="7"/>
      <c r="Z386" s="7"/>
    </row>
    <row r="387" spans="1:26" x14ac:dyDescent="0.5">
      <c r="A387"/>
      <c r="B387" s="489">
        <v>17</v>
      </c>
      <c r="C387" s="511">
        <f t="shared" si="90"/>
        <v>0</v>
      </c>
      <c r="D387" s="508">
        <f t="shared" si="91"/>
        <v>0</v>
      </c>
      <c r="E387" s="511">
        <f t="shared" si="92"/>
        <v>0</v>
      </c>
      <c r="F387" s="508">
        <f t="shared" si="93"/>
        <v>0</v>
      </c>
      <c r="G387" s="491">
        <v>0</v>
      </c>
      <c r="H387" s="508">
        <f t="shared" si="84"/>
        <v>0</v>
      </c>
      <c r="I387" s="491">
        <v>2.564E-2</v>
      </c>
      <c r="J387" s="508">
        <f t="shared" si="94"/>
        <v>0</v>
      </c>
      <c r="K387" s="512">
        <f t="shared" si="85"/>
        <v>0</v>
      </c>
      <c r="L387" s="508">
        <f t="shared" si="86"/>
        <v>0</v>
      </c>
      <c r="M387" s="508">
        <f t="shared" si="87"/>
        <v>0</v>
      </c>
      <c r="N387" s="508">
        <f t="shared" si="88"/>
        <v>0</v>
      </c>
      <c r="O387" s="490">
        <f t="shared" si="95"/>
        <v>0</v>
      </c>
      <c r="P387" s="490">
        <f t="shared" si="96"/>
        <v>0</v>
      </c>
      <c r="Q387" s="490">
        <f t="shared" si="97"/>
        <v>0</v>
      </c>
      <c r="R387" s="508">
        <f t="shared" si="98"/>
        <v>0</v>
      </c>
      <c r="S387" s="508">
        <f t="shared" si="89"/>
        <v>0</v>
      </c>
      <c r="T387" s="508">
        <f t="shared" si="99"/>
        <v>0</v>
      </c>
      <c r="U387" s="508"/>
      <c r="V387" s="508">
        <f t="shared" si="100"/>
        <v>0</v>
      </c>
      <c r="W387" s="490">
        <f>IF(B387&gt;$C$100,0,$C$367+SUM($J$370:J387))</f>
        <v>0</v>
      </c>
      <c r="X387" s="513">
        <f t="shared" si="101"/>
        <v>0</v>
      </c>
      <c r="Y387" s="7"/>
      <c r="Z387" s="7"/>
    </row>
    <row r="388" spans="1:26" x14ac:dyDescent="0.5">
      <c r="A388"/>
      <c r="B388" s="489">
        <v>18</v>
      </c>
      <c r="C388" s="511">
        <f t="shared" si="90"/>
        <v>0</v>
      </c>
      <c r="D388" s="508">
        <f t="shared" si="91"/>
        <v>0</v>
      </c>
      <c r="E388" s="511">
        <f t="shared" si="92"/>
        <v>0</v>
      </c>
      <c r="F388" s="508">
        <f t="shared" si="93"/>
        <v>0</v>
      </c>
      <c r="G388" s="491">
        <v>0</v>
      </c>
      <c r="H388" s="508">
        <f t="shared" si="84"/>
        <v>0</v>
      </c>
      <c r="I388" s="491">
        <v>2.564E-2</v>
      </c>
      <c r="J388" s="508">
        <f t="shared" si="94"/>
        <v>0</v>
      </c>
      <c r="K388" s="512">
        <f t="shared" si="85"/>
        <v>0</v>
      </c>
      <c r="L388" s="508">
        <f t="shared" si="86"/>
        <v>0</v>
      </c>
      <c r="M388" s="508">
        <f t="shared" si="87"/>
        <v>0</v>
      </c>
      <c r="N388" s="508">
        <f t="shared" si="88"/>
        <v>0</v>
      </c>
      <c r="O388" s="490">
        <f t="shared" si="95"/>
        <v>0</v>
      </c>
      <c r="P388" s="490">
        <f t="shared" si="96"/>
        <v>0</v>
      </c>
      <c r="Q388" s="490">
        <f t="shared" si="97"/>
        <v>0</v>
      </c>
      <c r="R388" s="508">
        <f t="shared" si="98"/>
        <v>0</v>
      </c>
      <c r="S388" s="508">
        <f t="shared" si="89"/>
        <v>0</v>
      </c>
      <c r="T388" s="508">
        <f t="shared" si="99"/>
        <v>0</v>
      </c>
      <c r="U388" s="508"/>
      <c r="V388" s="508">
        <f t="shared" si="100"/>
        <v>0</v>
      </c>
      <c r="W388" s="490">
        <f>IF(B388&gt;$C$100,0,$C$367+SUM($J$370:J388))</f>
        <v>0</v>
      </c>
      <c r="X388" s="513">
        <f t="shared" si="101"/>
        <v>0</v>
      </c>
      <c r="Y388" s="7"/>
      <c r="Z388" s="7"/>
    </row>
    <row r="389" spans="1:26" x14ac:dyDescent="0.5">
      <c r="A389"/>
      <c r="B389" s="489">
        <v>19</v>
      </c>
      <c r="C389" s="511">
        <f t="shared" si="90"/>
        <v>0</v>
      </c>
      <c r="D389" s="508">
        <f t="shared" si="91"/>
        <v>0</v>
      </c>
      <c r="E389" s="511">
        <f t="shared" si="92"/>
        <v>0</v>
      </c>
      <c r="F389" s="508">
        <f t="shared" si="93"/>
        <v>0</v>
      </c>
      <c r="G389" s="491">
        <v>0</v>
      </c>
      <c r="H389" s="508">
        <f t="shared" si="84"/>
        <v>0</v>
      </c>
      <c r="I389" s="491">
        <v>2.564E-2</v>
      </c>
      <c r="J389" s="508">
        <f t="shared" si="94"/>
        <v>0</v>
      </c>
      <c r="K389" s="512">
        <f t="shared" si="85"/>
        <v>0</v>
      </c>
      <c r="L389" s="508">
        <f t="shared" si="86"/>
        <v>0</v>
      </c>
      <c r="M389" s="508">
        <f t="shared" si="87"/>
        <v>0</v>
      </c>
      <c r="N389" s="508">
        <f t="shared" si="88"/>
        <v>0</v>
      </c>
      <c r="O389" s="490">
        <f t="shared" si="95"/>
        <v>0</v>
      </c>
      <c r="P389" s="490">
        <f t="shared" si="96"/>
        <v>0</v>
      </c>
      <c r="Q389" s="490">
        <f t="shared" si="97"/>
        <v>0</v>
      </c>
      <c r="R389" s="508">
        <f t="shared" si="98"/>
        <v>0</v>
      </c>
      <c r="S389" s="508">
        <f t="shared" si="89"/>
        <v>0</v>
      </c>
      <c r="T389" s="508">
        <f t="shared" si="99"/>
        <v>0</v>
      </c>
      <c r="U389" s="508"/>
      <c r="V389" s="508">
        <f t="shared" si="100"/>
        <v>0</v>
      </c>
      <c r="W389" s="490">
        <f>IF(B389&gt;$C$100,0,$C$367+SUM($J$370:J389))</f>
        <v>0</v>
      </c>
      <c r="X389" s="513">
        <f t="shared" si="101"/>
        <v>0</v>
      </c>
      <c r="Y389" s="7"/>
      <c r="Z389" s="7"/>
    </row>
    <row r="390" spans="1:26" x14ac:dyDescent="0.5">
      <c r="A390"/>
      <c r="B390" s="489">
        <v>20</v>
      </c>
      <c r="C390" s="511">
        <f t="shared" si="90"/>
        <v>0</v>
      </c>
      <c r="D390" s="508">
        <f t="shared" si="91"/>
        <v>0</v>
      </c>
      <c r="E390" s="511">
        <f t="shared" si="92"/>
        <v>0</v>
      </c>
      <c r="F390" s="508">
        <f t="shared" si="93"/>
        <v>0</v>
      </c>
      <c r="G390" s="491">
        <v>0</v>
      </c>
      <c r="H390" s="508">
        <f t="shared" si="84"/>
        <v>0</v>
      </c>
      <c r="I390" s="491">
        <v>2.564E-2</v>
      </c>
      <c r="J390" s="508">
        <f t="shared" si="94"/>
        <v>0</v>
      </c>
      <c r="K390" s="512">
        <f t="shared" si="85"/>
        <v>0</v>
      </c>
      <c r="L390" s="508">
        <f t="shared" si="86"/>
        <v>0</v>
      </c>
      <c r="M390" s="508">
        <f t="shared" si="87"/>
        <v>0</v>
      </c>
      <c r="N390" s="508">
        <f t="shared" si="88"/>
        <v>0</v>
      </c>
      <c r="O390" s="490">
        <f t="shared" si="95"/>
        <v>0</v>
      </c>
      <c r="P390" s="490">
        <f t="shared" si="96"/>
        <v>0</v>
      </c>
      <c r="Q390" s="490">
        <f t="shared" si="97"/>
        <v>0</v>
      </c>
      <c r="R390" s="508">
        <f t="shared" si="98"/>
        <v>0</v>
      </c>
      <c r="S390" s="508">
        <f t="shared" si="89"/>
        <v>0</v>
      </c>
      <c r="T390" s="508">
        <f t="shared" si="99"/>
        <v>0</v>
      </c>
      <c r="U390" s="508"/>
      <c r="V390" s="508">
        <f t="shared" si="100"/>
        <v>0</v>
      </c>
      <c r="W390" s="490">
        <f>IF(B390&gt;$C$100,0,$C$367+SUM($J$370:J390))</f>
        <v>0</v>
      </c>
      <c r="X390" s="513">
        <f t="shared" si="101"/>
        <v>0</v>
      </c>
      <c r="Y390" s="7"/>
      <c r="Z390" s="7"/>
    </row>
    <row r="391" spans="1:26" x14ac:dyDescent="0.5">
      <c r="A391"/>
      <c r="B391" s="489"/>
      <c r="C391" s="491"/>
      <c r="D391" s="514"/>
      <c r="E391" s="491"/>
      <c r="F391" s="514"/>
      <c r="G391" s="491"/>
      <c r="H391" s="514"/>
      <c r="I391" s="491"/>
      <c r="J391" s="514"/>
      <c r="K391" s="514"/>
      <c r="L391" s="514"/>
      <c r="M391" s="514"/>
      <c r="N391" s="491"/>
      <c r="O391" s="491"/>
      <c r="P391" s="491"/>
      <c r="Q391" s="491"/>
      <c r="R391" s="514"/>
      <c r="S391" s="514"/>
      <c r="T391" s="491"/>
      <c r="U391" s="491"/>
      <c r="V391" s="491"/>
      <c r="W391" s="500" t="s">
        <v>297</v>
      </c>
      <c r="X391" s="515">
        <f>NPV($C$21,X371:X390)+X370</f>
        <v>0</v>
      </c>
      <c r="Y391" s="7"/>
      <c r="Z391" s="7"/>
    </row>
    <row r="392" spans="1:26" x14ac:dyDescent="0.5">
      <c r="A392"/>
      <c r="B392" s="501"/>
      <c r="C392" s="503"/>
      <c r="D392" s="519"/>
      <c r="E392" s="503"/>
      <c r="F392" s="519"/>
      <c r="G392" s="503"/>
      <c r="H392" s="519"/>
      <c r="I392" s="503"/>
      <c r="J392" s="519"/>
      <c r="K392" s="519"/>
      <c r="L392" s="519"/>
      <c r="M392" s="519"/>
      <c r="N392" s="503"/>
      <c r="O392" s="503"/>
      <c r="P392" s="503"/>
      <c r="Q392" s="503"/>
      <c r="R392" s="519"/>
      <c r="S392" s="519"/>
      <c r="T392" s="503"/>
      <c r="U392" s="503"/>
      <c r="V392" s="503"/>
      <c r="W392" s="520" t="s">
        <v>269</v>
      </c>
      <c r="X392" s="521">
        <f>IRR(X370:X390,0.1)</f>
        <v>0.1399999999999999</v>
      </c>
      <c r="Y392" s="7"/>
      <c r="Z392" s="7"/>
    </row>
    <row r="393" spans="1:26" x14ac:dyDescent="0.5">
      <c r="A393"/>
      <c r="B393" s="22"/>
      <c r="C393" s="22"/>
      <c r="D393" s="22"/>
      <c r="E393" s="22"/>
      <c r="F393" s="22"/>
      <c r="G393" s="22"/>
      <c r="H393" s="22"/>
      <c r="I393" s="22"/>
      <c r="J393" s="22"/>
      <c r="K393" s="22"/>
      <c r="L393" s="22"/>
      <c r="M393" s="22"/>
      <c r="N393" s="22"/>
      <c r="O393" s="22"/>
      <c r="P393" s="22"/>
      <c r="Q393" s="22"/>
      <c r="R393" s="22"/>
      <c r="U393" s="7"/>
      <c r="V393" s="7"/>
      <c r="W393" s="7"/>
      <c r="X393" s="7"/>
      <c r="Y393" s="7"/>
      <c r="Z393" s="7"/>
    </row>
    <row r="394" spans="1:26" x14ac:dyDescent="0.5">
      <c r="A394"/>
      <c r="B394" s="50"/>
      <c r="C394" s="7"/>
      <c r="D394" s="7"/>
      <c r="E394" s="7"/>
      <c r="F394" s="7"/>
      <c r="G394" s="7"/>
      <c r="H394" s="7"/>
      <c r="I394" s="7"/>
      <c r="J394" s="22"/>
      <c r="K394" s="22"/>
      <c r="L394" s="22"/>
      <c r="M394" s="22"/>
      <c r="N394" s="22"/>
      <c r="O394" s="22"/>
      <c r="P394" s="22"/>
      <c r="Q394" s="22"/>
      <c r="R394" s="22"/>
      <c r="U394" s="7"/>
      <c r="V394" s="7"/>
      <c r="W394" s="7"/>
      <c r="X394" s="7"/>
      <c r="Y394" s="7"/>
      <c r="Z394" s="7"/>
    </row>
    <row r="395" spans="1:26" x14ac:dyDescent="0.5">
      <c r="A395"/>
      <c r="B395" s="7"/>
      <c r="C395" s="7"/>
      <c r="D395" s="7"/>
      <c r="E395" s="7"/>
      <c r="F395" s="7"/>
      <c r="G395" s="7"/>
      <c r="H395" s="7"/>
      <c r="I395" s="7"/>
      <c r="J395" s="22"/>
      <c r="K395" s="22"/>
      <c r="L395" s="22"/>
      <c r="M395" s="22"/>
      <c r="N395" s="22"/>
      <c r="O395" s="22"/>
      <c r="P395" s="22"/>
      <c r="Q395" s="22"/>
      <c r="R395" s="22"/>
      <c r="U395" s="7"/>
      <c r="V395" s="7"/>
      <c r="W395" s="7"/>
      <c r="X395" s="7"/>
      <c r="Y395" s="7"/>
      <c r="Z395" s="7"/>
    </row>
    <row r="396" spans="1:26" x14ac:dyDescent="0.5">
      <c r="A396"/>
      <c r="B396" s="7"/>
      <c r="C396" s="257"/>
      <c r="D396" s="7"/>
      <c r="E396" s="7"/>
      <c r="F396" s="7"/>
      <c r="G396" s="7"/>
      <c r="H396" s="7"/>
      <c r="I396" s="7"/>
      <c r="L396" s="22"/>
      <c r="M396" s="22"/>
      <c r="N396" s="22"/>
      <c r="O396" s="22"/>
      <c r="P396" s="22"/>
      <c r="Q396" s="22"/>
      <c r="R396" s="22"/>
      <c r="Z396" s="22"/>
    </row>
    <row r="397" spans="1:26" x14ac:dyDescent="0.5">
      <c r="A397"/>
      <c r="B397" s="7"/>
      <c r="C397" s="257"/>
      <c r="D397" s="7"/>
      <c r="E397" s="7"/>
      <c r="F397" s="7"/>
      <c r="G397" s="7"/>
      <c r="H397" s="7"/>
      <c r="I397" s="7"/>
      <c r="L397" s="22"/>
      <c r="P397" s="22"/>
      <c r="Q397" s="22"/>
      <c r="R397" s="22"/>
      <c r="Z397" s="22"/>
    </row>
    <row r="398" spans="1:26" x14ac:dyDescent="0.5">
      <c r="A398"/>
      <c r="B398" s="7"/>
      <c r="C398" s="257"/>
      <c r="D398" s="7"/>
      <c r="E398" s="7"/>
      <c r="F398" s="7"/>
      <c r="G398" s="7"/>
      <c r="H398" s="7"/>
      <c r="I398" s="7"/>
      <c r="L398" s="22"/>
      <c r="N398" s="48"/>
      <c r="P398" s="22"/>
      <c r="Q398" s="22"/>
      <c r="R398" s="22"/>
      <c r="Z398" s="22"/>
    </row>
    <row r="399" spans="1:26" x14ac:dyDescent="0.5">
      <c r="A399"/>
      <c r="B399" s="7"/>
      <c r="C399" s="257"/>
      <c r="D399" s="7"/>
      <c r="E399" s="7"/>
      <c r="F399" s="7"/>
      <c r="G399" s="7"/>
      <c r="H399" s="7"/>
      <c r="I399" s="7"/>
      <c r="L399" s="22"/>
      <c r="N399" s="48"/>
      <c r="P399" s="22"/>
      <c r="Q399" s="22"/>
      <c r="R399" s="22"/>
      <c r="Z399" s="22"/>
    </row>
    <row r="400" spans="1:26" x14ac:dyDescent="0.5">
      <c r="A400"/>
      <c r="B400" s="7"/>
      <c r="C400" s="257"/>
      <c r="D400" s="329"/>
      <c r="E400" s="7"/>
      <c r="F400" s="7"/>
      <c r="G400" s="7"/>
      <c r="H400" s="7"/>
      <c r="I400" s="7"/>
      <c r="L400" s="22"/>
      <c r="N400" s="48"/>
      <c r="P400" s="22"/>
      <c r="Q400" s="22"/>
      <c r="R400" s="22"/>
      <c r="Z400" s="22"/>
    </row>
    <row r="401" spans="1:26" x14ac:dyDescent="0.5">
      <c r="A401"/>
      <c r="B401" s="7"/>
      <c r="C401" s="28"/>
      <c r="D401" s="329"/>
      <c r="E401" s="7"/>
      <c r="F401" s="7"/>
      <c r="G401" s="7"/>
      <c r="H401" s="7"/>
      <c r="I401" s="7"/>
      <c r="L401" s="22"/>
      <c r="N401" s="45"/>
      <c r="P401" s="22"/>
      <c r="Q401" s="22"/>
      <c r="R401" s="22"/>
      <c r="Z401" s="22"/>
    </row>
    <row r="402" spans="1:26" x14ac:dyDescent="0.5">
      <c r="A402"/>
      <c r="B402" s="7"/>
      <c r="C402" s="28"/>
      <c r="D402" s="329"/>
      <c r="E402" s="7"/>
      <c r="F402" s="7"/>
      <c r="G402" s="7"/>
      <c r="H402" s="7"/>
      <c r="I402" s="7"/>
      <c r="L402" s="22"/>
      <c r="N402" s="45"/>
      <c r="P402" s="22"/>
      <c r="Q402" s="22"/>
      <c r="R402" s="22"/>
      <c r="Z402" s="22"/>
    </row>
    <row r="403" spans="1:26" x14ac:dyDescent="0.5">
      <c r="A403"/>
      <c r="B403" s="7"/>
      <c r="C403" s="28"/>
      <c r="D403" s="329"/>
      <c r="E403" s="7"/>
      <c r="F403" s="28"/>
      <c r="G403" s="7"/>
      <c r="H403" s="7"/>
      <c r="I403" s="7"/>
      <c r="L403" s="22"/>
      <c r="N403" s="48"/>
      <c r="P403" s="22"/>
      <c r="Q403" s="22"/>
      <c r="R403" s="22"/>
      <c r="Z403" s="22"/>
    </row>
    <row r="404" spans="1:26" x14ac:dyDescent="0.5">
      <c r="A404"/>
      <c r="B404" s="7"/>
      <c r="C404" s="28"/>
      <c r="D404" s="329"/>
      <c r="E404" s="7"/>
      <c r="F404" s="28"/>
      <c r="G404" s="7"/>
      <c r="H404" s="7"/>
      <c r="I404" s="7"/>
      <c r="J404" s="22"/>
      <c r="K404" s="22"/>
      <c r="L404" s="22"/>
      <c r="M404" s="22"/>
      <c r="N404" s="22"/>
      <c r="O404" s="22"/>
      <c r="P404" s="22"/>
      <c r="Q404" s="22"/>
      <c r="R404" s="22"/>
      <c r="Z404" s="22"/>
    </row>
    <row r="405" spans="1:26" x14ac:dyDescent="0.5">
      <c r="A405"/>
      <c r="B405" s="7"/>
      <c r="C405" s="28"/>
      <c r="D405" s="329"/>
      <c r="E405" s="7"/>
      <c r="F405" s="7"/>
      <c r="G405" s="7"/>
      <c r="H405" s="7"/>
      <c r="I405" s="7"/>
      <c r="J405" s="22"/>
      <c r="K405" s="22"/>
      <c r="L405" s="22"/>
      <c r="M405" s="22"/>
      <c r="N405" s="22"/>
      <c r="O405" s="22"/>
      <c r="P405" s="22"/>
      <c r="Q405" s="22"/>
      <c r="R405" s="22"/>
      <c r="Z405" s="22"/>
    </row>
    <row r="406" spans="1:26" x14ac:dyDescent="0.5">
      <c r="A406"/>
      <c r="B406" s="7"/>
      <c r="C406" s="28"/>
      <c r="D406" s="329"/>
      <c r="E406" s="7"/>
      <c r="F406" s="7"/>
      <c r="G406" s="7"/>
      <c r="H406" s="7"/>
      <c r="I406" s="7"/>
      <c r="J406" s="22"/>
      <c r="K406" s="22"/>
      <c r="L406" s="22"/>
      <c r="M406" s="22"/>
      <c r="N406" s="22"/>
      <c r="O406" s="22"/>
      <c r="P406" s="22"/>
      <c r="Q406" s="22"/>
      <c r="R406" s="22"/>
      <c r="Z406" s="22"/>
    </row>
    <row r="407" spans="1:26" x14ac:dyDescent="0.5">
      <c r="A407"/>
      <c r="B407" s="7"/>
      <c r="C407" s="28"/>
      <c r="D407" s="329"/>
      <c r="E407" s="7"/>
      <c r="F407" s="7"/>
      <c r="G407" s="7"/>
      <c r="H407" s="7"/>
      <c r="I407" s="7"/>
      <c r="J407" s="22"/>
      <c r="K407" s="22"/>
      <c r="L407" s="22"/>
      <c r="M407" s="22"/>
      <c r="N407" s="22"/>
      <c r="O407" s="22"/>
      <c r="P407" s="22"/>
      <c r="Q407" s="22"/>
      <c r="R407" s="22"/>
      <c r="Z407" s="22"/>
    </row>
    <row r="408" spans="1:26" x14ac:dyDescent="0.5">
      <c r="A408"/>
      <c r="B408" s="7"/>
      <c r="C408" s="28"/>
      <c r="D408" s="329"/>
      <c r="E408" s="7"/>
      <c r="F408" s="7"/>
      <c r="G408" s="7"/>
      <c r="H408" s="7"/>
      <c r="I408" s="7"/>
      <c r="J408" s="22"/>
      <c r="K408" s="22"/>
      <c r="L408" s="22"/>
      <c r="M408" s="22"/>
      <c r="N408" s="22"/>
      <c r="O408" s="22"/>
      <c r="P408" s="22"/>
      <c r="Q408" s="22"/>
      <c r="R408" s="22"/>
      <c r="Z408" s="22"/>
    </row>
    <row r="409" spans="1:26" x14ac:dyDescent="0.5">
      <c r="A409"/>
      <c r="B409" s="7"/>
      <c r="C409" s="28"/>
      <c r="D409" s="329"/>
      <c r="E409" s="7"/>
      <c r="F409" s="7"/>
      <c r="G409" s="7"/>
      <c r="H409" s="7"/>
      <c r="I409" s="7"/>
      <c r="J409" s="22"/>
      <c r="K409" s="22"/>
      <c r="L409" s="22"/>
      <c r="M409" s="22"/>
      <c r="N409" s="22"/>
      <c r="O409" s="22"/>
      <c r="P409" s="22"/>
      <c r="Q409" s="22"/>
      <c r="R409" s="22"/>
      <c r="Z409" s="22"/>
    </row>
    <row r="410" spans="1:26" x14ac:dyDescent="0.5">
      <c r="A410"/>
      <c r="B410" s="7"/>
      <c r="C410" s="28"/>
      <c r="D410" s="329"/>
      <c r="E410" s="7"/>
      <c r="F410" s="7"/>
      <c r="G410" s="7"/>
      <c r="H410" s="28"/>
      <c r="I410" s="7"/>
      <c r="J410" s="22"/>
      <c r="K410" s="22"/>
      <c r="L410" s="22"/>
      <c r="M410" s="22"/>
      <c r="N410" s="22"/>
      <c r="O410" s="22"/>
      <c r="P410" s="22"/>
      <c r="Q410" s="22"/>
      <c r="R410" s="22"/>
      <c r="Z410" s="22"/>
    </row>
    <row r="411" spans="1:26" x14ac:dyDescent="0.5">
      <c r="A411"/>
      <c r="B411" s="7"/>
      <c r="C411" s="28"/>
      <c r="D411" s="329"/>
      <c r="E411" s="7"/>
      <c r="F411" s="7"/>
      <c r="G411" s="7"/>
      <c r="H411" s="7"/>
      <c r="I411" s="7"/>
      <c r="J411" s="22"/>
      <c r="K411" s="22"/>
      <c r="L411" s="22"/>
      <c r="M411" s="22"/>
      <c r="N411" s="22"/>
      <c r="O411" s="22"/>
      <c r="P411" s="22"/>
      <c r="Q411" s="22"/>
      <c r="R411" s="22"/>
      <c r="Z411" s="22"/>
    </row>
    <row r="412" spans="1:26" x14ac:dyDescent="0.5">
      <c r="A412"/>
      <c r="B412" s="7"/>
      <c r="C412" s="28"/>
      <c r="D412" s="329"/>
      <c r="E412" s="7"/>
      <c r="F412" s="7"/>
      <c r="G412" s="7"/>
      <c r="H412" s="7"/>
      <c r="I412" s="7"/>
      <c r="J412" s="22"/>
      <c r="K412" s="22"/>
      <c r="L412" s="22"/>
      <c r="M412" s="22"/>
      <c r="N412" s="22"/>
      <c r="O412" s="22"/>
      <c r="P412" s="22"/>
      <c r="Q412" s="22"/>
      <c r="R412" s="22"/>
      <c r="Z412" s="22"/>
    </row>
    <row r="413" spans="1:26" x14ac:dyDescent="0.5">
      <c r="A413"/>
      <c r="B413" s="7"/>
      <c r="C413" s="28"/>
      <c r="D413" s="329"/>
      <c r="E413" s="7"/>
      <c r="F413" s="7"/>
      <c r="G413" s="7"/>
      <c r="H413" s="7"/>
      <c r="I413" s="7"/>
      <c r="J413" s="22"/>
      <c r="K413" s="22"/>
      <c r="L413" s="22"/>
      <c r="M413" s="22"/>
      <c r="N413" s="22"/>
      <c r="O413" s="22"/>
      <c r="P413" s="22"/>
      <c r="Q413" s="22"/>
      <c r="R413" s="22"/>
      <c r="Z413" s="22"/>
    </row>
    <row r="414" spans="1:26" x14ac:dyDescent="0.5">
      <c r="A414"/>
      <c r="B414" s="7"/>
      <c r="C414" s="28"/>
      <c r="D414" s="329"/>
      <c r="E414" s="7"/>
      <c r="F414" s="7"/>
      <c r="G414" s="7"/>
      <c r="H414" s="7"/>
      <c r="I414" s="7"/>
      <c r="J414" s="22"/>
      <c r="K414" s="22"/>
      <c r="L414" s="22"/>
      <c r="M414" s="22"/>
      <c r="N414" s="22"/>
      <c r="O414" s="22"/>
      <c r="P414" s="22"/>
      <c r="Q414" s="22"/>
      <c r="R414" s="22"/>
      <c r="Z414" s="22"/>
    </row>
    <row r="415" spans="1:26" x14ac:dyDescent="0.5">
      <c r="A415"/>
      <c r="B415" s="7"/>
      <c r="C415" s="28"/>
      <c r="D415" s="329"/>
      <c r="E415" s="7"/>
      <c r="F415" s="7"/>
      <c r="G415" s="7"/>
      <c r="H415" s="7"/>
      <c r="I415" s="7"/>
      <c r="J415" s="22"/>
      <c r="K415" s="22"/>
      <c r="L415" s="22"/>
      <c r="M415" s="22"/>
      <c r="N415" s="22"/>
      <c r="O415" s="22"/>
      <c r="P415" s="22"/>
      <c r="Q415" s="22"/>
      <c r="R415" s="22"/>
      <c r="Z415" s="22"/>
    </row>
    <row r="416" spans="1:26" x14ac:dyDescent="0.5">
      <c r="A416"/>
      <c r="B416" s="7"/>
      <c r="C416" s="28"/>
      <c r="D416" s="329"/>
      <c r="E416" s="7"/>
      <c r="F416" s="7"/>
      <c r="G416" s="7"/>
      <c r="H416" s="7"/>
      <c r="I416" s="7"/>
      <c r="J416" s="22"/>
      <c r="K416" s="22"/>
      <c r="L416" s="22"/>
      <c r="M416" s="22"/>
      <c r="N416" s="22"/>
      <c r="O416" s="22"/>
      <c r="P416" s="22"/>
      <c r="Q416" s="22"/>
      <c r="R416" s="22"/>
      <c r="Z416" s="22"/>
    </row>
    <row r="417" spans="1:26" x14ac:dyDescent="0.5">
      <c r="A417"/>
      <c r="B417" s="7"/>
      <c r="C417" s="28"/>
      <c r="D417" s="329"/>
      <c r="E417" s="7"/>
      <c r="F417" s="7"/>
      <c r="G417" s="7"/>
      <c r="H417" s="7"/>
      <c r="I417" s="7"/>
      <c r="J417" s="22"/>
      <c r="K417" s="22"/>
      <c r="L417" s="22"/>
      <c r="M417" s="22"/>
      <c r="N417" s="22"/>
      <c r="O417" s="22"/>
      <c r="P417" s="22"/>
      <c r="Q417" s="22"/>
      <c r="R417" s="22"/>
      <c r="Z417" s="22"/>
    </row>
    <row r="418" spans="1:26" x14ac:dyDescent="0.5">
      <c r="A418"/>
      <c r="B418" s="7"/>
      <c r="C418" s="28"/>
      <c r="D418" s="329"/>
      <c r="E418" s="7"/>
      <c r="F418" s="7"/>
      <c r="G418" s="7"/>
      <c r="H418" s="7"/>
      <c r="I418" s="7"/>
      <c r="J418" s="22"/>
      <c r="K418" s="22"/>
      <c r="L418" s="22"/>
      <c r="N418" s="22"/>
      <c r="O418" s="22"/>
      <c r="P418" s="22"/>
      <c r="Q418" s="22"/>
      <c r="R418" s="22"/>
      <c r="Z418" s="22"/>
    </row>
    <row r="419" spans="1:26" x14ac:dyDescent="0.5">
      <c r="A419"/>
      <c r="B419" s="7"/>
      <c r="C419" s="28"/>
      <c r="D419" s="329"/>
      <c r="E419" s="7"/>
      <c r="F419" s="7"/>
      <c r="G419" s="7"/>
      <c r="H419" s="7"/>
      <c r="I419" s="7"/>
      <c r="J419" s="22"/>
      <c r="K419" s="22"/>
      <c r="L419" s="22"/>
      <c r="M419" s="22"/>
      <c r="N419" s="22"/>
      <c r="O419" s="22"/>
      <c r="P419" s="22"/>
      <c r="Q419" s="22"/>
      <c r="R419" s="22"/>
      <c r="Z419" s="22"/>
    </row>
    <row r="420" spans="1:26" x14ac:dyDescent="0.5">
      <c r="A420"/>
      <c r="B420" s="50"/>
      <c r="C420" s="7"/>
      <c r="D420" s="50"/>
      <c r="E420" s="7"/>
      <c r="F420" s="7"/>
      <c r="G420" s="50"/>
      <c r="H420" s="7"/>
      <c r="I420" s="7"/>
      <c r="J420" s="22"/>
      <c r="K420" s="22"/>
      <c r="L420" s="22"/>
      <c r="M420" s="22"/>
      <c r="N420" s="22"/>
      <c r="O420" s="22"/>
      <c r="P420" s="22"/>
      <c r="Q420" s="22"/>
      <c r="R420" s="22"/>
      <c r="Z420" s="22"/>
    </row>
    <row r="421" spans="1:26" x14ac:dyDescent="0.5">
      <c r="A421"/>
      <c r="B421" s="7"/>
      <c r="C421" s="7"/>
      <c r="D421" s="522"/>
      <c r="E421" s="522"/>
      <c r="F421" s="522"/>
      <c r="G421" s="522"/>
      <c r="H421" s="522"/>
      <c r="I421" s="522"/>
      <c r="J421" s="22"/>
      <c r="K421" s="22"/>
      <c r="L421" s="22"/>
      <c r="M421" s="22"/>
      <c r="N421" s="22"/>
      <c r="O421" s="22"/>
      <c r="P421" s="22"/>
      <c r="Q421" s="22"/>
      <c r="R421" s="22"/>
      <c r="Z421" s="22"/>
    </row>
    <row r="422" spans="1:26" x14ac:dyDescent="0.5">
      <c r="A422"/>
      <c r="B422" s="7"/>
      <c r="C422" s="7"/>
      <c r="D422" s="257"/>
      <c r="E422" s="257"/>
      <c r="F422" s="257"/>
      <c r="G422" s="257"/>
      <c r="H422" s="257"/>
      <c r="I422" s="257"/>
      <c r="J422" s="22"/>
      <c r="K422" s="22"/>
      <c r="L422" s="22"/>
      <c r="M422" s="22"/>
      <c r="N422" s="22"/>
      <c r="O422" s="22"/>
      <c r="P422" s="22"/>
      <c r="Q422" s="22"/>
      <c r="R422" s="22"/>
      <c r="Z422" s="22"/>
    </row>
    <row r="423" spans="1:26" x14ac:dyDescent="0.5">
      <c r="A423" s="2"/>
      <c r="B423" s="523"/>
      <c r="C423" s="7"/>
      <c r="D423" s="257"/>
      <c r="E423" s="257"/>
      <c r="F423" s="257"/>
      <c r="G423" s="257"/>
      <c r="H423" s="257"/>
      <c r="I423" s="257"/>
      <c r="J423" s="22"/>
      <c r="K423" s="22"/>
      <c r="L423" s="22"/>
      <c r="M423" s="22"/>
      <c r="N423" s="22"/>
      <c r="O423" s="22"/>
      <c r="P423" s="22"/>
      <c r="Q423" s="22"/>
      <c r="R423" s="22"/>
      <c r="Z423" s="22"/>
    </row>
    <row r="424" spans="1:26" x14ac:dyDescent="0.5">
      <c r="A424"/>
      <c r="B424" s="523"/>
      <c r="C424" s="7"/>
      <c r="D424" s="257"/>
      <c r="E424" s="257"/>
      <c r="F424" s="257"/>
      <c r="G424" s="257"/>
      <c r="H424" s="257"/>
      <c r="I424" s="257"/>
      <c r="J424" s="22"/>
      <c r="K424" s="22"/>
      <c r="L424" s="22"/>
      <c r="M424" s="22"/>
      <c r="N424" s="22"/>
      <c r="O424" s="22"/>
      <c r="P424" s="22"/>
      <c r="Q424" s="22"/>
      <c r="R424" s="22"/>
      <c r="Z424" s="22"/>
    </row>
    <row r="425" spans="1:26" x14ac:dyDescent="0.5">
      <c r="A425"/>
      <c r="B425" s="523"/>
      <c r="C425" s="7"/>
      <c r="D425" s="257"/>
      <c r="E425" s="257"/>
      <c r="F425" s="257"/>
      <c r="G425" s="257"/>
      <c r="H425" s="257"/>
      <c r="I425" s="257"/>
      <c r="J425" s="22"/>
      <c r="K425" s="22"/>
      <c r="L425" s="22"/>
      <c r="M425" s="22"/>
      <c r="N425" s="22"/>
      <c r="O425" s="22"/>
      <c r="P425" s="22"/>
      <c r="Q425" s="22"/>
      <c r="R425" s="22"/>
      <c r="Z425" s="22"/>
    </row>
    <row r="426" spans="1:26" x14ac:dyDescent="0.5">
      <c r="A426"/>
      <c r="B426" s="523"/>
      <c r="C426" s="7"/>
      <c r="D426" s="257"/>
      <c r="E426" s="257"/>
      <c r="F426" s="257"/>
      <c r="G426" s="257"/>
      <c r="H426" s="257"/>
      <c r="I426" s="257"/>
      <c r="J426" s="22"/>
      <c r="K426" s="22"/>
      <c r="L426" s="22"/>
      <c r="M426" s="22"/>
      <c r="N426" s="22"/>
      <c r="O426" s="22"/>
      <c r="P426" s="22"/>
      <c r="Q426" s="22"/>
      <c r="R426" s="22"/>
    </row>
    <row r="427" spans="1:26" x14ac:dyDescent="0.5">
      <c r="A427"/>
      <c r="B427" s="523"/>
      <c r="C427" s="7"/>
      <c r="D427" s="257"/>
      <c r="E427" s="257"/>
      <c r="F427" s="257"/>
      <c r="G427" s="257"/>
      <c r="H427" s="257"/>
      <c r="I427" s="7"/>
      <c r="J427" s="22"/>
      <c r="K427" s="22"/>
      <c r="L427" s="22"/>
      <c r="M427" s="22"/>
      <c r="N427" s="22"/>
      <c r="O427" s="22"/>
      <c r="P427" s="22"/>
      <c r="Q427" s="22"/>
      <c r="R427" s="22"/>
    </row>
    <row r="428" spans="1:26" x14ac:dyDescent="0.5">
      <c r="A428"/>
      <c r="B428" s="7"/>
      <c r="C428" s="7"/>
      <c r="D428" s="257"/>
      <c r="E428" s="257"/>
      <c r="F428" s="257"/>
      <c r="G428" s="257"/>
      <c r="H428" s="7"/>
      <c r="I428" s="7"/>
      <c r="J428" s="22"/>
      <c r="K428" s="22"/>
      <c r="L428" s="22"/>
      <c r="M428" s="22"/>
      <c r="N428" s="22"/>
      <c r="O428" s="22"/>
      <c r="P428" s="22"/>
      <c r="Q428" s="22"/>
      <c r="R428" s="22"/>
    </row>
    <row r="429" spans="1:26" x14ac:dyDescent="0.5">
      <c r="A429"/>
      <c r="B429" s="7"/>
      <c r="C429" s="7"/>
      <c r="D429" s="257"/>
      <c r="E429" s="257"/>
      <c r="F429" s="257"/>
      <c r="G429" s="257"/>
      <c r="H429" s="7"/>
      <c r="I429" s="7"/>
      <c r="J429" s="22"/>
      <c r="K429" s="22"/>
      <c r="L429" s="22"/>
      <c r="M429" s="22"/>
      <c r="N429" s="22"/>
      <c r="O429" s="22"/>
      <c r="P429" s="22"/>
      <c r="Q429" s="22"/>
      <c r="R429" s="22"/>
    </row>
    <row r="430" spans="1:26" x14ac:dyDescent="0.5">
      <c r="A430"/>
      <c r="B430" s="7"/>
      <c r="C430" s="7"/>
      <c r="D430" s="257"/>
      <c r="E430" s="257"/>
      <c r="F430" s="257"/>
      <c r="G430" s="257"/>
      <c r="H430" s="7"/>
      <c r="I430" s="7"/>
      <c r="J430" s="22"/>
      <c r="K430" s="22"/>
      <c r="L430" s="22"/>
      <c r="M430" s="22"/>
      <c r="N430" s="22"/>
      <c r="O430" s="22"/>
      <c r="P430" s="22"/>
      <c r="Q430" s="22"/>
      <c r="R430" s="22"/>
    </row>
    <row r="431" spans="1:26" x14ac:dyDescent="0.5">
      <c r="A431"/>
      <c r="B431" s="7"/>
      <c r="C431" s="7"/>
      <c r="D431" s="257"/>
      <c r="E431" s="7"/>
      <c r="F431" s="7"/>
      <c r="G431" s="257"/>
      <c r="H431" s="7"/>
      <c r="I431" s="7"/>
      <c r="J431" s="22"/>
      <c r="K431" s="22"/>
      <c r="L431" s="22"/>
      <c r="M431" s="22"/>
      <c r="N431" s="22"/>
      <c r="O431" s="22"/>
      <c r="P431" s="22"/>
      <c r="Q431" s="22"/>
      <c r="R431" s="22"/>
    </row>
    <row r="432" spans="1:26" x14ac:dyDescent="0.5">
      <c r="A432"/>
      <c r="B432" s="7"/>
      <c r="C432" s="7"/>
      <c r="D432" s="7"/>
      <c r="E432" s="7"/>
      <c r="F432" s="7"/>
      <c r="G432" s="7"/>
      <c r="H432" s="7"/>
      <c r="I432" s="7"/>
      <c r="J432" s="22"/>
      <c r="K432" s="22"/>
      <c r="L432" s="22"/>
      <c r="M432" s="22"/>
      <c r="N432" s="22"/>
      <c r="O432" s="22"/>
      <c r="P432" s="22"/>
      <c r="Q432" s="22"/>
      <c r="R432" s="22"/>
    </row>
    <row r="433" spans="1:18" x14ac:dyDescent="0.5">
      <c r="A433"/>
      <c r="B433" s="7"/>
      <c r="C433" s="7"/>
      <c r="D433" s="329"/>
      <c r="E433" s="329"/>
      <c r="F433" s="329"/>
      <c r="G433" s="329"/>
      <c r="H433" s="329"/>
      <c r="I433" s="329"/>
      <c r="J433" s="22"/>
      <c r="K433" s="22"/>
      <c r="L433" s="22"/>
      <c r="M433" s="22"/>
      <c r="N433" s="22"/>
      <c r="O433" s="22"/>
      <c r="P433" s="22"/>
      <c r="Q433" s="22"/>
      <c r="R433" s="22"/>
    </row>
    <row r="434" spans="1:18" x14ac:dyDescent="0.5">
      <c r="A434"/>
      <c r="B434" s="524"/>
      <c r="C434" s="7"/>
      <c r="D434" s="329"/>
      <c r="E434" s="329"/>
      <c r="F434" s="329"/>
      <c r="G434" s="329"/>
      <c r="H434" s="329"/>
      <c r="I434" s="329"/>
      <c r="J434" s="22"/>
      <c r="K434" s="22"/>
      <c r="L434" s="22"/>
      <c r="M434" s="22"/>
      <c r="N434" s="22"/>
      <c r="O434" s="22"/>
      <c r="P434" s="22"/>
      <c r="Q434" s="22"/>
      <c r="R434" s="22"/>
    </row>
    <row r="435" spans="1:18" x14ac:dyDescent="0.5">
      <c r="A435"/>
      <c r="B435" s="524"/>
      <c r="C435" s="7"/>
      <c r="D435" s="329"/>
      <c r="E435" s="329"/>
      <c r="F435" s="329"/>
      <c r="G435" s="329"/>
      <c r="H435" s="329"/>
      <c r="I435" s="329"/>
      <c r="J435" s="22"/>
      <c r="K435" s="22"/>
      <c r="L435" s="22"/>
      <c r="M435" s="22"/>
      <c r="N435" s="22"/>
      <c r="O435" s="22"/>
      <c r="P435" s="22"/>
      <c r="Q435" s="22"/>
      <c r="R435" s="22"/>
    </row>
    <row r="436" spans="1:18" x14ac:dyDescent="0.5">
      <c r="A436"/>
      <c r="B436" s="524"/>
      <c r="C436" s="7"/>
      <c r="D436" s="329"/>
      <c r="E436" s="329"/>
      <c r="F436" s="329"/>
      <c r="G436" s="329"/>
      <c r="H436" s="329"/>
      <c r="I436" s="329"/>
      <c r="J436" s="22"/>
      <c r="K436" s="22"/>
      <c r="L436" s="22"/>
      <c r="M436" s="22"/>
      <c r="N436" s="22"/>
      <c r="O436" s="22"/>
      <c r="P436" s="22"/>
      <c r="Q436" s="22"/>
      <c r="R436" s="22"/>
    </row>
    <row r="437" spans="1:18" x14ac:dyDescent="0.5">
      <c r="A437"/>
      <c r="B437" s="524"/>
      <c r="C437" s="7"/>
      <c r="D437" s="329"/>
      <c r="E437" s="329"/>
      <c r="F437" s="329"/>
      <c r="G437" s="329"/>
      <c r="H437" s="329"/>
      <c r="I437" s="329"/>
      <c r="J437" s="22"/>
      <c r="K437" s="22"/>
      <c r="L437" s="22"/>
      <c r="M437" s="22"/>
      <c r="N437" s="22"/>
      <c r="O437" s="22"/>
      <c r="P437" s="22"/>
      <c r="Q437" s="22"/>
      <c r="R437" s="22"/>
    </row>
    <row r="438" spans="1:18" x14ac:dyDescent="0.5">
      <c r="A438"/>
      <c r="B438" s="524"/>
      <c r="C438" s="7"/>
      <c r="D438" s="329"/>
      <c r="E438" s="329"/>
      <c r="F438" s="329"/>
      <c r="G438" s="329"/>
      <c r="H438" s="329"/>
      <c r="I438" s="329"/>
      <c r="J438" s="22"/>
      <c r="K438" s="22"/>
      <c r="L438" s="22"/>
      <c r="M438" s="22"/>
      <c r="N438" s="22"/>
      <c r="O438" s="22"/>
      <c r="P438" s="22"/>
      <c r="Q438" s="22"/>
      <c r="R438" s="22"/>
    </row>
    <row r="439" spans="1:18" x14ac:dyDescent="0.5">
      <c r="A439"/>
      <c r="B439" s="7"/>
      <c r="C439" s="7"/>
      <c r="D439" s="329"/>
      <c r="E439" s="7"/>
      <c r="F439" s="329"/>
      <c r="G439" s="329"/>
      <c r="H439" s="7"/>
      <c r="I439" s="329"/>
      <c r="J439" s="22"/>
      <c r="K439" s="22"/>
      <c r="L439" s="22"/>
      <c r="M439" s="22"/>
      <c r="N439" s="22"/>
      <c r="O439" s="22"/>
      <c r="P439" s="22"/>
      <c r="Q439" s="22"/>
      <c r="R439" s="22"/>
    </row>
    <row r="440" spans="1:18" x14ac:dyDescent="0.5">
      <c r="A440"/>
      <c r="B440" s="7"/>
      <c r="C440" s="7"/>
      <c r="D440" s="329"/>
      <c r="E440" s="7"/>
      <c r="F440" s="7"/>
      <c r="G440" s="329"/>
      <c r="H440" s="7"/>
      <c r="I440" s="7"/>
      <c r="J440" s="22"/>
      <c r="K440" s="22"/>
      <c r="L440" s="22"/>
      <c r="M440" s="22"/>
      <c r="N440" s="22"/>
      <c r="O440" s="22"/>
      <c r="P440" s="22"/>
      <c r="Q440" s="22"/>
      <c r="R440" s="22"/>
    </row>
    <row r="441" spans="1:18" x14ac:dyDescent="0.5">
      <c r="A441"/>
      <c r="B441" s="7"/>
      <c r="C441" s="7"/>
      <c r="D441" s="329"/>
      <c r="E441" s="7"/>
      <c r="F441" s="7"/>
      <c r="G441" s="329"/>
      <c r="H441" s="7"/>
      <c r="I441" s="7"/>
      <c r="J441" s="22"/>
      <c r="K441" s="22"/>
      <c r="L441" s="22"/>
      <c r="M441" s="22"/>
      <c r="N441" s="22"/>
      <c r="O441" s="22"/>
      <c r="P441" s="22"/>
      <c r="Q441" s="22"/>
      <c r="R441" s="22"/>
    </row>
    <row r="442" spans="1:18" x14ac:dyDescent="0.5">
      <c r="A442"/>
      <c r="B442" s="7"/>
      <c r="C442" s="7"/>
      <c r="D442" s="329"/>
      <c r="E442" s="7"/>
      <c r="F442" s="7"/>
      <c r="G442" s="7"/>
      <c r="H442" s="7"/>
      <c r="I442" s="7"/>
      <c r="J442" s="22"/>
      <c r="K442" s="22"/>
      <c r="L442" s="22"/>
      <c r="M442" s="22"/>
      <c r="N442" s="22"/>
      <c r="O442" s="22"/>
      <c r="P442" s="22"/>
      <c r="Q442" s="22"/>
      <c r="R442" s="22"/>
    </row>
    <row r="443" spans="1:18" x14ac:dyDescent="0.5">
      <c r="A443"/>
      <c r="B443" s="7"/>
      <c r="C443" s="7"/>
      <c r="D443" s="329"/>
      <c r="E443" s="7"/>
      <c r="F443" s="7"/>
      <c r="G443" s="7"/>
      <c r="H443" s="7"/>
      <c r="I443" s="7"/>
      <c r="J443" s="22"/>
      <c r="K443" s="22"/>
      <c r="L443" s="22"/>
      <c r="M443" s="22"/>
      <c r="N443" s="22"/>
      <c r="O443" s="22"/>
      <c r="P443" s="22"/>
      <c r="Q443" s="22"/>
      <c r="R443" s="22"/>
    </row>
    <row r="444" spans="1:18" x14ac:dyDescent="0.5">
      <c r="A444"/>
      <c r="B444" s="7"/>
      <c r="C444" s="7"/>
      <c r="D444" s="329"/>
      <c r="E444" s="7"/>
      <c r="F444" s="7"/>
      <c r="G444" s="300"/>
      <c r="H444" s="7"/>
      <c r="I444" s="7"/>
      <c r="J444" s="22"/>
      <c r="K444" s="22"/>
      <c r="L444" s="22"/>
      <c r="M444" s="22"/>
      <c r="N444" s="22"/>
      <c r="O444" s="22"/>
      <c r="P444" s="22"/>
      <c r="Q444" s="22"/>
      <c r="R444" s="22"/>
    </row>
    <row r="445" spans="1:18" x14ac:dyDescent="0.5">
      <c r="A445"/>
      <c r="B445" s="7"/>
      <c r="C445" s="7"/>
      <c r="D445" s="329"/>
      <c r="E445" s="7"/>
      <c r="F445" s="7"/>
      <c r="G445" s="300"/>
      <c r="H445" s="7"/>
      <c r="I445" s="7"/>
      <c r="J445" s="22"/>
      <c r="K445" s="22"/>
      <c r="L445" s="22"/>
      <c r="M445" s="22"/>
      <c r="N445" s="22"/>
      <c r="O445" s="22"/>
      <c r="P445" s="22"/>
      <c r="Q445" s="22"/>
      <c r="R445" s="22"/>
    </row>
    <row r="446" spans="1:18" x14ac:dyDescent="0.5">
      <c r="A446"/>
      <c r="B446" s="22"/>
      <c r="C446" s="22"/>
      <c r="D446" s="525"/>
      <c r="E446" s="22"/>
      <c r="F446" s="22"/>
      <c r="G446" s="22"/>
      <c r="H446" s="22"/>
      <c r="I446" s="22"/>
      <c r="J446" s="22"/>
      <c r="K446" s="22"/>
      <c r="L446" s="22"/>
      <c r="M446" s="22"/>
      <c r="N446" s="22"/>
      <c r="O446" s="22"/>
      <c r="P446" s="22"/>
      <c r="Q446" s="22"/>
      <c r="R446" s="22"/>
    </row>
    <row r="447" spans="1:18" x14ac:dyDescent="0.5">
      <c r="A447"/>
      <c r="B447" s="22"/>
      <c r="C447" s="22"/>
      <c r="D447" s="22"/>
      <c r="E447" s="22"/>
      <c r="F447" s="22"/>
      <c r="G447" s="22"/>
      <c r="H447" s="22"/>
      <c r="I447" s="22"/>
      <c r="J447" s="22"/>
      <c r="K447" s="22"/>
      <c r="L447" s="22"/>
      <c r="M447" s="22"/>
      <c r="N447" s="22"/>
      <c r="O447" s="22"/>
      <c r="P447" s="22"/>
      <c r="Q447" s="22"/>
      <c r="R447" s="22"/>
    </row>
    <row r="448" spans="1:18" x14ac:dyDescent="0.5">
      <c r="A448"/>
    </row>
    <row r="449" spans="1:12" x14ac:dyDescent="0.5">
      <c r="A449"/>
      <c r="L449" s="526"/>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x14ac:dyDescent="0.5"/>
  <cols>
    <col min="1" max="1" width="95" customWidth="1"/>
  </cols>
  <sheetData>
    <row r="1" spans="1:1" ht="220.5" x14ac:dyDescent="0.5">
      <c r="A1" s="527" t="s">
        <v>306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Tonio Buonassisi</dc:creator>
  <cp:lastModifiedBy>Kevin Bush</cp:lastModifiedBy>
  <dcterms:created xsi:type="dcterms:W3CDTF">2015-08-23T03:42:48Z</dcterms:created>
  <dcterms:modified xsi:type="dcterms:W3CDTF">2017-02-09T08:14:15Z</dcterms:modified>
</cp:coreProperties>
</file>