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codeName="ThisWorkbook" autoCompressPictures="0"/>
  <bookViews>
    <workbookView xWindow="380" yWindow="620" windowWidth="18280" windowHeight="16840"/>
  </bookViews>
  <sheets>
    <sheet name="Sheet1" sheetId="1" r:id="rId1"/>
  </sheets>
  <definedNames>
    <definedName name="_xlnm._FilterDatabase" localSheetId="0" hidden="1">Sheet1!#REF!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D33" i="1"/>
  <c r="D32" i="1"/>
  <c r="D34" i="1"/>
  <c r="C18" i="1"/>
  <c r="C20" i="1"/>
  <c r="C44" i="1"/>
  <c r="C24" i="1"/>
  <c r="C45" i="1"/>
  <c r="C25" i="1"/>
  <c r="C26" i="1"/>
  <c r="D35" i="1"/>
  <c r="D36" i="1"/>
  <c r="D37" i="1"/>
  <c r="D38" i="1"/>
  <c r="C42" i="1"/>
  <c r="D24" i="1"/>
  <c r="D25" i="1"/>
  <c r="E35" i="1"/>
  <c r="D26" i="1"/>
  <c r="E33" i="1"/>
  <c r="C46" i="1"/>
  <c r="E31" i="1"/>
  <c r="E32" i="1"/>
  <c r="E34" i="1"/>
  <c r="E36" i="1"/>
  <c r="E37" i="1"/>
  <c r="E38" i="1"/>
</calcChain>
</file>

<file path=xl/comments1.xml><?xml version="1.0" encoding="utf-8"?>
<comments xmlns="http://schemas.openxmlformats.org/spreadsheetml/2006/main">
  <authors>
    <author>Doug Powell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Doug Powell:</t>
        </r>
        <r>
          <rPr>
            <sz val="9"/>
            <color indexed="81"/>
            <rFont val="Tahoma"/>
            <family val="2"/>
          </rPr>
          <t xml:space="preserve">
Months of COGS and OPEX needed for working capital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 xml:space="preserve">Doug Powell:
</t>
        </r>
        <r>
          <rPr>
            <sz val="9"/>
            <color indexed="81"/>
            <rFont val="Tahoma"/>
            <family val="2"/>
          </rPr>
          <t xml:space="preserve">P. Dittmer, "U.S. Corporations suffer high effective tax rates by international standards," Tax Foundation, 2011.
and
C.P. Stickney and R.L. Weil, Financial accounting: An introduction to concepts, methods, and uses: Thomson South-Western, pp. 488, 2007.
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Doug Powell:</t>
        </r>
        <r>
          <rPr>
            <sz val="9"/>
            <color indexed="81"/>
            <rFont val="Tahoma"/>
            <family val="2"/>
          </rPr>
          <t xml:space="preserve">
Goodrich </t>
        </r>
        <r>
          <rPr>
            <i/>
            <sz val="9"/>
            <color indexed="81"/>
            <rFont val="Tahoma"/>
            <family val="2"/>
          </rPr>
          <t>EES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 xml:space="preserve">Doug Powell:
</t>
        </r>
        <r>
          <rPr>
            <sz val="9"/>
            <color indexed="81"/>
            <rFont val="Tahoma"/>
            <family val="2"/>
          </rPr>
          <t>Results not dependent on this value. It is just a placeholder.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Doug Powell:</t>
        </r>
        <r>
          <rPr>
            <sz val="9"/>
            <color indexed="81"/>
            <rFont val="Tahoma"/>
            <family val="2"/>
          </rPr>
          <t xml:space="preserve">
One year lag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Doug Powell:</t>
        </r>
        <r>
          <rPr>
            <sz val="9"/>
            <color indexed="81"/>
            <rFont val="Tahoma"/>
            <family val="2"/>
          </rPr>
          <t xml:space="preserve">
Higgins original concept as formulated by:
A. Ashta, "Sustainable growth rates: Refining a measure," Strategic Change, vol. 17, 2008, pp. 207-214.</t>
        </r>
      </text>
    </comment>
  </commentList>
</comments>
</file>

<file path=xl/sharedStrings.xml><?xml version="1.0" encoding="utf-8"?>
<sst xmlns="http://schemas.openxmlformats.org/spreadsheetml/2006/main" count="40" uniqueCount="40">
  <si>
    <t>Revenue [$]</t>
  </si>
  <si>
    <t>Total capital needed in year 0 [$]</t>
  </si>
  <si>
    <t>Tax Rate [%]</t>
  </si>
  <si>
    <t>Working Capital [month]</t>
  </si>
  <si>
    <t>Earnings before Taxes [$]</t>
  </si>
  <si>
    <t>Net Income [$]</t>
  </si>
  <si>
    <t>Inputs</t>
  </si>
  <si>
    <t>R, retention Ratio</t>
  </si>
  <si>
    <t>P, profit margin</t>
  </si>
  <si>
    <t>A, Asset Turnover</t>
  </si>
  <si>
    <t>Constant Debt to Equity</t>
  </si>
  <si>
    <t>Sustainable Growth Rate</t>
  </si>
  <si>
    <t>Debt Interest Rate [%]</t>
  </si>
  <si>
    <t>Pro Forma  Balance Sheet</t>
  </si>
  <si>
    <t>Equity [$]</t>
  </si>
  <si>
    <t>Debt [$]</t>
  </si>
  <si>
    <t>Total Capital [$]</t>
  </si>
  <si>
    <t>Equity Portion of Capital</t>
  </si>
  <si>
    <t>Pro Forma Income Statement</t>
  </si>
  <si>
    <t>WC [$]</t>
  </si>
  <si>
    <t>Capex [$]</t>
  </si>
  <si>
    <t>Sum [$]</t>
  </si>
  <si>
    <t>Additional Debt available [1-yes,0-no]</t>
  </si>
  <si>
    <t>End of Year 0</t>
  </si>
  <si>
    <t>End of Year 1</t>
  </si>
  <si>
    <t>During Year 1</t>
  </si>
  <si>
    <t>During Year 2</t>
  </si>
  <si>
    <t xml:space="preserve">   Depreciation [$]</t>
  </si>
  <si>
    <t xml:space="preserve">   COGS+OPEX [$]</t>
  </si>
  <si>
    <t xml:space="preserve">   Interest Expense [$]</t>
  </si>
  <si>
    <t xml:space="preserve">   Taxes [$]</t>
  </si>
  <si>
    <t>T, Leverage Factor for Additional Growth</t>
  </si>
  <si>
    <t>Sustainable Growth Rate (RPAT') [%]</t>
  </si>
  <si>
    <t>Operating Income (EBIT) [$]</t>
  </si>
  <si>
    <t>Operating Margin [%]</t>
  </si>
  <si>
    <r>
      <t>PE&amp;E0 Ratio [Upfront Capex</t>
    </r>
    <r>
      <rPr>
        <vertAlign val="subscript"/>
        <sz val="11"/>
        <color theme="1"/>
        <rFont val="Calibri"/>
        <family val="2"/>
        <scheme val="minor"/>
      </rPr>
      <t>t-1</t>
    </r>
    <r>
      <rPr>
        <sz val="11"/>
        <color theme="1"/>
        <rFont val="Calibri"/>
        <family val="2"/>
        <scheme val="minor"/>
      </rPr>
      <t>/ Revenue</t>
    </r>
    <r>
      <rPr>
        <sz val="11"/>
        <color theme="1"/>
        <rFont val="Calibri"/>
        <family val="2"/>
        <scheme val="minor"/>
      </rPr>
      <t>]</t>
    </r>
  </si>
  <si>
    <t>Depreciation Period [yr]</t>
  </si>
  <si>
    <t>Supporting Online Materials from: Douglas M. Powell, Ran Fu, Kelsey Horowitz, Paul A. Basore, Michael Woodhouse, and Tonio Buonassisi, "The Capital Intensity of Photovoltaics Manufacturing: Barrier to Scale and Opportunity for Innovation" (2015)</t>
  </si>
  <si>
    <t>MIT Photovoltaic Research Laboratory — http://pv.mit.edu</t>
  </si>
  <si>
    <t>Sustainable Growth Rate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</si>
</sst>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#,##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i/>
      <sz val="9"/>
      <color indexed="81"/>
      <name val="Tahoma"/>
      <family val="2"/>
    </font>
    <font>
      <vertAlign val="subscript"/>
      <sz val="11"/>
      <color theme="1"/>
      <name val="Calibri"/>
      <family val="2"/>
      <scheme val="minor"/>
    </font>
    <font>
      <b/>
      <sz val="24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3" fontId="0" fillId="0" borderId="0" xfId="0" applyNumberFormat="1"/>
    <xf numFmtId="0" fontId="0" fillId="0" borderId="0" xfId="0" applyFill="1"/>
    <xf numFmtId="0" fontId="2" fillId="0" borderId="0" xfId="0" applyFont="1"/>
    <xf numFmtId="9" fontId="0" fillId="0" borderId="0" xfId="0" applyNumberFormat="1" applyFill="1"/>
    <xf numFmtId="3" fontId="0" fillId="0" borderId="0" xfId="0" applyNumberFormat="1" applyFill="1"/>
    <xf numFmtId="3" fontId="0" fillId="0" borderId="0" xfId="0" applyNumberFormat="1" applyBorder="1"/>
    <xf numFmtId="164" fontId="0" fillId="0" borderId="0" xfId="0" applyNumberFormat="1"/>
    <xf numFmtId="10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5" xfId="0" applyBorder="1"/>
    <xf numFmtId="3" fontId="0" fillId="0" borderId="0" xfId="0" applyNumberFormat="1" applyFill="1" applyBorder="1"/>
    <xf numFmtId="38" fontId="0" fillId="0" borderId="0" xfId="0" applyNumberFormat="1" applyBorder="1"/>
    <xf numFmtId="3" fontId="0" fillId="0" borderId="5" xfId="0" applyNumberFormat="1" applyBorder="1"/>
    <xf numFmtId="3" fontId="0" fillId="0" borderId="6" xfId="0" applyNumberFormat="1" applyFill="1" applyBorder="1"/>
    <xf numFmtId="3" fontId="0" fillId="0" borderId="6" xfId="0" applyNumberFormat="1" applyBorder="1"/>
    <xf numFmtId="3" fontId="0" fillId="0" borderId="0" xfId="0" applyNumberFormat="1" applyFill="1" applyBorder="1" applyAlignment="1">
      <alignment textRotation="90"/>
    </xf>
    <xf numFmtId="3" fontId="0" fillId="0" borderId="0" xfId="0" applyNumberFormat="1" applyFill="1" applyBorder="1" applyAlignment="1"/>
    <xf numFmtId="0" fontId="0" fillId="0" borderId="1" xfId="0" applyBorder="1"/>
    <xf numFmtId="0" fontId="0" fillId="0" borderId="4" xfId="0" applyBorder="1"/>
    <xf numFmtId="3" fontId="0" fillId="0" borderId="7" xfId="0" applyNumberFormat="1" applyBorder="1"/>
    <xf numFmtId="0" fontId="1" fillId="0" borderId="8" xfId="0" applyFont="1" applyBorder="1"/>
    <xf numFmtId="0" fontId="0" fillId="0" borderId="10" xfId="0" applyBorder="1"/>
    <xf numFmtId="0" fontId="0" fillId="0" borderId="2" xfId="0" applyFill="1" applyBorder="1"/>
    <xf numFmtId="0" fontId="0" fillId="0" borderId="3" xfId="0" applyBorder="1"/>
    <xf numFmtId="0" fontId="0" fillId="0" borderId="5" xfId="0" applyFill="1" applyBorder="1"/>
    <xf numFmtId="0" fontId="0" fillId="0" borderId="6" xfId="0" applyBorder="1"/>
    <xf numFmtId="0" fontId="0" fillId="0" borderId="9" xfId="0" applyBorder="1"/>
    <xf numFmtId="0" fontId="5" fillId="0" borderId="1" xfId="0" applyFont="1" applyBorder="1"/>
    <xf numFmtId="0" fontId="0" fillId="0" borderId="0" xfId="0" applyFill="1" applyBorder="1"/>
    <xf numFmtId="9" fontId="0" fillId="0" borderId="0" xfId="0" applyNumberFormat="1"/>
    <xf numFmtId="0" fontId="2" fillId="0" borderId="0" xfId="0" applyFont="1" applyBorder="1"/>
    <xf numFmtId="165" fontId="0" fillId="0" borderId="0" xfId="0" applyNumberFormat="1" applyBorder="1"/>
    <xf numFmtId="3" fontId="0" fillId="0" borderId="7" xfId="0" applyNumberFormat="1" applyFill="1" applyBorder="1"/>
    <xf numFmtId="0" fontId="1" fillId="0" borderId="0" xfId="0" applyFont="1" applyBorder="1" applyAlignment="1"/>
    <xf numFmtId="0" fontId="0" fillId="0" borderId="5" xfId="0" applyFont="1" applyBorder="1"/>
    <xf numFmtId="3" fontId="0" fillId="0" borderId="9" xfId="0" applyNumberFormat="1" applyBorder="1"/>
    <xf numFmtId="3" fontId="0" fillId="0" borderId="5" xfId="0" applyNumberFormat="1" applyFont="1" applyBorder="1" applyAlignment="1"/>
    <xf numFmtId="10" fontId="0" fillId="0" borderId="7" xfId="0" applyNumberFormat="1" applyBorder="1"/>
    <xf numFmtId="2" fontId="0" fillId="0" borderId="0" xfId="0" applyNumberFormat="1" applyBorder="1"/>
    <xf numFmtId="0" fontId="0" fillId="0" borderId="4" xfId="0" applyFill="1" applyBorder="1"/>
    <xf numFmtId="0" fontId="1" fillId="0" borderId="3" xfId="0" applyFont="1" applyBorder="1"/>
    <xf numFmtId="0" fontId="1" fillId="2" borderId="7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E9141"/>
      <color rgb="FF63994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T49"/>
  <sheetViews>
    <sheetView tabSelected="1" zoomScale="80" zoomScaleNormal="80" zoomScalePageLayoutView="80" workbookViewId="0">
      <selection activeCell="A5" sqref="A5"/>
    </sheetView>
  </sheetViews>
  <sheetFormatPr baseColWidth="10" defaultColWidth="8.83203125" defaultRowHeight="14" x14ac:dyDescent="0"/>
  <cols>
    <col min="2" max="2" width="32.5" customWidth="1"/>
    <col min="3" max="3" width="22.83203125" customWidth="1"/>
    <col min="4" max="9" width="22.1640625" customWidth="1"/>
    <col min="10" max="10" width="23.83203125" customWidth="1"/>
    <col min="11" max="14" width="22.1640625" customWidth="1"/>
    <col min="15" max="15" width="14.5" customWidth="1"/>
    <col min="16" max="16" width="17.1640625" customWidth="1"/>
    <col min="17" max="17" width="18.5" customWidth="1"/>
  </cols>
  <sheetData>
    <row r="1" spans="1:13" ht="30">
      <c r="A1" s="44" t="s">
        <v>39</v>
      </c>
    </row>
    <row r="2" spans="1:13">
      <c r="A2" s="2" t="s">
        <v>37</v>
      </c>
    </row>
    <row r="3" spans="1:13">
      <c r="A3" t="s">
        <v>38</v>
      </c>
    </row>
    <row r="5" spans="1:13" ht="15" thickBot="1">
      <c r="D5" s="30"/>
      <c r="E5" s="30"/>
    </row>
    <row r="6" spans="1:13" ht="15" thickBot="1">
      <c r="B6" s="22" t="s">
        <v>6</v>
      </c>
      <c r="C6" s="23"/>
    </row>
    <row r="7" spans="1:13">
      <c r="B7" s="19" t="s">
        <v>34</v>
      </c>
      <c r="C7" s="41">
        <v>10.242041698389118</v>
      </c>
    </row>
    <row r="8" spans="1:13" ht="16">
      <c r="B8" s="9" t="s">
        <v>35</v>
      </c>
      <c r="C8" s="26">
        <v>0.46819631355617941</v>
      </c>
      <c r="D8" s="40"/>
      <c r="E8" s="10"/>
    </row>
    <row r="9" spans="1:13">
      <c r="B9" s="9" t="s">
        <v>36</v>
      </c>
      <c r="C9" s="36">
        <v>7</v>
      </c>
      <c r="I9" s="10"/>
      <c r="J9" s="10"/>
      <c r="K9" s="10"/>
      <c r="L9" s="10"/>
      <c r="M9" s="10"/>
    </row>
    <row r="10" spans="1:13">
      <c r="B10" s="9" t="s">
        <v>3</v>
      </c>
      <c r="C10" s="26">
        <v>3</v>
      </c>
      <c r="K10" s="10"/>
      <c r="L10" s="10"/>
      <c r="M10" s="10"/>
    </row>
    <row r="11" spans="1:13">
      <c r="B11" s="9" t="s">
        <v>2</v>
      </c>
      <c r="C11" s="11">
        <v>27.9</v>
      </c>
      <c r="K11" s="10"/>
      <c r="L11" s="10"/>
      <c r="M11" s="10"/>
    </row>
    <row r="12" spans="1:13">
      <c r="B12" s="24" t="s">
        <v>17</v>
      </c>
      <c r="C12" s="26">
        <v>0.5</v>
      </c>
      <c r="K12" s="10"/>
      <c r="L12" s="10"/>
      <c r="M12" s="10"/>
    </row>
    <row r="13" spans="1:13">
      <c r="B13" s="24" t="s">
        <v>22</v>
      </c>
      <c r="C13" s="26">
        <v>1</v>
      </c>
      <c r="K13" s="10"/>
      <c r="L13" s="10"/>
      <c r="M13" s="10"/>
    </row>
    <row r="14" spans="1:13" ht="15" thickBot="1">
      <c r="B14" s="25" t="s">
        <v>12</v>
      </c>
      <c r="C14" s="39">
        <v>4.5999999999999999E-2</v>
      </c>
      <c r="K14" s="10"/>
      <c r="L14" s="10"/>
      <c r="M14" s="10"/>
    </row>
    <row r="15" spans="1:13" ht="15" thickBot="1">
      <c r="B15" s="10"/>
      <c r="C15" s="10"/>
      <c r="K15" s="10"/>
      <c r="L15" s="10"/>
      <c r="M15" s="10"/>
    </row>
    <row r="16" spans="1:13" ht="15" thickBot="1">
      <c r="B16" s="22" t="s">
        <v>13</v>
      </c>
      <c r="C16" s="28"/>
      <c r="D16" s="23"/>
      <c r="K16" s="10"/>
      <c r="L16" s="10"/>
      <c r="M16" s="10"/>
    </row>
    <row r="17" spans="2:20">
      <c r="B17" s="9" t="s">
        <v>1</v>
      </c>
      <c r="C17" s="10"/>
      <c r="D17" s="11"/>
      <c r="F17" s="10"/>
      <c r="K17" s="10"/>
      <c r="L17" s="10"/>
      <c r="M17" s="10"/>
    </row>
    <row r="18" spans="2:20">
      <c r="B18" s="24" t="s">
        <v>19</v>
      </c>
      <c r="C18" s="6">
        <f>$C$10/12*D32</f>
        <v>20767.359884130652</v>
      </c>
      <c r="D18" s="11"/>
      <c r="F18" s="30"/>
      <c r="K18" s="10"/>
      <c r="L18" s="10"/>
      <c r="M18" s="10"/>
    </row>
    <row r="19" spans="2:20">
      <c r="B19" s="9" t="s">
        <v>20</v>
      </c>
      <c r="C19" s="6">
        <f>$C$8*D31</f>
        <v>46819.631355617938</v>
      </c>
      <c r="D19" s="11"/>
      <c r="K19" s="10"/>
      <c r="L19" s="10"/>
      <c r="M19" s="10"/>
    </row>
    <row r="20" spans="2:20">
      <c r="B20" s="9" t="s">
        <v>21</v>
      </c>
      <c r="C20" s="6">
        <f>SUM(C18:C19)</f>
        <v>67586.99123974859</v>
      </c>
      <c r="D20" s="11"/>
      <c r="K20" s="10"/>
      <c r="L20" s="30"/>
      <c r="M20" s="10"/>
    </row>
    <row r="21" spans="2:20">
      <c r="B21" s="9"/>
      <c r="C21" s="10"/>
      <c r="D21" s="11"/>
      <c r="E21" s="4"/>
      <c r="K21" s="10"/>
      <c r="L21" s="10"/>
      <c r="M21" s="10"/>
    </row>
    <row r="22" spans="2:20">
      <c r="B22" s="9"/>
      <c r="C22" s="10"/>
      <c r="D22" s="26"/>
      <c r="E22" s="4"/>
      <c r="F22" s="30"/>
      <c r="G22" s="30"/>
      <c r="K22" s="10"/>
      <c r="L22" s="32"/>
      <c r="M22" s="10"/>
    </row>
    <row r="23" spans="2:20">
      <c r="B23" s="9"/>
      <c r="C23" s="10" t="s">
        <v>23</v>
      </c>
      <c r="D23" s="26" t="s">
        <v>24</v>
      </c>
      <c r="F23" s="30"/>
      <c r="G23" s="30"/>
      <c r="I23" s="2"/>
      <c r="J23" s="2"/>
      <c r="L23" s="3"/>
    </row>
    <row r="24" spans="2:20">
      <c r="B24" s="24" t="s">
        <v>14</v>
      </c>
      <c r="C24" s="6">
        <f>C20*C12</f>
        <v>33793.495619874295</v>
      </c>
      <c r="D24" s="38">
        <f>C24+D38</f>
        <v>40057.212608684102</v>
      </c>
      <c r="E24" s="35"/>
      <c r="F24" s="30"/>
      <c r="G24" s="30"/>
      <c r="I24" s="2"/>
      <c r="J24" s="2"/>
      <c r="L24" s="3"/>
    </row>
    <row r="25" spans="2:20">
      <c r="B25" s="9" t="s">
        <v>15</v>
      </c>
      <c r="C25" s="6">
        <f>C20*(1-C12)</f>
        <v>33793.495619874295</v>
      </c>
      <c r="D25" s="14">
        <f>IF(C13=1,D24*(C25/C24),C25)</f>
        <v>40057.212608684102</v>
      </c>
      <c r="E25" s="10"/>
    </row>
    <row r="26" spans="2:20" ht="15" thickBot="1">
      <c r="B26" s="25" t="s">
        <v>16</v>
      </c>
      <c r="C26" s="16">
        <f>SUM(C24:C25)</f>
        <v>67586.99123974859</v>
      </c>
      <c r="D26" s="21">
        <f>SUM(D24:D25)</f>
        <v>80114.425217368203</v>
      </c>
      <c r="E26" s="6"/>
      <c r="J26" s="35"/>
      <c r="K26" s="35"/>
      <c r="L26" s="35"/>
      <c r="M26" s="35"/>
      <c r="N26" s="35"/>
      <c r="O26" s="35"/>
      <c r="P26" s="35"/>
      <c r="Q26" s="10"/>
    </row>
    <row r="27" spans="2:20" ht="15" thickBot="1">
      <c r="B27" s="10"/>
      <c r="C27" s="33"/>
      <c r="D27" s="10"/>
      <c r="J27" s="10"/>
      <c r="K27" s="30"/>
      <c r="L27" s="30"/>
      <c r="M27" s="30"/>
      <c r="N27" s="10"/>
      <c r="O27" s="10"/>
      <c r="P27" s="10"/>
      <c r="Q27" s="30"/>
      <c r="T27" s="1"/>
    </row>
    <row r="28" spans="2:20" ht="15" thickBot="1">
      <c r="B28" s="22" t="s">
        <v>18</v>
      </c>
      <c r="C28" s="28"/>
      <c r="D28" s="37"/>
      <c r="E28" s="23"/>
      <c r="J28" s="10"/>
      <c r="K28" s="10"/>
      <c r="L28" s="10"/>
      <c r="M28" s="10"/>
      <c r="N28" s="6"/>
      <c r="O28" s="6"/>
      <c r="P28" s="17"/>
      <c r="Q28" s="6"/>
      <c r="S28" s="31"/>
      <c r="T28" s="5"/>
    </row>
    <row r="29" spans="2:20">
      <c r="B29" s="9"/>
      <c r="C29" s="10"/>
      <c r="D29" s="6"/>
      <c r="E29" s="11"/>
      <c r="J29" s="10"/>
      <c r="K29" s="10"/>
      <c r="L29" s="6"/>
      <c r="M29" s="6"/>
      <c r="N29" s="6"/>
      <c r="O29" s="6"/>
      <c r="P29" s="18"/>
      <c r="Q29" s="6"/>
      <c r="T29" s="5"/>
    </row>
    <row r="30" spans="2:20">
      <c r="B30" s="9"/>
      <c r="C30" s="10"/>
      <c r="D30" s="10" t="s">
        <v>25</v>
      </c>
      <c r="E30" s="11" t="s">
        <v>26</v>
      </c>
      <c r="J30" s="13"/>
      <c r="K30" s="10"/>
      <c r="L30" s="6"/>
      <c r="M30" s="6"/>
      <c r="N30" s="6"/>
      <c r="O30" s="6"/>
      <c r="P30" s="18"/>
      <c r="Q30" s="6"/>
      <c r="T30" s="5"/>
    </row>
    <row r="31" spans="2:20">
      <c r="B31" s="9" t="s">
        <v>0</v>
      </c>
      <c r="C31" s="10"/>
      <c r="D31" s="6">
        <v>100000</v>
      </c>
      <c r="E31" s="14">
        <f>D31*(1+C46/100)</f>
        <v>118535.27394522054</v>
      </c>
      <c r="J31" s="13"/>
      <c r="K31" s="10"/>
      <c r="L31" s="6"/>
      <c r="M31" s="6"/>
      <c r="N31" s="6"/>
      <c r="O31" s="6"/>
      <c r="P31" s="18"/>
      <c r="Q31" s="6"/>
      <c r="T31" s="5"/>
    </row>
    <row r="32" spans="2:20">
      <c r="B32" s="9" t="s">
        <v>28</v>
      </c>
      <c r="C32" s="10"/>
      <c r="D32" s="12">
        <f>-1*$C$7/100*D31-D33+D31</f>
        <v>83069.439536522608</v>
      </c>
      <c r="E32" s="14">
        <f>E31*(D32/D31)</f>
        <v>98466.587719376417</v>
      </c>
      <c r="J32" s="13"/>
      <c r="K32" s="10"/>
      <c r="L32" s="6"/>
      <c r="M32" s="6"/>
      <c r="N32" s="6"/>
      <c r="O32" s="6"/>
      <c r="P32" s="18"/>
      <c r="Q32" s="6"/>
      <c r="T32" s="5"/>
    </row>
    <row r="33" spans="2:20">
      <c r="B33" s="9" t="s">
        <v>27</v>
      </c>
      <c r="C33" s="10"/>
      <c r="D33" s="12">
        <f>C19*1/$C$9</f>
        <v>6688.5187650882772</v>
      </c>
      <c r="E33" s="14">
        <f>C19/C20*(D26-C26)*1/$C$9+D33</f>
        <v>7928.2540410748716</v>
      </c>
      <c r="J33" s="13"/>
      <c r="K33" s="10"/>
      <c r="L33" s="6"/>
      <c r="M33" s="6"/>
      <c r="N33" s="6"/>
      <c r="O33" s="6"/>
      <c r="P33" s="18"/>
      <c r="Q33" s="6"/>
      <c r="T33" s="5"/>
    </row>
    <row r="34" spans="2:20">
      <c r="B34" s="9" t="s">
        <v>33</v>
      </c>
      <c r="C34" s="10"/>
      <c r="D34" s="6">
        <f>D31-D33-D32</f>
        <v>10242.041698389119</v>
      </c>
      <c r="E34" s="14">
        <f>E31-E33-E32</f>
        <v>12140.432184769248</v>
      </c>
      <c r="K34" s="10"/>
      <c r="L34" s="6"/>
      <c r="M34" s="6"/>
      <c r="N34" s="6"/>
      <c r="O34" s="6"/>
      <c r="P34" s="18"/>
      <c r="Q34" s="6"/>
      <c r="T34" s="5"/>
    </row>
    <row r="35" spans="2:20">
      <c r="B35" s="9" t="s">
        <v>29</v>
      </c>
      <c r="C35" s="10"/>
      <c r="D35" s="6">
        <f>C14*C25</f>
        <v>1554.5007985142174</v>
      </c>
      <c r="E35" s="14">
        <f>D25*C14</f>
        <v>1842.6317799994686</v>
      </c>
      <c r="K35" s="10"/>
      <c r="L35" s="6"/>
      <c r="M35" s="6"/>
      <c r="N35" s="6"/>
      <c r="O35" s="6"/>
      <c r="P35" s="18"/>
      <c r="Q35" s="6"/>
      <c r="T35" s="5"/>
    </row>
    <row r="36" spans="2:20">
      <c r="B36" s="9" t="s">
        <v>4</v>
      </c>
      <c r="C36" s="10"/>
      <c r="D36" s="6">
        <f>D34-D35</f>
        <v>8687.5408998749008</v>
      </c>
      <c r="E36" s="14">
        <f>E34-E35</f>
        <v>10297.80040476978</v>
      </c>
      <c r="K36" s="10"/>
      <c r="L36" s="6"/>
      <c r="M36" s="6"/>
      <c r="N36" s="6"/>
      <c r="O36" s="6"/>
      <c r="P36" s="18"/>
      <c r="Q36" s="6"/>
      <c r="T36" s="5"/>
    </row>
    <row r="37" spans="2:20">
      <c r="B37" s="9" t="s">
        <v>30</v>
      </c>
      <c r="C37" s="10"/>
      <c r="D37" s="6">
        <f>D36*$C$11/100</f>
        <v>2423.823911065097</v>
      </c>
      <c r="E37" s="14">
        <f>E36*$C$11/100</f>
        <v>2873.0863129307686</v>
      </c>
      <c r="K37" s="10"/>
      <c r="L37" s="6"/>
      <c r="M37" s="6"/>
      <c r="N37" s="6"/>
      <c r="O37" s="6"/>
      <c r="P37" s="18"/>
      <c r="Q37" s="6"/>
      <c r="T37" s="5"/>
    </row>
    <row r="38" spans="2:20" ht="15" thickBot="1">
      <c r="B38" s="25" t="s">
        <v>5</v>
      </c>
      <c r="C38" s="27"/>
      <c r="D38" s="15">
        <f>D34-D35-D37</f>
        <v>6263.7169888098033</v>
      </c>
      <c r="E38" s="34">
        <f>E34-E35-E37</f>
        <v>7424.7140918390105</v>
      </c>
      <c r="K38" s="10"/>
      <c r="L38" s="6"/>
      <c r="M38" s="6"/>
      <c r="N38" s="6"/>
      <c r="O38" s="6"/>
      <c r="P38" s="18"/>
      <c r="Q38" s="6"/>
      <c r="T38" s="5"/>
    </row>
    <row r="39" spans="2:20" ht="15" thickBot="1">
      <c r="D39" s="1"/>
      <c r="E39" s="1"/>
      <c r="K39" s="10"/>
      <c r="L39" s="6"/>
      <c r="M39" s="6"/>
      <c r="N39" s="6"/>
      <c r="O39" s="6"/>
      <c r="P39" s="18"/>
      <c r="Q39" s="6"/>
      <c r="T39" s="5"/>
    </row>
    <row r="40" spans="2:20" ht="15" thickBot="1">
      <c r="B40" s="22" t="s">
        <v>11</v>
      </c>
      <c r="C40" s="23"/>
      <c r="J40" s="13"/>
      <c r="K40" s="6"/>
      <c r="L40" s="6"/>
      <c r="M40" s="6"/>
      <c r="N40" s="6"/>
      <c r="O40" s="18"/>
      <c r="P40" s="6"/>
      <c r="Q40" s="18"/>
      <c r="T40" s="5"/>
    </row>
    <row r="41" spans="2:20">
      <c r="B41" s="29" t="s">
        <v>10</v>
      </c>
      <c r="C41" s="20"/>
      <c r="J41" s="6"/>
      <c r="O41" s="1"/>
      <c r="P41" s="1"/>
      <c r="Q41" s="18"/>
      <c r="T41" s="5"/>
    </row>
    <row r="42" spans="2:20">
      <c r="B42" s="9" t="s">
        <v>8</v>
      </c>
      <c r="C42" s="11">
        <f>D38/D31</f>
        <v>6.2637169888098032E-2</v>
      </c>
      <c r="J42" s="6"/>
      <c r="O42" s="1"/>
      <c r="P42" s="1"/>
      <c r="Q42" s="18"/>
      <c r="T42" s="5"/>
    </row>
    <row r="43" spans="2:20">
      <c r="B43" s="9" t="s">
        <v>7</v>
      </c>
      <c r="C43" s="11">
        <v>1</v>
      </c>
      <c r="J43" s="6"/>
      <c r="O43" s="1"/>
      <c r="P43" s="1"/>
      <c r="Q43" s="18"/>
      <c r="T43" s="5"/>
    </row>
    <row r="44" spans="2:20">
      <c r="B44" s="9" t="s">
        <v>9</v>
      </c>
      <c r="C44" s="11">
        <f>D31/C20</f>
        <v>1.4795746661554154</v>
      </c>
      <c r="J44" s="6"/>
      <c r="O44" s="1"/>
      <c r="P44" s="1"/>
      <c r="Q44" s="18"/>
      <c r="T44" s="5"/>
    </row>
    <row r="45" spans="2:20">
      <c r="B45" s="9" t="s">
        <v>31</v>
      </c>
      <c r="C45" s="11">
        <f>IF(C13=1,C20/C24,1)</f>
        <v>2</v>
      </c>
      <c r="J45" s="6"/>
      <c r="O45" s="1"/>
      <c r="P45" s="1"/>
      <c r="Q45" s="18"/>
      <c r="T45" s="5"/>
    </row>
    <row r="46" spans="2:20" ht="15" thickBot="1">
      <c r="B46" s="42" t="s">
        <v>32</v>
      </c>
      <c r="C46" s="43">
        <f>C42*C43*C44*C45*100</f>
        <v>18.535273945220538</v>
      </c>
      <c r="J46" s="6"/>
      <c r="O46" s="1"/>
      <c r="P46" s="1"/>
      <c r="Q46" s="18"/>
      <c r="S46" s="1"/>
      <c r="T46" s="5"/>
    </row>
    <row r="47" spans="2:20">
      <c r="J47" s="10"/>
      <c r="N47" s="7"/>
    </row>
    <row r="48" spans="2:20">
      <c r="J48" s="10"/>
      <c r="N48" s="8"/>
    </row>
    <row r="49" spans="10:10">
      <c r="J49" s="10"/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Powell</dc:creator>
  <cp:lastModifiedBy>Tonio Buonassisi</cp:lastModifiedBy>
  <dcterms:created xsi:type="dcterms:W3CDTF">2014-12-05T17:31:07Z</dcterms:created>
  <dcterms:modified xsi:type="dcterms:W3CDTF">2015-07-20T02:40:28Z</dcterms:modified>
</cp:coreProperties>
</file>