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9105" tabRatio="760" firstSheet="1" activeTab="3"/>
  </bookViews>
  <sheets>
    <sheet name="Cover Page" sheetId="17" r:id="rId1"/>
    <sheet name="Cost Model Template" sheetId="22" r:id="rId2"/>
    <sheet name="Common Assumptions" sheetId="3" r:id="rId3"/>
    <sheet name="Process Data" sheetId="19" r:id="rId4"/>
    <sheet name="Process Rate Calculator" sheetId="18" r:id="rId5"/>
    <sheet name="Assembly Operation Data" sheetId="21" r:id="rId6"/>
    <sheet name="Tooling Data" sheetId="20" r:id="rId7"/>
  </sheets>
  <definedNames>
    <definedName name="_xlnm._FilterDatabase" localSheetId="3" hidden="1">'Process Data'!$B$8:$G$52</definedName>
    <definedName name="_xlnm._FilterDatabase" localSheetId="6" hidden="1">'Tooling Data'!$B$3:$F$34</definedName>
  </definedNames>
  <calcPr calcId="162913"/>
</workbook>
</file>

<file path=xl/calcChain.xml><?xml version="1.0" encoding="utf-8"?>
<calcChain xmlns="http://schemas.openxmlformats.org/spreadsheetml/2006/main">
  <c r="T37" i="22" l="1"/>
  <c r="T35" i="22"/>
  <c r="T33" i="22"/>
  <c r="T39" i="22" l="1"/>
  <c r="U33" i="22"/>
  <c r="U37" i="22" s="1"/>
  <c r="U39" i="22" s="1"/>
  <c r="V33" i="22"/>
  <c r="V37" i="22" s="1"/>
  <c r="V39" i="22" s="1"/>
  <c r="W33" i="22"/>
  <c r="W37" i="22" s="1"/>
  <c r="W39" i="22" s="1"/>
  <c r="X33" i="22"/>
  <c r="X37" i="22" s="1"/>
  <c r="X39" i="22" s="1"/>
  <c r="Y33" i="22"/>
  <c r="Y37" i="22" s="1"/>
  <c r="Y39" i="22" s="1"/>
  <c r="V35" i="22" l="1"/>
  <c r="U35" i="22"/>
  <c r="Y35" i="22"/>
  <c r="W35" i="22"/>
  <c r="X35" i="22"/>
  <c r="G17" i="22"/>
  <c r="H17" i="22"/>
  <c r="K17" i="22"/>
  <c r="F18" i="22"/>
  <c r="O15" i="22"/>
  <c r="O14" i="22"/>
  <c r="Y26" i="22"/>
  <c r="Y27" i="22" s="1"/>
  <c r="Y28" i="22" s="1"/>
  <c r="O13" i="22"/>
  <c r="I18" i="22" l="1"/>
  <c r="I17" i="22"/>
  <c r="T26" i="22"/>
  <c r="T27" i="22" s="1"/>
  <c r="T28" i="22" s="1"/>
  <c r="F17" i="22"/>
  <c r="X26" i="22"/>
  <c r="X27" i="22" s="1"/>
  <c r="X28" i="22" s="1"/>
  <c r="V26" i="22"/>
  <c r="V27" i="22" s="1"/>
  <c r="V28" i="22" s="1"/>
  <c r="H18" i="22"/>
  <c r="W26" i="22"/>
  <c r="W27" i="22" s="1"/>
  <c r="W28" i="22" s="1"/>
  <c r="K18" i="22"/>
  <c r="J18" i="22"/>
  <c r="J17" i="22"/>
  <c r="G18" i="22"/>
  <c r="U26" i="22"/>
  <c r="U27" i="22" s="1"/>
  <c r="U28" i="22" s="1"/>
  <c r="H41" i="3" l="1"/>
  <c r="D20" i="18" l="1"/>
  <c r="E22" i="18" s="1"/>
  <c r="D18" i="18"/>
  <c r="E19" i="18" s="1"/>
  <c r="D14" i="18"/>
  <c r="D13" i="18"/>
  <c r="D11" i="18"/>
  <c r="D10" i="18"/>
  <c r="D9" i="18"/>
  <c r="D7" i="18"/>
  <c r="D6" i="18"/>
  <c r="D4" i="18"/>
  <c r="D5" i="18" s="1"/>
  <c r="D8" i="18" l="1"/>
  <c r="D12" i="18" s="1"/>
  <c r="D16" i="18" l="1"/>
  <c r="C3" i="3" l="1"/>
  <c r="D23" i="18" l="1"/>
  <c r="E12" i="18" s="1"/>
  <c r="Q10" i="22"/>
  <c r="E16" i="18" l="1"/>
  <c r="E24" i="18" s="1"/>
  <c r="V13" i="22"/>
  <c r="W13" i="22"/>
  <c r="Y13" i="22"/>
  <c r="X13" i="22"/>
  <c r="U13" i="22"/>
  <c r="T13" i="22"/>
  <c r="Y14" i="22" l="1"/>
  <c r="Y21" i="22" s="1"/>
  <c r="Y30" i="22"/>
  <c r="T15" i="22"/>
  <c r="T14" i="22"/>
  <c r="T21" i="22" s="1"/>
  <c r="T30" i="22"/>
  <c r="W14" i="22"/>
  <c r="W15" i="22"/>
  <c r="W30" i="22"/>
  <c r="X14" i="22"/>
  <c r="X21" i="22" s="1"/>
  <c r="X30" i="22"/>
  <c r="U15" i="22"/>
  <c r="U14" i="22"/>
  <c r="U21" i="22" s="1"/>
  <c r="U30" i="22"/>
  <c r="V14" i="22"/>
  <c r="V30" i="22"/>
  <c r="V15" i="22"/>
  <c r="H9" i="3"/>
  <c r="H8" i="3"/>
  <c r="V21" i="22" l="1"/>
  <c r="F13" i="22"/>
  <c r="T22" i="22"/>
  <c r="F15" i="22" s="1"/>
  <c r="G13" i="22"/>
  <c r="U22" i="22"/>
  <c r="G15" i="22" s="1"/>
  <c r="K13" i="22"/>
  <c r="Y22" i="22"/>
  <c r="K15" i="22" s="1"/>
  <c r="J16" i="22"/>
  <c r="X31" i="22"/>
  <c r="J19" i="22" s="1"/>
  <c r="W21" i="22"/>
  <c r="V31" i="22"/>
  <c r="H19" i="22" s="1"/>
  <c r="H16" i="22"/>
  <c r="W31" i="22"/>
  <c r="I19" i="22" s="1"/>
  <c r="I16" i="22"/>
  <c r="T31" i="22"/>
  <c r="F19" i="22" s="1"/>
  <c r="F16" i="22"/>
  <c r="H13" i="22"/>
  <c r="V22" i="22"/>
  <c r="H15" i="22" s="1"/>
  <c r="G16" i="22"/>
  <c r="U31" i="22"/>
  <c r="G19" i="22" s="1"/>
  <c r="X22" i="22"/>
  <c r="J15" i="22" s="1"/>
  <c r="J13" i="22"/>
  <c r="Y31" i="22"/>
  <c r="K19" i="22" s="1"/>
  <c r="K16" i="22"/>
  <c r="H14" i="22" l="1"/>
  <c r="J14" i="22"/>
  <c r="G14" i="22"/>
  <c r="I13" i="22"/>
  <c r="W22" i="22"/>
  <c r="I15" i="22" s="1"/>
  <c r="I14" i="22" s="1"/>
  <c r="K14" i="22"/>
  <c r="F14" i="22"/>
</calcChain>
</file>

<file path=xl/sharedStrings.xml><?xml version="1.0" encoding="utf-8"?>
<sst xmlns="http://schemas.openxmlformats.org/spreadsheetml/2006/main" count="525" uniqueCount="364">
  <si>
    <t>Thickness</t>
  </si>
  <si>
    <t>Material</t>
  </si>
  <si>
    <t>Manufacturing Processes</t>
  </si>
  <si>
    <t>Energy</t>
  </si>
  <si>
    <t>Mass (kg)</t>
  </si>
  <si>
    <t>Length (mm)</t>
  </si>
  <si>
    <t>Width (mm)</t>
  </si>
  <si>
    <t>Height (mm)</t>
  </si>
  <si>
    <t>Plant Parameters</t>
  </si>
  <si>
    <t>Wage (including benefits)</t>
  </si>
  <si>
    <t>Production Volume</t>
  </si>
  <si>
    <t>Aluminum Billet Rate</t>
  </si>
  <si>
    <t>Equipment Insurance</t>
  </si>
  <si>
    <t>Spare parts, Maintenance, Repairs</t>
  </si>
  <si>
    <t>Default Values</t>
  </si>
  <si>
    <t>Sub-calculations</t>
  </si>
  <si>
    <t>Final Calculation</t>
  </si>
  <si>
    <t>Legend</t>
  </si>
  <si>
    <t>Annual operating hours</t>
  </si>
  <si>
    <t>Material Cost ($/piece)</t>
  </si>
  <si>
    <t>Scrap Reclaim ($/piece)</t>
  </si>
  <si>
    <t>Markup ($/piece)</t>
  </si>
  <si>
    <t>Total Unit  Cost ($/piece)</t>
  </si>
  <si>
    <t>Machine Cost ($)</t>
  </si>
  <si>
    <t>Tooling Cost ($)</t>
  </si>
  <si>
    <t>Total Tooling Cost ($)</t>
  </si>
  <si>
    <t># of machines</t>
  </si>
  <si>
    <t># of tools</t>
  </si>
  <si>
    <t>Value</t>
  </si>
  <si>
    <t>Units</t>
  </si>
  <si>
    <t>Property tax</t>
  </si>
  <si>
    <t>$/hr</t>
  </si>
  <si>
    <t>Process Rate ($/piece)</t>
  </si>
  <si>
    <t>Material (kg)</t>
  </si>
  <si>
    <t>$/kg</t>
  </si>
  <si>
    <t>$/kWh</t>
  </si>
  <si>
    <t>Scrap (kg)</t>
  </si>
  <si>
    <t>CNC Machining</t>
  </si>
  <si>
    <t>hrs/yr</t>
  </si>
  <si>
    <t>Notes</t>
  </si>
  <si>
    <t>Annual Production Volume:</t>
  </si>
  <si>
    <t>Required Equipment and Tooling</t>
  </si>
  <si>
    <t>Markup</t>
  </si>
  <si>
    <t>Total Process Burden Cost ($/piece)</t>
  </si>
  <si>
    <t>Tooling cost per unit ($/piece)</t>
  </si>
  <si>
    <t>Useful Tooling Life</t>
  </si>
  <si>
    <t>years</t>
  </si>
  <si>
    <t>Capital Cost ($/piece)</t>
  </si>
  <si>
    <t>Steel (DP600)</t>
  </si>
  <si>
    <t>Steel (Hot rolled HSLA)</t>
  </si>
  <si>
    <t>Steel (Hot rolled Mild Steel)</t>
  </si>
  <si>
    <t>Process Rate ($/hr)</t>
  </si>
  <si>
    <t>Equipment Installation &amp; Commisioning</t>
  </si>
  <si>
    <t>Equipment Financing Interest Rate</t>
  </si>
  <si>
    <t>Equipment Financing Period</t>
  </si>
  <si>
    <t>Two 10 hr shifts, 5 days week, 49 weeks</t>
  </si>
  <si>
    <t>Transfer Robots</t>
  </si>
  <si>
    <t>MIG Weld Gun</t>
  </si>
  <si>
    <t># of Parts out per hit</t>
  </si>
  <si>
    <t>NOTES</t>
  </si>
  <si>
    <t>Annual Processing Hours</t>
  </si>
  <si>
    <t>Annual Production Hours</t>
  </si>
  <si>
    <t>Tooling Changeover Time (hrs)</t>
  </si>
  <si>
    <t>Tooling Changeover Frequency</t>
  </si>
  <si>
    <t>Component</t>
  </si>
  <si>
    <t>Released:</t>
  </si>
  <si>
    <t>Manufacturing Cost Model</t>
  </si>
  <si>
    <t>Indirect Equipment &amp; other hardware cost</t>
  </si>
  <si>
    <t>Overhead</t>
  </si>
  <si>
    <t>$/sq.m/yr</t>
  </si>
  <si>
    <t>% of direct equipment cost</t>
  </si>
  <si>
    <t>% of annual cost of direct equipment</t>
  </si>
  <si>
    <t>% of ammortized equipment cost</t>
  </si>
  <si>
    <t>% of value-added (process cost)</t>
  </si>
  <si>
    <t>Process Rate Calculation Table (Default values for B-Pillar low volume (10k-1k) assembly)</t>
  </si>
  <si>
    <t>Hourly Rate</t>
  </si>
  <si>
    <t>a</t>
  </si>
  <si>
    <t>Direct Equipment Cost</t>
  </si>
  <si>
    <t>b</t>
  </si>
  <si>
    <t>Installation &amp; Comissioning</t>
  </si>
  <si>
    <t>c</t>
  </si>
  <si>
    <r>
      <t xml:space="preserve">Installed Direct Equipment cost </t>
    </r>
    <r>
      <rPr>
        <i/>
        <sz val="8"/>
        <color rgb="FF000000"/>
        <rFont val="Calibri"/>
        <family val="2"/>
      </rPr>
      <t>(includes a &amp; b)</t>
    </r>
  </si>
  <si>
    <t>d</t>
  </si>
  <si>
    <t>Financing Interest Rate</t>
  </si>
  <si>
    <t>e</t>
  </si>
  <si>
    <t>Financing Period (years)</t>
  </si>
  <si>
    <t>f</t>
  </si>
  <si>
    <r>
      <t xml:space="preserve">Annual Cost of Direct Equipment </t>
    </r>
    <r>
      <rPr>
        <i/>
        <sz val="8"/>
        <color rgb="FF000000"/>
        <rFont val="Calibri"/>
        <family val="2"/>
      </rPr>
      <t>(calculated from c, d &amp; e)</t>
    </r>
  </si>
  <si>
    <t>g</t>
  </si>
  <si>
    <r>
      <t xml:space="preserve">Property Tax </t>
    </r>
    <r>
      <rPr>
        <i/>
        <sz val="9"/>
        <color rgb="FF000000"/>
        <rFont val="Calibri"/>
        <family val="2"/>
      </rPr>
      <t>(% of annual cost of equipment)</t>
    </r>
  </si>
  <si>
    <t>h</t>
  </si>
  <si>
    <r>
      <t xml:space="preserve">Equipment Insurance </t>
    </r>
    <r>
      <rPr>
        <i/>
        <sz val="9"/>
        <color rgb="FF000000"/>
        <rFont val="Calibri"/>
        <family val="2"/>
      </rPr>
      <t>(% of annual cost of equipment)</t>
    </r>
  </si>
  <si>
    <t>i</t>
  </si>
  <si>
    <r>
      <t xml:space="preserve">Equipment Spare parts, Maintenance, Repairs </t>
    </r>
    <r>
      <rPr>
        <i/>
        <sz val="9"/>
        <color rgb="FF000000"/>
        <rFont val="Calibri"/>
        <family val="2"/>
      </rPr>
      <t>(% of annual cost of equipment)</t>
    </r>
  </si>
  <si>
    <t>j</t>
  </si>
  <si>
    <r>
      <t xml:space="preserve">Total annual cost associated with direct equipment </t>
    </r>
    <r>
      <rPr>
        <i/>
        <sz val="8"/>
        <color rgb="FF000000"/>
        <rFont val="Calibri"/>
        <family val="2"/>
      </rPr>
      <t>(includes f, g, h &amp; i)</t>
    </r>
  </si>
  <si>
    <t>k</t>
  </si>
  <si>
    <r>
      <t xml:space="preserve">Indirect equipment &amp; other hardware </t>
    </r>
    <r>
      <rPr>
        <sz val="9"/>
        <color rgb="FF000000"/>
        <rFont val="Calibri"/>
        <family val="2"/>
      </rPr>
      <t>(% of direct equipment)</t>
    </r>
  </si>
  <si>
    <t>l</t>
  </si>
  <si>
    <t>Overhead ($/sq.m/yr)</t>
  </si>
  <si>
    <t>m</t>
  </si>
  <si>
    <t>Equipment Space Requirement (sq.m)</t>
  </si>
  <si>
    <t>n</t>
  </si>
  <si>
    <r>
      <t xml:space="preserve">Indirect annual equipment &amp; Overhead Cost </t>
    </r>
    <r>
      <rPr>
        <i/>
        <sz val="8"/>
        <color rgb="FF000000"/>
        <rFont val="Calibri"/>
        <family val="2"/>
      </rPr>
      <t>(calculated from k, l &amp; m)</t>
    </r>
  </si>
  <si>
    <t>o</t>
  </si>
  <si>
    <t>Energy Consumption (kWh/hr)</t>
  </si>
  <si>
    <t>p</t>
  </si>
  <si>
    <t>Electricty Rate ($/kWh)</t>
  </si>
  <si>
    <t>q</t>
  </si>
  <si>
    <r>
      <t xml:space="preserve">Energy Cost </t>
    </r>
    <r>
      <rPr>
        <i/>
        <sz val="8"/>
        <color rgb="FF000000"/>
        <rFont val="Calibri"/>
        <family val="2"/>
      </rPr>
      <t>(calculated from o &amp; p)</t>
    </r>
  </si>
  <si>
    <t>r</t>
  </si>
  <si>
    <t>Burdened Labor Rate ($/hr)</t>
  </si>
  <si>
    <t>s</t>
  </si>
  <si>
    <t>Direct Labor (# of people)</t>
  </si>
  <si>
    <t>t</t>
  </si>
  <si>
    <r>
      <t xml:space="preserve">Direct Labor Cost </t>
    </r>
    <r>
      <rPr>
        <i/>
        <sz val="8"/>
        <color rgb="FF000000"/>
        <rFont val="Calibri"/>
        <family val="2"/>
      </rPr>
      <t>(calculated from r &amp; s)</t>
    </r>
  </si>
  <si>
    <t>Annual operating hours per year</t>
  </si>
  <si>
    <r>
      <t xml:space="preserve">Total Process Rate ($/hr) </t>
    </r>
    <r>
      <rPr>
        <i/>
        <sz val="8"/>
        <color rgb="FF000000"/>
        <rFont val="Calibri"/>
        <family val="2"/>
      </rPr>
      <t>(sum of j, n, q, &amp; t)</t>
    </r>
  </si>
  <si>
    <t xml:space="preserve"> </t>
  </si>
  <si>
    <t>Important Information</t>
  </si>
  <si>
    <r>
      <rPr>
        <b/>
        <sz val="11"/>
        <color theme="1"/>
        <rFont val="Calibri"/>
        <family val="2"/>
        <scheme val="minor"/>
      </rPr>
      <t>Burdened Process Rate</t>
    </r>
    <r>
      <rPr>
        <sz val="11"/>
        <color theme="1"/>
        <rFont val="Calibri"/>
        <family val="2"/>
        <scheme val="minor"/>
      </rPr>
      <t xml:space="preserve"> includes equipment ammortization, direct and indirect labor, maintenance, utlities, floor space, insurance, tax and supporting plant equipment</t>
    </r>
  </si>
  <si>
    <r>
      <rPr>
        <b/>
        <sz val="11"/>
        <color theme="1"/>
        <rFont val="Calibri"/>
        <family val="2"/>
        <scheme val="minor"/>
      </rPr>
      <t>Process time</t>
    </r>
    <r>
      <rPr>
        <sz val="11"/>
        <color theme="1"/>
        <rFont val="Calibri"/>
        <family val="2"/>
        <scheme val="minor"/>
      </rPr>
      <t xml:space="preserve"> is the time elapsed per hit before a part or batch of parts come out of the process line. It is NOT the total cycle time from start to finish. The values provided below are typical for the parts and machines analyzed in this program. The values may vary based on part size and design features</t>
    </r>
  </si>
  <si>
    <r>
      <rPr>
        <b/>
        <sz val="11"/>
        <color theme="1"/>
        <rFont val="Calibri"/>
        <family val="2"/>
        <scheme val="minor"/>
      </rPr>
      <t>High volume</t>
    </r>
    <r>
      <rPr>
        <sz val="11"/>
        <color theme="1"/>
        <rFont val="Calibri"/>
        <family val="2"/>
        <scheme val="minor"/>
      </rPr>
      <t xml:space="preserve"> = production volume of &gt; 30,000 /yr; </t>
    </r>
    <r>
      <rPr>
        <b/>
        <sz val="11"/>
        <color theme="1"/>
        <rFont val="Calibri"/>
        <family val="2"/>
        <scheme val="minor"/>
      </rPr>
      <t>Low volume</t>
    </r>
    <r>
      <rPr>
        <sz val="11"/>
        <color theme="1"/>
        <rFont val="Calibri"/>
        <family val="2"/>
        <scheme val="minor"/>
      </rPr>
      <t xml:space="preserve"> = production volume of &lt; 30,000/yr</t>
    </r>
  </si>
  <si>
    <r>
      <t xml:space="preserve">Time lost in </t>
    </r>
    <r>
      <rPr>
        <b/>
        <sz val="11"/>
        <color theme="1"/>
        <rFont val="Calibri"/>
        <family val="2"/>
        <scheme val="minor"/>
      </rPr>
      <t>tooling changeover</t>
    </r>
    <r>
      <rPr>
        <sz val="11"/>
        <color theme="1"/>
        <rFont val="Calibri"/>
        <family val="2"/>
        <scheme val="minor"/>
      </rPr>
      <t xml:space="preserve"> is applicable for low volume (&lt;30,000/yr) only.</t>
    </r>
  </si>
  <si>
    <t>Cold Stamping</t>
  </si>
  <si>
    <t>Burdened Process Rate ($/hr)</t>
  </si>
  <si>
    <t>Process Time (sec/hit)</t>
  </si>
  <si>
    <t>Tooling Changeover Time (hrs)     (&lt;30,000 volume)</t>
  </si>
  <si>
    <t>Burdened Process Rate Includes 1 direct manpower @ $45/hr</t>
  </si>
  <si>
    <t>Hot Stamping</t>
  </si>
  <si>
    <t>Burdened Process Rate includes 1 direct manpower @ $45/hr</t>
  </si>
  <si>
    <t>Extrusion</t>
  </si>
  <si>
    <t>High Volume</t>
  </si>
  <si>
    <t>Low Volume</t>
  </si>
  <si>
    <t>Burdened Process Rate includes 1 direct manpower</t>
  </si>
  <si>
    <t>8 parts per hit</t>
  </si>
  <si>
    <t>10,000/yr volume</t>
  </si>
  <si>
    <t>4 parts per hit</t>
  </si>
  <si>
    <t>1,000/yr volume</t>
  </si>
  <si>
    <t>1 part per hit</t>
  </si>
  <si>
    <t>Machining</t>
  </si>
  <si>
    <t>Door Hinges</t>
  </si>
  <si>
    <t>400 (16 parts/hit)</t>
  </si>
  <si>
    <t>50 (1 part/hit)</t>
  </si>
  <si>
    <t>Injection Molding</t>
  </si>
  <si>
    <t>3000 (High Volume)</t>
  </si>
  <si>
    <t>Process Rate includes 0.5 direct labor and a robot for parts handling</t>
  </si>
  <si>
    <t>3000 (Low Volume)</t>
  </si>
  <si>
    <t>Process rate includes 1 direct labor and no automation for parts handling</t>
  </si>
  <si>
    <t>1500 (High Volume)</t>
  </si>
  <si>
    <t>1500 (Low Volume)</t>
  </si>
  <si>
    <t>800 (High Volume)</t>
  </si>
  <si>
    <t>800 (Low Volume)</t>
  </si>
  <si>
    <t>500 (High Volume)</t>
  </si>
  <si>
    <t>30 - 36</t>
  </si>
  <si>
    <t>500 (Low Volume)</t>
  </si>
  <si>
    <t>200 (High Volume)</t>
  </si>
  <si>
    <t>200 (Low Volume)</t>
  </si>
  <si>
    <t>60 (High Volume)</t>
  </si>
  <si>
    <t>60 (Low Volume)</t>
  </si>
  <si>
    <t>10 (High Volume)</t>
  </si>
  <si>
    <t>10 (Low Volume)</t>
  </si>
  <si>
    <t>Blow Molding</t>
  </si>
  <si>
    <t>Low complexity ducts (High Volume)</t>
  </si>
  <si>
    <t>Low complexity ducts (Low Volume)</t>
  </si>
  <si>
    <t>High complexity ducts (High Volume)</t>
  </si>
  <si>
    <t>High complexity ducts (Low Volume)</t>
  </si>
  <si>
    <t>300 parts per rack</t>
  </si>
  <si>
    <t>19 pcs /hit  for Insert skin; 60 pcs/hit for armrest skin; 48 pcs/hit for door foams</t>
  </si>
  <si>
    <t>55 parts per rack</t>
  </si>
  <si>
    <t xml:space="preserve">CFRP Preforming and Ultrasonic Cutting </t>
  </si>
  <si>
    <t>includes robots for part transfer and 1 direct labor for operation of whole process line</t>
  </si>
  <si>
    <t>includes robots for part transfer and 0.1 direct labor for operation of whole process line</t>
  </si>
  <si>
    <t>No direct labor required. Process time depends on cutting length</t>
  </si>
  <si>
    <t>Process</t>
  </si>
  <si>
    <t>50 -200 ton press</t>
  </si>
  <si>
    <t>200-600 ton press</t>
  </si>
  <si>
    <t>600 - 1000 ton press</t>
  </si>
  <si>
    <t>1000 - 1500 ton press</t>
  </si>
  <si>
    <t>1500 - 2000 ton press</t>
  </si>
  <si>
    <t>2000 - 2500 ton press</t>
  </si>
  <si>
    <t>2 secs/meter</t>
  </si>
  <si>
    <t>High Pressure Die Casting</t>
  </si>
  <si>
    <t>2500 ton press</t>
  </si>
  <si>
    <t>Burdened Process Rate includes die casting press, trimming, washing and inspection stations and 3.2 direct manpower @ $45/hr</t>
  </si>
  <si>
    <t>Clutch Housing - Low Volume</t>
  </si>
  <si>
    <t>642 secs/pc</t>
  </si>
  <si>
    <t>Automated Sand Casting</t>
  </si>
  <si>
    <t>Clutch Housing - High Volume</t>
  </si>
  <si>
    <t>250 secs/pc</t>
  </si>
  <si>
    <t>Differential Carrier</t>
  </si>
  <si>
    <t>Manual Sand Casting</t>
  </si>
  <si>
    <t>Door Hinges - High Volume</t>
  </si>
  <si>
    <t>Door Hinges - 10,000/yr volume</t>
  </si>
  <si>
    <t>Door Hinges - 1,000/yr volume</t>
  </si>
  <si>
    <t>Rubber Molding</t>
  </si>
  <si>
    <t>Engine Mount</t>
  </si>
  <si>
    <t>Manufacturing Process</t>
  </si>
  <si>
    <t>2400 secs/rack</t>
  </si>
  <si>
    <t>Headlight Reflectors</t>
  </si>
  <si>
    <t>Aluminum Vapor Deposition</t>
  </si>
  <si>
    <t>Insert/Armrest Skin and Door Foams</t>
  </si>
  <si>
    <t>Die Cutting</t>
  </si>
  <si>
    <t>Painting (non-class A)</t>
  </si>
  <si>
    <t>840 secs/rack</t>
  </si>
  <si>
    <t>CFRP RTM and Sand Blasting</t>
  </si>
  <si>
    <t>i3 floor</t>
  </si>
  <si>
    <t>39.4 secs/meter</t>
  </si>
  <si>
    <t>Water Jet Cutting</t>
  </si>
  <si>
    <t>Burdened Process Rate includes 0.38 direct manpower</t>
  </si>
  <si>
    <t>User Input</t>
  </si>
  <si>
    <t>Operational Assumptions</t>
  </si>
  <si>
    <t>Raw Material Quantity (% of part weight)</t>
  </si>
  <si>
    <t>Stamped Parts</t>
  </si>
  <si>
    <t>Die Castings</t>
  </si>
  <si>
    <t>Carbon Fiber Panels</t>
  </si>
  <si>
    <t>Injection/Blow molded plastic/rubber parts</t>
  </si>
  <si>
    <t>Scrap Salvage Quantity (% of excess raw material)</t>
  </si>
  <si>
    <t xml:space="preserve">Markup (includes profit, SG&amp;A, packaging, process development costs and coverage of rejects)
</t>
  </si>
  <si>
    <t>Utility Rates</t>
  </si>
  <si>
    <t>Material Rates</t>
  </si>
  <si>
    <t>Steel (&gt; 1000 Mpa)</t>
  </si>
  <si>
    <t>Natural Rubber</t>
  </si>
  <si>
    <t>Polypropylene, 20% Talc Filled</t>
  </si>
  <si>
    <t>Polypropylene, 30% Talc Filled</t>
  </si>
  <si>
    <t>Polypropylene, 40% Talc Filled</t>
  </si>
  <si>
    <t>PBT</t>
  </si>
  <si>
    <t>PET</t>
  </si>
  <si>
    <t>PE</t>
  </si>
  <si>
    <t>POM</t>
  </si>
  <si>
    <t>Polycarbonate</t>
  </si>
  <si>
    <t>PMMA</t>
  </si>
  <si>
    <t>PPS</t>
  </si>
  <si>
    <t>UP (MD60+GF20)</t>
  </si>
  <si>
    <t>PA66-GF30</t>
  </si>
  <si>
    <t>RTM resin</t>
  </si>
  <si>
    <t>CFRP Fabric</t>
  </si>
  <si>
    <t>Shipping</t>
  </si>
  <si>
    <t>Distance</t>
  </si>
  <si>
    <t>miles</t>
  </si>
  <si>
    <t>Freight Rate</t>
  </si>
  <si>
    <t>$/mile</t>
  </si>
  <si>
    <t>Available Payload</t>
  </si>
  <si>
    <t>kg</t>
  </si>
  <si>
    <t>Available Volume</t>
  </si>
  <si>
    <t>cu.m</t>
  </si>
  <si>
    <t>Shipping cost ($/kg)</t>
  </si>
  <si>
    <t>Assembly Equipment Cost</t>
  </si>
  <si>
    <t>Spot Weld Gun</t>
  </si>
  <si>
    <t>Adhesive Gun</t>
  </si>
  <si>
    <t>Hemming Press</t>
  </si>
  <si>
    <t>Stationary Welder</t>
  </si>
  <si>
    <t>Author: Piyush Bubna, Ricardo Strategic Consulting</t>
  </si>
  <si>
    <t>Name</t>
  </si>
  <si>
    <t>Description</t>
  </si>
  <si>
    <t>Production Cost</t>
  </si>
  <si>
    <t>Process and Calculations</t>
  </si>
  <si>
    <t>Scrap Reclaim Price (% of raw material cost)</t>
  </si>
  <si>
    <t>Annual plant operating  hours</t>
  </si>
  <si>
    <t>Tooling Life (number of hits)</t>
  </si>
  <si>
    <t>Large</t>
  </si>
  <si>
    <t>Small</t>
  </si>
  <si>
    <t>Medium</t>
  </si>
  <si>
    <t>Stamping</t>
  </si>
  <si>
    <t>Part Size</t>
  </si>
  <si>
    <t>Example</t>
  </si>
  <si>
    <t>Floor pan, B-pillar frame</t>
  </si>
  <si>
    <t>Hinges, Supports</t>
  </si>
  <si>
    <t>B-pillar or Floor Reinforcements</t>
  </si>
  <si>
    <t>All sizes</t>
  </si>
  <si>
    <t>BMW i3 door extrusions</t>
  </si>
  <si>
    <t>$1000 - $5000</t>
  </si>
  <si>
    <t>Clutch Housing</t>
  </si>
  <si>
    <t>Transmission Clutch Housing</t>
  </si>
  <si>
    <t>Transmission Side Housing</t>
  </si>
  <si>
    <t>Rubber Mold</t>
  </si>
  <si>
    <t>Medium (High Volume)</t>
  </si>
  <si>
    <t>Small (High volume)</t>
  </si>
  <si>
    <t>Small (Low Volume)</t>
  </si>
  <si>
    <t>Medium (Low Volume)</t>
  </si>
  <si>
    <t>$ 0.5 - 1 MM</t>
  </si>
  <si>
    <t>Corolla door trim main panel; i3 door skin &amp; housing</t>
  </si>
  <si>
    <t>$50,000 - $100,000</t>
  </si>
  <si>
    <t>HVAC intake flaps, door trim inserts</t>
  </si>
  <si>
    <t>HVAC covers, headlight main housing</t>
  </si>
  <si>
    <t>Complex HVAC driver and passenger side ducts</t>
  </si>
  <si>
    <t>$25,000 - $50,000</t>
  </si>
  <si>
    <t>Rest of HVAC Ducts</t>
  </si>
  <si>
    <t>Any size</t>
  </si>
  <si>
    <t>Negligible</t>
  </si>
  <si>
    <t>Door Trim Insert and Armrest skin</t>
  </si>
  <si>
    <t>Painting (non class - A)</t>
  </si>
  <si>
    <t>Door Trim cover and frame</t>
  </si>
  <si>
    <t>Carbon Fiber Preforming</t>
  </si>
  <si>
    <t>BMW i3 door floor and rear panel</t>
  </si>
  <si>
    <t>Resin Transfer Molding</t>
  </si>
  <si>
    <t>Robot end effectors (part specific)</t>
  </si>
  <si>
    <t>Headlight</t>
  </si>
  <si>
    <t>N/A</t>
  </si>
  <si>
    <t>Small - Medium</t>
  </si>
  <si>
    <t>$5000 - $10000</t>
  </si>
  <si>
    <t>Tooling cost based on part size (includes dies, fixtures, check fixtures)</t>
  </si>
  <si>
    <t>Front Differential, Hinges</t>
  </si>
  <si>
    <t>Tooling Life         (# of hits)</t>
  </si>
  <si>
    <t>Tooling Cost      (USD)</t>
  </si>
  <si>
    <r>
      <rPr>
        <b/>
        <sz val="11"/>
        <color theme="1"/>
        <rFont val="Calibri"/>
        <family val="2"/>
        <scheme val="minor"/>
      </rPr>
      <t>Note:</t>
    </r>
    <r>
      <rPr>
        <sz val="11"/>
        <color theme="1"/>
        <rFont val="Calibri"/>
        <family val="2"/>
        <scheme val="minor"/>
      </rPr>
      <t xml:space="preserve"> Tooling costs for different processes in this table do not include cost of part specific robot end effectors. Cost of end effectors is included in analysis 10 key components of Toyota Corolla and A8/i3 where applicable</t>
    </r>
  </si>
  <si>
    <t>Floor Assembly</t>
  </si>
  <si>
    <t>B-pillar Assembly</t>
  </si>
  <si>
    <t>Welding Turntable Tooling per station</t>
  </si>
  <si>
    <t>Engine Mount Framework</t>
  </si>
  <si>
    <t>Assembly Check Fixture</t>
  </si>
  <si>
    <t>Energy Consumption</t>
  </si>
  <si>
    <t>Spot Welding</t>
  </si>
  <si>
    <t>MIG Welding</t>
  </si>
  <si>
    <t>4.5 kW (rating)</t>
  </si>
  <si>
    <t xml:space="preserve">Adhesive Application </t>
  </si>
  <si>
    <t>30 kW (rating)</t>
  </si>
  <si>
    <t>Consumables</t>
  </si>
  <si>
    <t>Adhesive</t>
  </si>
  <si>
    <t>$ 0.28/meter</t>
  </si>
  <si>
    <t>Inert Gas</t>
  </si>
  <si>
    <t>MIG wire</t>
  </si>
  <si>
    <t>Welding Speed</t>
  </si>
  <si>
    <t>2 - 3 secs/weld</t>
  </si>
  <si>
    <t>MIG welding</t>
  </si>
  <si>
    <t>1 inch/sec</t>
  </si>
  <si>
    <t>$ 3.60/hr</t>
  </si>
  <si>
    <t>$ 0.03/ft</t>
  </si>
  <si>
    <t>Laser Welding</t>
  </si>
  <si>
    <t>115 kW (rating)</t>
  </si>
  <si>
    <t>0.002 kWh/weld</t>
  </si>
  <si>
    <t>Total Capital Cost for  5 yrs (Million $)</t>
  </si>
  <si>
    <t>PET Sheet (0.1 mm thick)</t>
  </si>
  <si>
    <t>ABS</t>
  </si>
  <si>
    <t>PUR Foam (2mm thick)</t>
  </si>
  <si>
    <t>Recycled Fiber (for acoustic)</t>
  </si>
  <si>
    <t>Closed Cell Foam</t>
  </si>
  <si>
    <t>Primer Paint</t>
  </si>
  <si>
    <t>Chrome Paint</t>
  </si>
  <si>
    <t>Clear Coat</t>
  </si>
  <si>
    <t>$/sq.m</t>
  </si>
  <si>
    <t>$/gal</t>
  </si>
  <si>
    <t>Door Trim Main Panel Cost Model</t>
  </si>
  <si>
    <t>Door Trim Main Panel</t>
  </si>
  <si>
    <t>PP-TD30</t>
  </si>
  <si>
    <t>3000 ton press</t>
  </si>
  <si>
    <t>Tooling</t>
  </si>
  <si>
    <t>Robot Arm</t>
  </si>
  <si>
    <t>Process Time (sec)</t>
  </si>
  <si>
    <t>Tonnage (Volume)</t>
  </si>
  <si>
    <t>recommendations available in "Common Assumptions"</t>
  </si>
  <si>
    <t>Material Rate ($/kg)</t>
  </si>
  <si>
    <t>% of scrap that can be salvaged</t>
  </si>
  <si>
    <t>Scrap reclaim price ($/kg)</t>
  </si>
  <si>
    <t>Generally 10% of material rate;  Aluminum is salvaged at original price</t>
  </si>
  <si>
    <t>Process rate and process time available in "Process Data" or can be calculated in "Process Rate Calculator" Sheet</t>
  </si>
  <si>
    <t>Process Time (secs)</t>
  </si>
  <si>
    <t>Directional tooling price and life available in "Tooling Data" sheet</t>
  </si>
  <si>
    <t>Casting</t>
  </si>
  <si>
    <t>Available in "Process Data" sheet</t>
  </si>
  <si>
    <t># of batches for annual volume production</t>
  </si>
  <si>
    <t>Only for use by ARPA-E staff and work on ARPA-E awards</t>
  </si>
  <si>
    <t>Shipping cost not included in this template</t>
  </si>
  <si>
    <t>This model calculates cost of forming and assembling of components. The file consists of a cost model template and supporting database in different spreadsheets. The model is provided as is. In case of any questions or difficulties with using the model please contact the author.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</si>
</sst>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0_);[Red]\(&quot;$&quot;#,##0\)"/>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_-* #,##0.00_-;\-* #,##0.00_-;_-* &quot;-&quot;??_-;_-@_-"/>
    <numFmt numFmtId="167" formatCode="0.0"/>
    <numFmt numFmtId="168" formatCode="0.0%"/>
  </numFmts>
  <fonts count="25"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b/>
      <sz val="8"/>
      <color theme="1"/>
      <name val="Arial"/>
      <family val="2"/>
    </font>
    <font>
      <sz val="8"/>
      <color theme="1"/>
      <name val="Arial"/>
      <family val="2"/>
    </font>
    <font>
      <i/>
      <sz val="8"/>
      <color theme="1"/>
      <name val="Arial"/>
      <family val="2"/>
    </font>
    <font>
      <sz val="10"/>
      <name val="Arial"/>
    </font>
    <font>
      <sz val="18"/>
      <color theme="1"/>
      <name val="Calibri"/>
      <family val="2"/>
      <scheme val="minor"/>
    </font>
    <font>
      <sz val="11"/>
      <name val="Calibri"/>
      <family val="2"/>
    </font>
    <font>
      <sz val="11"/>
      <color rgb="FF1F497D"/>
      <name val="Calibri"/>
      <family val="2"/>
    </font>
    <font>
      <b/>
      <sz val="11"/>
      <color theme="0"/>
      <name val="Calibri"/>
      <family val="2"/>
      <scheme val="minor"/>
    </font>
    <font>
      <b/>
      <sz val="10"/>
      <color rgb="FFFFFFFF"/>
      <name val="Calibri"/>
      <family val="2"/>
    </font>
    <font>
      <sz val="9"/>
      <color rgb="FF000000"/>
      <name val="Calibri"/>
      <family val="2"/>
    </font>
    <font>
      <sz val="10"/>
      <color rgb="FF000000"/>
      <name val="Calibri"/>
      <family val="2"/>
    </font>
    <font>
      <b/>
      <sz val="10"/>
      <color rgb="FF000000"/>
      <name val="Calibri"/>
      <family val="2"/>
    </font>
    <font>
      <sz val="18"/>
      <name val="Arial"/>
      <family val="2"/>
    </font>
    <font>
      <i/>
      <sz val="8"/>
      <color rgb="FF000000"/>
      <name val="Calibri"/>
      <family val="2"/>
    </font>
    <font>
      <i/>
      <sz val="9"/>
      <color rgb="FF000000"/>
      <name val="Calibri"/>
      <family val="2"/>
    </font>
    <font>
      <b/>
      <sz val="8"/>
      <color theme="0"/>
      <name val="Arial"/>
      <family val="2"/>
    </font>
    <font>
      <sz val="8"/>
      <color theme="0"/>
      <name val="Arial"/>
      <family val="2"/>
    </font>
    <font>
      <sz val="12"/>
      <name val="Calibri"/>
      <family val="2"/>
    </font>
    <font>
      <b/>
      <sz val="14"/>
      <color theme="0"/>
      <name val="Arial"/>
      <family val="2"/>
    </font>
    <font>
      <b/>
      <sz val="12"/>
      <color rgb="FFFF0000"/>
      <name val="Calibri"/>
      <family val="2"/>
      <scheme val="minor"/>
    </font>
    <font>
      <sz val="12"/>
      <color theme="1"/>
      <name val="Calibri"/>
      <family val="2"/>
      <scheme val="minor"/>
    </font>
  </fonts>
  <fills count="28">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rgb="FF66FF99"/>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rgb="FF0070C0"/>
        <bgColor indexed="64"/>
      </patternFill>
    </fill>
    <fill>
      <patternFill patternType="solid">
        <fgColor rgb="FFD9D9D9"/>
        <bgColor indexed="64"/>
      </patternFill>
    </fill>
    <fill>
      <patternFill patternType="solid">
        <fgColor rgb="FFBEE4FF"/>
        <bgColor indexed="64"/>
      </patternFill>
    </fill>
    <fill>
      <patternFill patternType="solid">
        <fgColor rgb="FF00FFFF"/>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rgb="FF00FFCC"/>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00B0F0"/>
        <bgColor indexed="64"/>
      </patternFill>
    </fill>
    <fill>
      <patternFill patternType="solid">
        <fgColor rgb="FF92D05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theme="4"/>
      </left>
      <right/>
      <top style="medium">
        <color theme="4"/>
      </top>
      <bottom/>
      <diagonal/>
    </border>
    <border>
      <left/>
      <right/>
      <top style="medium">
        <color theme="4"/>
      </top>
      <bottom/>
      <diagonal/>
    </border>
    <border>
      <left/>
      <right/>
      <top style="medium">
        <color theme="4"/>
      </top>
      <bottom style="medium">
        <color theme="4"/>
      </bottom>
      <diagonal/>
    </border>
    <border>
      <left/>
      <right style="medium">
        <color theme="4"/>
      </right>
      <top style="medium">
        <color theme="4"/>
      </top>
      <bottom/>
      <diagonal/>
    </border>
    <border>
      <left style="medium">
        <color theme="4"/>
      </left>
      <right/>
      <top/>
      <bottom/>
      <diagonal/>
    </border>
    <border>
      <left/>
      <right style="medium">
        <color theme="4"/>
      </right>
      <top/>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7">
    <xf numFmtId="0" fontId="0" fillId="0" borderId="0"/>
    <xf numFmtId="43" fontId="2" fillId="0" borderId="0" applyFont="0" applyFill="0" applyBorder="0" applyAlignment="0" applyProtection="0"/>
    <xf numFmtId="44" fontId="2" fillId="0" borderId="0" applyFont="0" applyFill="0" applyBorder="0" applyAlignment="0" applyProtection="0"/>
    <xf numFmtId="0" fontId="3" fillId="0" borderId="0"/>
    <xf numFmtId="166" fontId="3" fillId="0" borderId="0" applyFont="0" applyFill="0" applyBorder="0" applyAlignment="0" applyProtection="0"/>
    <xf numFmtId="9" fontId="2" fillId="0" borderId="0" applyFont="0" applyFill="0" applyBorder="0" applyAlignment="0" applyProtection="0"/>
    <xf numFmtId="0" fontId="7" fillId="0" borderId="0"/>
  </cellStyleXfs>
  <cellXfs count="201">
    <xf numFmtId="0" fontId="0" fillId="0" borderId="0" xfId="0"/>
    <xf numFmtId="0" fontId="0" fillId="3" borderId="0" xfId="0" applyFill="1"/>
    <xf numFmtId="0" fontId="0" fillId="3" borderId="0" xfId="0" applyFill="1" applyBorder="1"/>
    <xf numFmtId="0" fontId="0" fillId="3" borderId="1" xfId="0" applyFill="1" applyBorder="1" applyAlignment="1">
      <alignment horizontal="center"/>
    </xf>
    <xf numFmtId="0" fontId="0" fillId="3" borderId="1" xfId="0" applyFill="1" applyBorder="1"/>
    <xf numFmtId="0" fontId="5" fillId="3" borderId="5" xfId="0" applyFont="1" applyFill="1" applyBorder="1" applyAlignment="1">
      <alignment horizontal="center" vertical="center"/>
    </xf>
    <xf numFmtId="0" fontId="5" fillId="3" borderId="0" xfId="0" applyFont="1" applyFill="1"/>
    <xf numFmtId="0" fontId="4" fillId="3" borderId="8" xfId="0" applyFont="1" applyFill="1" applyBorder="1" applyAlignment="1">
      <alignment horizontal="center"/>
    </xf>
    <xf numFmtId="0" fontId="5" fillId="3" borderId="4" xfId="0" applyFont="1" applyFill="1" applyBorder="1"/>
    <xf numFmtId="0" fontId="5" fillId="3" borderId="5" xfId="0" applyFont="1" applyFill="1" applyBorder="1"/>
    <xf numFmtId="0" fontId="5" fillId="3" borderId="8" xfId="0" applyFont="1" applyFill="1" applyBorder="1" applyAlignment="1">
      <alignment horizontal="center" wrapText="1"/>
    </xf>
    <xf numFmtId="0" fontId="5" fillId="3" borderId="8" xfId="0" applyFont="1" applyFill="1" applyBorder="1"/>
    <xf numFmtId="167" fontId="5" fillId="3" borderId="8" xfId="0" applyNumberFormat="1" applyFont="1" applyFill="1" applyBorder="1"/>
    <xf numFmtId="1" fontId="5" fillId="3" borderId="8" xfId="0" applyNumberFormat="1" applyFont="1" applyFill="1" applyBorder="1"/>
    <xf numFmtId="164" fontId="5" fillId="3" borderId="5" xfId="1" applyNumberFormat="1" applyFont="1" applyFill="1" applyBorder="1"/>
    <xf numFmtId="0" fontId="5" fillId="3" borderId="8" xfId="0" applyFont="1" applyFill="1" applyBorder="1" applyAlignment="1">
      <alignment horizontal="left"/>
    </xf>
    <xf numFmtId="0" fontId="5" fillId="2" borderId="1" xfId="0" applyFont="1" applyFill="1" applyBorder="1" applyAlignment="1">
      <alignment horizontal="center" vertical="center" wrapText="1"/>
    </xf>
    <xf numFmtId="0" fontId="5" fillId="3" borderId="9" xfId="0" applyFont="1" applyFill="1" applyBorder="1"/>
    <xf numFmtId="0" fontId="5" fillId="3" borderId="6" xfId="0" applyFont="1" applyFill="1" applyBorder="1"/>
    <xf numFmtId="0" fontId="5" fillId="3" borderId="7" xfId="0" applyFont="1" applyFill="1" applyBorder="1"/>
    <xf numFmtId="164" fontId="5" fillId="3" borderId="7" xfId="1" applyNumberFormat="1" applyFont="1" applyFill="1" applyBorder="1"/>
    <xf numFmtId="0" fontId="5" fillId="3" borderId="9" xfId="0" applyFont="1" applyFill="1" applyBorder="1" applyAlignment="1">
      <alignment horizontal="left"/>
    </xf>
    <xf numFmtId="0" fontId="4" fillId="3" borderId="8" xfId="0" applyFont="1" applyFill="1" applyBorder="1" applyAlignment="1">
      <alignment horizontal="center" vertical="center"/>
    </xf>
    <xf numFmtId="2" fontId="5" fillId="3" borderId="0" xfId="0" applyNumberFormat="1" applyFont="1" applyFill="1"/>
    <xf numFmtId="2" fontId="5" fillId="3" borderId="0" xfId="2" applyNumberFormat="1" applyFont="1" applyFill="1"/>
    <xf numFmtId="2" fontId="6" fillId="3" borderId="8" xfId="0" applyNumberFormat="1" applyFont="1" applyFill="1" applyBorder="1" applyAlignment="1">
      <alignment horizontal="center" vertical="center"/>
    </xf>
    <xf numFmtId="15" fontId="0" fillId="3" borderId="0" xfId="0" applyNumberFormat="1" applyFill="1"/>
    <xf numFmtId="0" fontId="0" fillId="8" borderId="17" xfId="0" applyFill="1" applyBorder="1"/>
    <xf numFmtId="0" fontId="0" fillId="8" borderId="18" xfId="0" applyFill="1" applyBorder="1"/>
    <xf numFmtId="0" fontId="0" fillId="8" borderId="20" xfId="0" applyFill="1" applyBorder="1"/>
    <xf numFmtId="0" fontId="0" fillId="8" borderId="21" xfId="0" applyFill="1" applyBorder="1"/>
    <xf numFmtId="0" fontId="0" fillId="3" borderId="17" xfId="0" applyFill="1" applyBorder="1" applyAlignment="1">
      <alignment horizontal="left"/>
    </xf>
    <xf numFmtId="0" fontId="0" fillId="3" borderId="18" xfId="0" applyFill="1" applyBorder="1"/>
    <xf numFmtId="0" fontId="0" fillId="3" borderId="20" xfId="0" applyFill="1" applyBorder="1"/>
    <xf numFmtId="0" fontId="0" fillId="8" borderId="22" xfId="0" applyFill="1" applyBorder="1"/>
    <xf numFmtId="0" fontId="9" fillId="3" borderId="21" xfId="0" applyFont="1" applyFill="1" applyBorder="1" applyAlignment="1">
      <alignment horizontal="left"/>
    </xf>
    <xf numFmtId="0" fontId="0" fillId="3" borderId="22" xfId="0" applyFill="1" applyBorder="1"/>
    <xf numFmtId="0" fontId="10" fillId="0" borderId="23" xfId="0" applyFont="1" applyBorder="1"/>
    <xf numFmtId="0" fontId="0" fillId="3" borderId="24" xfId="0" applyFill="1" applyBorder="1"/>
    <xf numFmtId="0" fontId="0" fillId="3" borderId="25" xfId="0" applyFill="1" applyBorder="1"/>
    <xf numFmtId="0" fontId="0" fillId="8" borderId="23" xfId="0" applyFill="1" applyBorder="1"/>
    <xf numFmtId="0" fontId="0" fillId="8" borderId="24" xfId="0" applyFill="1" applyBorder="1"/>
    <xf numFmtId="0" fontId="0" fillId="8" borderId="25" xfId="0" applyFill="1" applyBorder="1"/>
    <xf numFmtId="2" fontId="4" fillId="7" borderId="5" xfId="0" applyNumberFormat="1" applyFont="1" applyFill="1" applyBorder="1" applyAlignment="1">
      <alignment horizontal="center" vertical="center"/>
    </xf>
    <xf numFmtId="2" fontId="6" fillId="7" borderId="5" xfId="0" applyNumberFormat="1" applyFont="1" applyFill="1" applyBorder="1" applyAlignment="1">
      <alignment horizontal="center" vertical="center"/>
    </xf>
    <xf numFmtId="2" fontId="6" fillId="7" borderId="8" xfId="0" applyNumberFormat="1" applyFont="1" applyFill="1" applyBorder="1" applyAlignment="1">
      <alignment horizontal="center" vertical="center"/>
    </xf>
    <xf numFmtId="0" fontId="5" fillId="5" borderId="8" xfId="0" applyFont="1" applyFill="1" applyBorder="1"/>
    <xf numFmtId="0" fontId="5" fillId="5" borderId="4" xfId="0" applyFont="1" applyFill="1" applyBorder="1"/>
    <xf numFmtId="0" fontId="5" fillId="5" borderId="8" xfId="0" applyFont="1" applyFill="1" applyBorder="1" applyAlignment="1">
      <alignment horizontal="left"/>
    </xf>
    <xf numFmtId="165" fontId="5" fillId="5" borderId="8" xfId="2" applyNumberFormat="1" applyFont="1" applyFill="1" applyBorder="1"/>
    <xf numFmtId="165" fontId="5" fillId="5" borderId="4" xfId="2" applyNumberFormat="1" applyFont="1" applyFill="1" applyBorder="1"/>
    <xf numFmtId="167" fontId="5" fillId="5" borderId="8" xfId="0" applyNumberFormat="1" applyFont="1" applyFill="1" applyBorder="1"/>
    <xf numFmtId="0" fontId="5" fillId="5" borderId="9" xfId="0" applyFont="1" applyFill="1" applyBorder="1" applyAlignment="1">
      <alignment horizontal="left"/>
    </xf>
    <xf numFmtId="165" fontId="5" fillId="5" borderId="9" xfId="2" applyNumberFormat="1" applyFont="1" applyFill="1" applyBorder="1"/>
    <xf numFmtId="0" fontId="5" fillId="4" borderId="8" xfId="0" applyFont="1" applyFill="1" applyBorder="1"/>
    <xf numFmtId="0" fontId="5" fillId="4" borderId="8" xfId="0" applyFont="1" applyFill="1" applyBorder="1" applyAlignment="1">
      <alignment horizontal="left"/>
    </xf>
    <xf numFmtId="0" fontId="5" fillId="4" borderId="4" xfId="0" applyFont="1" applyFill="1" applyBorder="1"/>
    <xf numFmtId="0" fontId="5" fillId="4" borderId="9" xfId="0" applyFont="1" applyFill="1" applyBorder="1" applyAlignment="1">
      <alignment horizontal="left"/>
    </xf>
    <xf numFmtId="0" fontId="5" fillId="4" borderId="8" xfId="0" applyFont="1" applyFill="1" applyBorder="1" applyAlignment="1">
      <alignment horizontal="center"/>
    </xf>
    <xf numFmtId="165" fontId="5" fillId="4" borderId="8" xfId="0" applyNumberFormat="1" applyFont="1" applyFill="1" applyBorder="1"/>
    <xf numFmtId="44" fontId="5" fillId="4" borderId="8" xfId="0" applyNumberFormat="1" applyFont="1" applyFill="1" applyBorder="1"/>
    <xf numFmtId="167" fontId="5" fillId="4" borderId="8" xfId="0" applyNumberFormat="1" applyFont="1" applyFill="1" applyBorder="1"/>
    <xf numFmtId="44" fontId="5" fillId="4" borderId="8" xfId="2" applyFont="1" applyFill="1" applyBorder="1"/>
    <xf numFmtId="2" fontId="5" fillId="4" borderId="8" xfId="2" applyNumberFormat="1" applyFont="1" applyFill="1" applyBorder="1"/>
    <xf numFmtId="167" fontId="5" fillId="4" borderId="8" xfId="0" applyNumberFormat="1" applyFont="1" applyFill="1" applyBorder="1" applyAlignment="1">
      <alignment horizontal="right" vertical="center"/>
    </xf>
    <xf numFmtId="1" fontId="5" fillId="4" borderId="8" xfId="0" applyNumberFormat="1" applyFont="1" applyFill="1" applyBorder="1" applyAlignment="1">
      <alignment horizontal="right" vertical="center"/>
    </xf>
    <xf numFmtId="44" fontId="5" fillId="4" borderId="9" xfId="2" applyFont="1" applyFill="1" applyBorder="1"/>
    <xf numFmtId="0" fontId="12" fillId="10" borderId="27" xfId="0" applyFont="1" applyFill="1" applyBorder="1" applyAlignment="1">
      <alignment vertical="center" wrapText="1" readingOrder="1"/>
    </xf>
    <xf numFmtId="0" fontId="12" fillId="10" borderId="28" xfId="0" applyFont="1" applyFill="1" applyBorder="1" applyAlignment="1">
      <alignment horizontal="center" vertical="center" wrapText="1" readingOrder="1"/>
    </xf>
    <xf numFmtId="0" fontId="13" fillId="0" borderId="29" xfId="0" applyFont="1" applyBorder="1" applyAlignment="1">
      <alignment horizontal="left" vertical="center" wrapText="1" readingOrder="1"/>
    </xf>
    <xf numFmtId="0" fontId="14" fillId="0" borderId="0" xfId="0" applyFont="1" applyAlignment="1">
      <alignment horizontal="left" vertical="center" wrapText="1" readingOrder="1"/>
    </xf>
    <xf numFmtId="6" fontId="15" fillId="5" borderId="0" xfId="0" applyNumberFormat="1" applyFont="1" applyFill="1" applyAlignment="1">
      <alignment horizontal="right" vertical="center" wrapText="1" readingOrder="1"/>
    </xf>
    <xf numFmtId="9" fontId="14" fillId="11" borderId="0" xfId="0" applyNumberFormat="1" applyFont="1" applyFill="1" applyAlignment="1">
      <alignment horizontal="right" vertical="center" wrapText="1" readingOrder="1"/>
    </xf>
    <xf numFmtId="0" fontId="13" fillId="12" borderId="31" xfId="0" applyFont="1" applyFill="1" applyBorder="1" applyAlignment="1">
      <alignment horizontal="left" vertical="center" wrapText="1" readingOrder="1"/>
    </xf>
    <xf numFmtId="0" fontId="14" fillId="12" borderId="32" xfId="0" applyFont="1" applyFill="1" applyBorder="1" applyAlignment="1">
      <alignment horizontal="left" vertical="center" wrapText="1" readingOrder="1"/>
    </xf>
    <xf numFmtId="6" fontId="14" fillId="12" borderId="32" xfId="0" applyNumberFormat="1" applyFont="1" applyFill="1" applyBorder="1" applyAlignment="1">
      <alignment horizontal="right" vertical="center" wrapText="1" readingOrder="1"/>
    </xf>
    <xf numFmtId="0" fontId="14" fillId="0" borderId="0" xfId="0" applyFont="1" applyBorder="1" applyAlignment="1">
      <alignment horizontal="left" vertical="center" wrapText="1" readingOrder="1"/>
    </xf>
    <xf numFmtId="9" fontId="14" fillId="11" borderId="0" xfId="0" applyNumberFormat="1" applyFont="1" applyFill="1" applyBorder="1" applyAlignment="1">
      <alignment horizontal="right" vertical="center" wrapText="1" readingOrder="1"/>
    </xf>
    <xf numFmtId="0" fontId="14" fillId="11" borderId="0" xfId="0" applyFont="1" applyFill="1" applyBorder="1" applyAlignment="1">
      <alignment horizontal="right" vertical="center" wrapText="1" readingOrder="1"/>
    </xf>
    <xf numFmtId="165" fontId="14" fillId="12" borderId="32" xfId="2" applyNumberFormat="1" applyFont="1" applyFill="1" applyBorder="1" applyAlignment="1">
      <alignment horizontal="left" vertical="center" wrapText="1" readingOrder="1"/>
    </xf>
    <xf numFmtId="168" fontId="14" fillId="11" borderId="0" xfId="0" applyNumberFormat="1" applyFont="1" applyFill="1" applyBorder="1" applyAlignment="1">
      <alignment horizontal="right" vertical="center" wrapText="1" readingOrder="1"/>
    </xf>
    <xf numFmtId="0" fontId="13" fillId="0" borderId="33" xfId="0" applyFont="1" applyBorder="1" applyAlignment="1">
      <alignment horizontal="left" vertical="center" wrapText="1" readingOrder="1"/>
    </xf>
    <xf numFmtId="0" fontId="14" fillId="0" borderId="34" xfId="0" applyFont="1" applyBorder="1" applyAlignment="1">
      <alignment horizontal="left" vertical="center" wrapText="1" readingOrder="1"/>
    </xf>
    <xf numFmtId="0" fontId="13" fillId="7" borderId="36" xfId="0" applyFont="1" applyFill="1" applyBorder="1" applyAlignment="1">
      <alignment horizontal="left" vertical="center" wrapText="1" readingOrder="1"/>
    </xf>
    <xf numFmtId="0" fontId="14" fillId="7" borderId="37" xfId="0" applyFont="1" applyFill="1" applyBorder="1" applyAlignment="1">
      <alignment horizontal="left" vertical="center" wrapText="1" readingOrder="1"/>
    </xf>
    <xf numFmtId="165" fontId="15" fillId="7" borderId="37" xfId="2" applyNumberFormat="1" applyFont="1" applyFill="1" applyBorder="1" applyAlignment="1">
      <alignment horizontal="right" vertical="center" wrapText="1" readingOrder="1"/>
    </xf>
    <xf numFmtId="44" fontId="15" fillId="7" borderId="38" xfId="0" applyNumberFormat="1" applyFont="1" applyFill="1" applyBorder="1" applyAlignment="1">
      <alignment horizontal="right" vertical="center" wrapText="1" readingOrder="1"/>
    </xf>
    <xf numFmtId="0" fontId="13" fillId="0" borderId="39" xfId="0" applyFont="1" applyBorder="1" applyAlignment="1">
      <alignment horizontal="left" vertical="center" wrapText="1" readingOrder="1"/>
    </xf>
    <xf numFmtId="0" fontId="14" fillId="0" borderId="40" xfId="0" applyFont="1" applyBorder="1" applyAlignment="1">
      <alignment horizontal="left" vertical="center" wrapText="1" readingOrder="1"/>
    </xf>
    <xf numFmtId="10" fontId="14" fillId="11" borderId="40" xfId="0" applyNumberFormat="1" applyFont="1" applyFill="1" applyBorder="1" applyAlignment="1">
      <alignment horizontal="right" vertical="center" wrapText="1" readingOrder="1"/>
    </xf>
    <xf numFmtId="0" fontId="15" fillId="5" borderId="34" xfId="0" applyFont="1" applyFill="1" applyBorder="1" applyAlignment="1">
      <alignment horizontal="right" vertical="center" wrapText="1" readingOrder="1"/>
    </xf>
    <xf numFmtId="165" fontId="15" fillId="7" borderId="37" xfId="0" applyNumberFormat="1" applyFont="1" applyFill="1" applyBorder="1" applyAlignment="1">
      <alignment horizontal="right" vertical="center" wrapText="1" readingOrder="1"/>
    </xf>
    <xf numFmtId="0" fontId="15" fillId="5" borderId="40" xfId="0" applyFont="1" applyFill="1" applyBorder="1" applyAlignment="1">
      <alignment horizontal="right" vertical="center" wrapText="1" readingOrder="1"/>
    </xf>
    <xf numFmtId="0" fontId="14" fillId="11" borderId="34" xfId="0" applyFont="1" applyFill="1" applyBorder="1" applyAlignment="1">
      <alignment horizontal="right" vertical="center" wrapText="1" readingOrder="1"/>
    </xf>
    <xf numFmtId="0" fontId="16" fillId="7" borderId="37" xfId="0" applyFont="1" applyFill="1" applyBorder="1" applyAlignment="1">
      <alignment horizontal="right" vertical="center" wrapText="1"/>
    </xf>
    <xf numFmtId="44" fontId="15" fillId="7" borderId="38" xfId="2" applyFont="1" applyFill="1" applyBorder="1" applyAlignment="1">
      <alignment horizontal="right" vertical="center" wrapText="1" readingOrder="1"/>
    </xf>
    <xf numFmtId="0" fontId="14" fillId="11" borderId="40" xfId="0" applyFont="1" applyFill="1" applyBorder="1" applyAlignment="1">
      <alignment horizontal="right" vertical="center" wrapText="1" readingOrder="1"/>
    </xf>
    <xf numFmtId="0" fontId="16" fillId="0" borderId="42" xfId="0" applyFont="1" applyBorder="1" applyAlignment="1">
      <alignment vertical="center" wrapText="1"/>
    </xf>
    <xf numFmtId="0" fontId="14" fillId="0" borderId="43" xfId="0" applyFont="1" applyBorder="1" applyAlignment="1">
      <alignment horizontal="left" vertical="center" wrapText="1" readingOrder="1"/>
    </xf>
    <xf numFmtId="0" fontId="14" fillId="11" borderId="43" xfId="0" applyFont="1" applyFill="1" applyBorder="1" applyAlignment="1">
      <alignment horizontal="right" vertical="center" wrapText="1" readingOrder="1"/>
    </xf>
    <xf numFmtId="0" fontId="16" fillId="0" borderId="44" xfId="0" applyFont="1" applyBorder="1" applyAlignment="1">
      <alignment horizontal="right" vertical="center" wrapText="1"/>
    </xf>
    <xf numFmtId="2" fontId="14" fillId="11" borderId="0" xfId="0" applyNumberFormat="1" applyFont="1" applyFill="1" applyAlignment="1">
      <alignment horizontal="right" vertical="center" wrapText="1" readingOrder="1"/>
    </xf>
    <xf numFmtId="0" fontId="16" fillId="7" borderId="45" xfId="0" applyFont="1" applyFill="1" applyBorder="1" applyAlignment="1">
      <alignment vertical="center" wrapText="1"/>
    </xf>
    <xf numFmtId="0" fontId="15" fillId="7" borderId="46" xfId="0" applyFont="1" applyFill="1" applyBorder="1" applyAlignment="1">
      <alignment horizontal="left" vertical="center" wrapText="1" readingOrder="1"/>
    </xf>
    <xf numFmtId="44" fontId="15" fillId="7" borderId="47" xfId="0" applyNumberFormat="1" applyFont="1" applyFill="1" applyBorder="1" applyAlignment="1">
      <alignment horizontal="right" vertical="center" wrapText="1" readingOrder="1"/>
    </xf>
    <xf numFmtId="0" fontId="11" fillId="10" borderId="48" xfId="0" applyFont="1" applyFill="1" applyBorder="1" applyAlignment="1">
      <alignment horizontal="center"/>
    </xf>
    <xf numFmtId="0" fontId="11" fillId="10" borderId="48" xfId="0" applyFont="1" applyFill="1" applyBorder="1" applyAlignment="1">
      <alignment horizontal="center" vertical="center"/>
    </xf>
    <xf numFmtId="0" fontId="0" fillId="0" borderId="48" xfId="0" applyBorder="1"/>
    <xf numFmtId="0" fontId="0" fillId="0" borderId="48" xfId="0" applyBorder="1" applyAlignment="1">
      <alignment horizontal="center" vertical="center" wrapText="1"/>
    </xf>
    <xf numFmtId="0" fontId="0" fillId="0" borderId="48" xfId="0" applyBorder="1" applyAlignment="1">
      <alignment vertical="center"/>
    </xf>
    <xf numFmtId="0" fontId="0" fillId="0" borderId="48" xfId="0" applyBorder="1" applyAlignment="1">
      <alignment horizontal="center" vertical="center"/>
    </xf>
    <xf numFmtId="3" fontId="11" fillId="10" borderId="48" xfId="0" applyNumberFormat="1" applyFont="1" applyFill="1" applyBorder="1" applyAlignment="1">
      <alignment horizontal="center" vertical="center" wrapText="1"/>
    </xf>
    <xf numFmtId="0" fontId="1" fillId="2" borderId="48" xfId="0" applyFont="1" applyFill="1" applyBorder="1" applyAlignment="1">
      <alignment vertical="center"/>
    </xf>
    <xf numFmtId="0" fontId="0" fillId="0" borderId="48" xfId="0" applyBorder="1" applyAlignment="1">
      <alignment horizontal="right" vertical="center"/>
    </xf>
    <xf numFmtId="0" fontId="1" fillId="2" borderId="48" xfId="0" applyFont="1" applyFill="1" applyBorder="1" applyAlignment="1">
      <alignment vertical="center" wrapText="1"/>
    </xf>
    <xf numFmtId="0" fontId="0" fillId="0" borderId="48" xfId="0" applyBorder="1" applyAlignment="1">
      <alignment vertical="center" wrapText="1"/>
    </xf>
    <xf numFmtId="0" fontId="0" fillId="0" borderId="48" xfId="0" applyBorder="1" applyAlignment="1">
      <alignment horizontal="right" vertical="center" wrapText="1"/>
    </xf>
    <xf numFmtId="0" fontId="1" fillId="7" borderId="48" xfId="0" applyFont="1" applyFill="1" applyBorder="1" applyAlignment="1">
      <alignment vertical="center"/>
    </xf>
    <xf numFmtId="0" fontId="1" fillId="14" borderId="48" xfId="0" applyFont="1" applyFill="1" applyBorder="1" applyAlignment="1">
      <alignment vertical="center"/>
    </xf>
    <xf numFmtId="0" fontId="1" fillId="18" borderId="48" xfId="0" applyFont="1" applyFill="1" applyBorder="1" applyAlignment="1">
      <alignment vertical="center"/>
    </xf>
    <xf numFmtId="0" fontId="1" fillId="19" borderId="48" xfId="0" applyFont="1" applyFill="1" applyBorder="1" applyAlignment="1">
      <alignment vertical="center" wrapText="1"/>
    </xf>
    <xf numFmtId="0" fontId="1" fillId="15" borderId="48" xfId="0" applyFont="1" applyFill="1" applyBorder="1" applyAlignment="1">
      <alignment vertical="center"/>
    </xf>
    <xf numFmtId="0" fontId="1" fillId="20" borderId="48" xfId="0" applyFont="1" applyFill="1" applyBorder="1" applyAlignment="1">
      <alignment vertical="center"/>
    </xf>
    <xf numFmtId="0" fontId="1" fillId="21" borderId="48" xfId="0" applyFont="1" applyFill="1" applyBorder="1" applyAlignment="1">
      <alignment horizontal="left" vertical="center"/>
    </xf>
    <xf numFmtId="0" fontId="1" fillId="4" borderId="48" xfId="0" applyFont="1" applyFill="1" applyBorder="1" applyAlignment="1">
      <alignment vertical="center"/>
    </xf>
    <xf numFmtId="0" fontId="1" fillId="22" borderId="48" xfId="0" applyFont="1" applyFill="1" applyBorder="1" applyAlignment="1">
      <alignment vertical="center"/>
    </xf>
    <xf numFmtId="0" fontId="1" fillId="23" borderId="48" xfId="0" applyFont="1" applyFill="1" applyBorder="1" applyAlignment="1">
      <alignment vertical="center"/>
    </xf>
    <xf numFmtId="0" fontId="1" fillId="24" borderId="48" xfId="0" applyFont="1" applyFill="1" applyBorder="1" applyAlignment="1">
      <alignment vertical="center"/>
    </xf>
    <xf numFmtId="0" fontId="1" fillId="16" borderId="48" xfId="0" applyFont="1" applyFill="1" applyBorder="1" applyAlignment="1">
      <alignment vertical="center"/>
    </xf>
    <xf numFmtId="0" fontId="1" fillId="25" borderId="48" xfId="0" applyFont="1" applyFill="1" applyBorder="1" applyAlignment="1">
      <alignment vertical="center"/>
    </xf>
    <xf numFmtId="0" fontId="1" fillId="26" borderId="48" xfId="0" applyFont="1" applyFill="1" applyBorder="1" applyAlignment="1">
      <alignment vertical="center"/>
    </xf>
    <xf numFmtId="0" fontId="1" fillId="27" borderId="48" xfId="0" applyFont="1" applyFill="1" applyBorder="1" applyAlignment="1">
      <alignment vertical="center"/>
    </xf>
    <xf numFmtId="0" fontId="1" fillId="9" borderId="48" xfId="0" applyFont="1" applyFill="1" applyBorder="1" applyAlignment="1">
      <alignment vertical="center"/>
    </xf>
    <xf numFmtId="0" fontId="11" fillId="10" borderId="14" xfId="0" applyFont="1" applyFill="1" applyBorder="1" applyAlignment="1">
      <alignment horizontal="center" vertical="center"/>
    </xf>
    <xf numFmtId="0" fontId="0" fillId="5" borderId="15" xfId="0" applyFont="1" applyFill="1" applyBorder="1" applyAlignment="1">
      <alignment horizontal="center" vertical="center"/>
    </xf>
    <xf numFmtId="0" fontId="0" fillId="6" borderId="15" xfId="0" applyFont="1" applyFill="1" applyBorder="1" applyAlignment="1">
      <alignment horizontal="center" vertical="center"/>
    </xf>
    <xf numFmtId="0" fontId="0" fillId="4" borderId="15" xfId="0" applyFont="1" applyFill="1" applyBorder="1" applyAlignment="1">
      <alignment horizontal="center" vertical="center"/>
    </xf>
    <xf numFmtId="0" fontId="0" fillId="7" borderId="16" xfId="0" applyFont="1" applyFill="1" applyBorder="1" applyAlignment="1">
      <alignment horizontal="center" vertical="center"/>
    </xf>
    <xf numFmtId="0" fontId="0" fillId="3" borderId="0" xfId="0" applyFill="1" applyAlignment="1">
      <alignment vertical="center"/>
    </xf>
    <xf numFmtId="0" fontId="0" fillId="3" borderId="48" xfId="0" applyFill="1" applyBorder="1"/>
    <xf numFmtId="9" fontId="0" fillId="3" borderId="48" xfId="0" applyNumberFormat="1" applyFill="1" applyBorder="1" applyAlignment="1">
      <alignment horizontal="center"/>
    </xf>
    <xf numFmtId="0" fontId="0" fillId="3" borderId="48" xfId="0" applyFill="1" applyBorder="1" applyAlignment="1">
      <alignment horizontal="center"/>
    </xf>
    <xf numFmtId="9" fontId="0" fillId="3" borderId="48" xfId="5" applyFont="1" applyFill="1" applyBorder="1" applyAlignment="1">
      <alignment horizontal="center"/>
    </xf>
    <xf numFmtId="0" fontId="0" fillId="3" borderId="48" xfId="0" applyFill="1" applyBorder="1" applyAlignment="1">
      <alignment wrapText="1"/>
    </xf>
    <xf numFmtId="168" fontId="0" fillId="3" borderId="48" xfId="5" applyNumberFormat="1" applyFont="1" applyFill="1" applyBorder="1" applyAlignment="1">
      <alignment horizontal="center"/>
    </xf>
    <xf numFmtId="2" fontId="0" fillId="3" borderId="48" xfId="5" applyNumberFormat="1" applyFont="1" applyFill="1" applyBorder="1" applyAlignment="1">
      <alignment horizontal="center"/>
    </xf>
    <xf numFmtId="0" fontId="0" fillId="3" borderId="48" xfId="5" applyNumberFormat="1" applyFont="1" applyFill="1" applyBorder="1" applyAlignment="1">
      <alignment horizontal="center"/>
    </xf>
    <xf numFmtId="0" fontId="0" fillId="3" borderId="0" xfId="0" applyFill="1" applyBorder="1" applyAlignment="1">
      <alignment horizontal="center"/>
    </xf>
    <xf numFmtId="2" fontId="0" fillId="3" borderId="48" xfId="0" applyNumberFormat="1" applyFill="1" applyBorder="1" applyAlignment="1">
      <alignment horizontal="center"/>
    </xf>
    <xf numFmtId="1" fontId="0" fillId="3" borderId="48" xfId="5" applyNumberFormat="1" applyFont="1" applyFill="1" applyBorder="1" applyAlignment="1">
      <alignment horizontal="center"/>
    </xf>
    <xf numFmtId="0" fontId="20" fillId="10" borderId="4" xfId="0" applyFont="1" applyFill="1" applyBorder="1"/>
    <xf numFmtId="0" fontId="19" fillId="10" borderId="0" xfId="0" applyFont="1" applyFill="1" applyBorder="1"/>
    <xf numFmtId="0" fontId="19" fillId="10" borderId="0" xfId="0" applyFont="1" applyFill="1" applyBorder="1" applyAlignment="1">
      <alignment horizontal="center"/>
    </xf>
    <xf numFmtId="0" fontId="19" fillId="10" borderId="5" xfId="0" applyFont="1" applyFill="1" applyBorder="1" applyAlignment="1">
      <alignment horizontal="center"/>
    </xf>
    <xf numFmtId="0" fontId="4" fillId="4" borderId="0" xfId="0" applyFont="1" applyFill="1" applyBorder="1" applyAlignment="1">
      <alignment horizontal="center"/>
    </xf>
    <xf numFmtId="0" fontId="19" fillId="10" borderId="0" xfId="0" applyFont="1" applyFill="1" applyBorder="1" applyAlignment="1">
      <alignment horizontal="right"/>
    </xf>
    <xf numFmtId="44" fontId="5" fillId="5" borderId="8" xfId="2" applyFont="1" applyFill="1" applyBorder="1"/>
    <xf numFmtId="164" fontId="5" fillId="5" borderId="8" xfId="1" applyNumberFormat="1" applyFont="1" applyFill="1" applyBorder="1"/>
    <xf numFmtId="165" fontId="0" fillId="0" borderId="48" xfId="2" applyNumberFormat="1" applyFont="1" applyBorder="1"/>
    <xf numFmtId="165" fontId="0" fillId="0" borderId="48" xfId="2" applyNumberFormat="1" applyFont="1" applyBorder="1" applyAlignment="1">
      <alignment vertical="center"/>
    </xf>
    <xf numFmtId="164" fontId="0" fillId="0" borderId="48" xfId="1" applyNumberFormat="1" applyFont="1" applyBorder="1" applyAlignment="1">
      <alignment vertical="center"/>
    </xf>
    <xf numFmtId="165" fontId="0" fillId="0" borderId="48" xfId="2" applyNumberFormat="1" applyFont="1" applyBorder="1" applyAlignment="1">
      <alignment horizontal="center" vertical="center"/>
    </xf>
    <xf numFmtId="0" fontId="0" fillId="3" borderId="0" xfId="0" applyFill="1" applyAlignment="1"/>
    <xf numFmtId="0" fontId="11" fillId="10" borderId="48" xfId="0" applyFont="1" applyFill="1" applyBorder="1" applyAlignment="1">
      <alignment horizontal="center" vertical="center" wrapText="1"/>
    </xf>
    <xf numFmtId="2" fontId="5" fillId="5" borderId="5" xfId="0" applyNumberFormat="1" applyFont="1" applyFill="1" applyBorder="1" applyAlignment="1">
      <alignment horizontal="center" vertical="center"/>
    </xf>
    <xf numFmtId="0" fontId="0" fillId="3" borderId="49" xfId="0" applyFill="1" applyBorder="1"/>
    <xf numFmtId="0" fontId="0" fillId="3" borderId="49" xfId="0" applyFill="1" applyBorder="1" applyAlignment="1">
      <alignment horizontal="center"/>
    </xf>
    <xf numFmtId="0" fontId="5" fillId="2" borderId="12" xfId="0" applyFont="1" applyFill="1" applyBorder="1" applyAlignment="1">
      <alignment horizontal="center" vertical="center" wrapText="1"/>
    </xf>
    <xf numFmtId="0" fontId="5" fillId="5" borderId="5" xfId="0" applyFont="1" applyFill="1" applyBorder="1" applyAlignment="1">
      <alignment horizontal="center" vertical="center"/>
    </xf>
    <xf numFmtId="9" fontId="5" fillId="5" borderId="8" xfId="5" applyFont="1" applyFill="1" applyBorder="1"/>
    <xf numFmtId="0" fontId="23" fillId="9" borderId="0" xfId="0" applyFont="1" applyFill="1"/>
    <xf numFmtId="0" fontId="24" fillId="9" borderId="0" xfId="0" applyFont="1" applyFill="1"/>
    <xf numFmtId="0" fontId="6" fillId="3" borderId="8" xfId="0" applyFont="1" applyFill="1" applyBorder="1" applyAlignment="1">
      <alignment horizontal="center" wrapText="1"/>
    </xf>
    <xf numFmtId="0" fontId="8" fillId="3" borderId="0" xfId="0" applyFont="1" applyFill="1" applyAlignment="1">
      <alignment horizontal="left"/>
    </xf>
    <xf numFmtId="0" fontId="1" fillId="8" borderId="19" xfId="0" applyFont="1" applyFill="1" applyBorder="1" applyAlignment="1">
      <alignment horizontal="center"/>
    </xf>
    <xf numFmtId="0" fontId="21" fillId="3" borderId="0" xfId="0" applyFont="1" applyFill="1" applyBorder="1" applyAlignment="1">
      <alignment horizontal="left" vertical="top" wrapText="1"/>
    </xf>
    <xf numFmtId="0" fontId="5" fillId="2" borderId="11"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22" fillId="10" borderId="2" xfId="0" applyFont="1" applyFill="1" applyBorder="1" applyAlignment="1">
      <alignment horizontal="center"/>
    </xf>
    <xf numFmtId="0" fontId="22" fillId="10" borderId="10" xfId="0" applyFont="1" applyFill="1" applyBorder="1" applyAlignment="1">
      <alignment horizontal="center"/>
    </xf>
    <xf numFmtId="0" fontId="22" fillId="10" borderId="3" xfId="0" applyFont="1" applyFill="1" applyBorder="1" applyAlignment="1">
      <alignment horizontal="center"/>
    </xf>
    <xf numFmtId="0" fontId="4" fillId="2" borderId="1" xfId="0" applyFont="1" applyFill="1" applyBorder="1" applyAlignment="1">
      <alignment horizontal="center"/>
    </xf>
    <xf numFmtId="0" fontId="4" fillId="2" borderId="11" xfId="0" applyFont="1" applyFill="1" applyBorder="1" applyAlignment="1">
      <alignment horizontal="center"/>
    </xf>
    <xf numFmtId="0" fontId="4" fillId="2" borderId="13" xfId="0" applyFont="1" applyFill="1" applyBorder="1" applyAlignment="1">
      <alignment horizontal="center"/>
    </xf>
    <xf numFmtId="0" fontId="4" fillId="2" borderId="12" xfId="0" applyFont="1" applyFill="1" applyBorder="1" applyAlignment="1">
      <alignment horizontal="center"/>
    </xf>
    <xf numFmtId="0" fontId="0" fillId="15" borderId="48" xfId="0" applyFill="1" applyBorder="1" applyAlignment="1">
      <alignment horizontal="left"/>
    </xf>
    <xf numFmtId="0" fontId="0" fillId="0" borderId="48" xfId="0" applyBorder="1" applyAlignment="1">
      <alignment horizontal="center" vertical="center"/>
    </xf>
    <xf numFmtId="0" fontId="11" fillId="10" borderId="48" xfId="0" applyFont="1" applyFill="1" applyBorder="1" applyAlignment="1">
      <alignment horizontal="center" vertical="center"/>
    </xf>
    <xf numFmtId="0" fontId="0" fillId="13" borderId="48" xfId="0" applyFill="1" applyBorder="1" applyAlignment="1">
      <alignment horizontal="left" vertical="center"/>
    </xf>
    <xf numFmtId="0" fontId="0" fillId="13" borderId="48" xfId="0" applyFill="1" applyBorder="1" applyAlignment="1">
      <alignment horizontal="left" vertical="center" wrapText="1"/>
    </xf>
    <xf numFmtId="0" fontId="12" fillId="10" borderId="26" xfId="0" applyFont="1" applyFill="1" applyBorder="1" applyAlignment="1">
      <alignment horizontal="center" vertical="center" wrapText="1" readingOrder="1"/>
    </xf>
    <xf numFmtId="0" fontId="12" fillId="10" borderId="27" xfId="0" applyFont="1" applyFill="1" applyBorder="1" applyAlignment="1">
      <alignment horizontal="center" vertical="center" wrapText="1" readingOrder="1"/>
    </xf>
    <xf numFmtId="0" fontId="16" fillId="0" borderId="30" xfId="0" applyFont="1" applyBorder="1" applyAlignment="1">
      <alignment vertical="center" wrapText="1"/>
    </xf>
    <xf numFmtId="0" fontId="16" fillId="0" borderId="35" xfId="0" applyFont="1" applyBorder="1" applyAlignment="1">
      <alignment vertical="center" wrapText="1"/>
    </xf>
    <xf numFmtId="0" fontId="16" fillId="0" borderId="41" xfId="0" applyFont="1" applyBorder="1" applyAlignment="1">
      <alignment horizontal="center" vertical="center" wrapText="1"/>
    </xf>
    <xf numFmtId="0" fontId="16" fillId="0" borderId="30"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41" xfId="0" applyFont="1" applyBorder="1" applyAlignment="1">
      <alignment horizontal="right" vertical="center" wrapText="1"/>
    </xf>
    <xf numFmtId="0" fontId="16" fillId="0" borderId="35" xfId="0" applyFont="1" applyBorder="1" applyAlignment="1">
      <alignment horizontal="right" vertical="center" wrapText="1"/>
    </xf>
    <xf numFmtId="0" fontId="11" fillId="10" borderId="48" xfId="0" applyFont="1" applyFill="1" applyBorder="1" applyAlignment="1">
      <alignment horizontal="center"/>
    </xf>
    <xf numFmtId="0" fontId="0" fillId="17" borderId="48" xfId="0" applyFill="1" applyBorder="1" applyAlignment="1">
      <alignment horizontal="center" vertical="center" wrapText="1"/>
    </xf>
  </cellXfs>
  <cellStyles count="7">
    <cellStyle name="Comma" xfId="1" builtinId="3"/>
    <cellStyle name="Comma 4" xfId="4"/>
    <cellStyle name="Currency" xfId="2" builtinId="4"/>
    <cellStyle name="Normal" xfId="0" builtinId="0"/>
    <cellStyle name="Normal 2" xfId="6"/>
    <cellStyle name="Normal 6" xfId="3"/>
    <cellStyle name="Percent" xfId="5" builtinId="5"/>
  </cellStyles>
  <dxfs count="0"/>
  <tableStyles count="0" defaultTableStyle="TableStyleMedium2" defaultPivotStyle="PivotStyleMedium9"/>
  <colors>
    <mruColors>
      <color rgb="FF66FF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47625</xdr:colOff>
      <xdr:row>1</xdr:row>
      <xdr:rowOff>66675</xdr:rowOff>
    </xdr:from>
    <xdr:to>
      <xdr:col>14</xdr:col>
      <xdr:colOff>53487</xdr:colOff>
      <xdr:row>4</xdr:row>
      <xdr:rowOff>60325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734175" y="257175"/>
          <a:ext cx="920262" cy="565150"/>
        </a:xfrm>
        <a:prstGeom prst="rect">
          <a:avLst/>
        </a:prstGeom>
        <a:noFill/>
        <a:ln w="9525">
          <a:noFill/>
          <a:miter lim="800000"/>
          <a:headEnd/>
          <a:tailEnd/>
        </a:ln>
      </xdr:spPr>
    </xdr:pic>
    <xdr:clientData/>
  </xdr:twoCellAnchor>
  <xdr:twoCellAnchor>
    <xdr:from>
      <xdr:col>0</xdr:col>
      <xdr:colOff>581025</xdr:colOff>
      <xdr:row>15</xdr:row>
      <xdr:rowOff>0</xdr:rowOff>
    </xdr:from>
    <xdr:to>
      <xdr:col>15</xdr:col>
      <xdr:colOff>0</xdr:colOff>
      <xdr:row>21</xdr:row>
      <xdr:rowOff>66675</xdr:rowOff>
    </xdr:to>
    <xdr:sp macro="" textlink="">
      <xdr:nvSpPr>
        <xdr:cNvPr id="6" name="Rectangle 5"/>
        <xdr:cNvSpPr/>
      </xdr:nvSpPr>
      <xdr:spPr>
        <a:xfrm>
          <a:off x="581025" y="3019425"/>
          <a:ext cx="7105650" cy="1209675"/>
        </a:xfrm>
        <a:prstGeom prst="rect">
          <a:avLst/>
        </a:prstGeom>
        <a:solidFill>
          <a:schemeClr val="accent6">
            <a:lumMod val="20000"/>
            <a:lumOff val="80000"/>
          </a:schemeClr>
        </a:solidFill>
      </xdr:spPr>
      <xdr:txBody>
        <a:bodyPr wrap="square">
          <a:noAutofit/>
        </a:bodyPr>
        <a:lstStyle>
          <a:defPPr>
            <a:defRPr lang="en-US"/>
          </a:defPPr>
          <a:lvl1pPr algn="ctr" rtl="0" eaLnBrk="0" fontAlgn="base" hangingPunct="0">
            <a:spcBef>
              <a:spcPct val="0"/>
            </a:spcBef>
            <a:spcAft>
              <a:spcPct val="0"/>
            </a:spcAft>
            <a:defRPr sz="1400" kern="1200">
              <a:solidFill>
                <a:schemeClr val="tx1"/>
              </a:solidFill>
              <a:latin typeface="Arial" charset="0"/>
              <a:ea typeface="+mn-ea"/>
              <a:cs typeface="+mn-cs"/>
            </a:defRPr>
          </a:lvl1pPr>
          <a:lvl2pPr marL="457200" algn="ctr" rtl="0" eaLnBrk="0" fontAlgn="base" hangingPunct="0">
            <a:spcBef>
              <a:spcPct val="0"/>
            </a:spcBef>
            <a:spcAft>
              <a:spcPct val="0"/>
            </a:spcAft>
            <a:defRPr sz="1400" kern="1200">
              <a:solidFill>
                <a:schemeClr val="tx1"/>
              </a:solidFill>
              <a:latin typeface="Arial" charset="0"/>
              <a:ea typeface="+mn-ea"/>
              <a:cs typeface="+mn-cs"/>
            </a:defRPr>
          </a:lvl2pPr>
          <a:lvl3pPr marL="914400" algn="ctr" rtl="0" eaLnBrk="0" fontAlgn="base" hangingPunct="0">
            <a:spcBef>
              <a:spcPct val="0"/>
            </a:spcBef>
            <a:spcAft>
              <a:spcPct val="0"/>
            </a:spcAft>
            <a:defRPr sz="1400" kern="1200">
              <a:solidFill>
                <a:schemeClr val="tx1"/>
              </a:solidFill>
              <a:latin typeface="Arial" charset="0"/>
              <a:ea typeface="+mn-ea"/>
              <a:cs typeface="+mn-cs"/>
            </a:defRPr>
          </a:lvl3pPr>
          <a:lvl4pPr marL="1371600" algn="ctr" rtl="0" eaLnBrk="0" fontAlgn="base" hangingPunct="0">
            <a:spcBef>
              <a:spcPct val="0"/>
            </a:spcBef>
            <a:spcAft>
              <a:spcPct val="0"/>
            </a:spcAft>
            <a:defRPr sz="1400" kern="1200">
              <a:solidFill>
                <a:schemeClr val="tx1"/>
              </a:solidFill>
              <a:latin typeface="Arial" charset="0"/>
              <a:ea typeface="+mn-ea"/>
              <a:cs typeface="+mn-cs"/>
            </a:defRPr>
          </a:lvl4pPr>
          <a:lvl5pPr marL="1828800" algn="ctr" rtl="0" eaLnBrk="0" fontAlgn="base" hangingPunct="0">
            <a:spcBef>
              <a:spcPct val="0"/>
            </a:spcBef>
            <a:spcAft>
              <a:spcPct val="0"/>
            </a:spcAft>
            <a:defRPr sz="1400" kern="1200">
              <a:solidFill>
                <a:schemeClr val="tx1"/>
              </a:solidFill>
              <a:latin typeface="Arial" charset="0"/>
              <a:ea typeface="+mn-ea"/>
              <a:cs typeface="+mn-cs"/>
            </a:defRPr>
          </a:lvl5pPr>
          <a:lvl6pPr marL="2286000" algn="l" defTabSz="914400" rtl="0" eaLnBrk="1" latinLnBrk="0" hangingPunct="1">
            <a:defRPr sz="1400" kern="1200">
              <a:solidFill>
                <a:schemeClr val="tx1"/>
              </a:solidFill>
              <a:latin typeface="Arial" charset="0"/>
              <a:ea typeface="+mn-ea"/>
              <a:cs typeface="+mn-cs"/>
            </a:defRPr>
          </a:lvl6pPr>
          <a:lvl7pPr marL="2743200" algn="l" defTabSz="914400" rtl="0" eaLnBrk="1" latinLnBrk="0" hangingPunct="1">
            <a:defRPr sz="1400" kern="1200">
              <a:solidFill>
                <a:schemeClr val="tx1"/>
              </a:solidFill>
              <a:latin typeface="Arial" charset="0"/>
              <a:ea typeface="+mn-ea"/>
              <a:cs typeface="+mn-cs"/>
            </a:defRPr>
          </a:lvl7pPr>
          <a:lvl8pPr marL="3200400" algn="l" defTabSz="914400" rtl="0" eaLnBrk="1" latinLnBrk="0" hangingPunct="1">
            <a:defRPr sz="1400" kern="1200">
              <a:solidFill>
                <a:schemeClr val="tx1"/>
              </a:solidFill>
              <a:latin typeface="Arial" charset="0"/>
              <a:ea typeface="+mn-ea"/>
              <a:cs typeface="+mn-cs"/>
            </a:defRPr>
          </a:lvl8pPr>
          <a:lvl9pPr marL="3657600" algn="l" defTabSz="914400" rtl="0" eaLnBrk="1" latinLnBrk="0" hangingPunct="1">
            <a:defRPr sz="1400" kern="1200">
              <a:solidFill>
                <a:schemeClr val="tx1"/>
              </a:solidFill>
              <a:latin typeface="Arial" charset="0"/>
              <a:ea typeface="+mn-ea"/>
              <a:cs typeface="+mn-cs"/>
            </a:defRPr>
          </a:lvl9pPr>
        </a:lstStyle>
        <a:p>
          <a:pPr algn="l"/>
          <a:r>
            <a:rPr lang="en-US" sz="1200" b="1">
              <a:solidFill>
                <a:srgbClr val="FF0000"/>
              </a:solidFill>
              <a:latin typeface="Calibri" panose="020F0502020204030204" pitchFamily="34" charset="0"/>
            </a:rPr>
            <a:t>PROTECTED RIGHTS NOTICE </a:t>
          </a:r>
        </a:p>
        <a:p>
          <a:pPr algn="l"/>
          <a:r>
            <a:rPr lang="en-US" sz="1200">
              <a:solidFill>
                <a:srgbClr val="000000"/>
              </a:solidFill>
              <a:latin typeface="Calibri" panose="020F0502020204030204" pitchFamily="34" charset="0"/>
            </a:rPr>
            <a:t>These protected data were produced under agreement no.DE-AR0000522 with the U.S. Department of Energy and may not be published, disseminated, or disclosed to others outside the Government until 5 years after development of information under this agreement, unless express written authorization is obtained from the recipient. Upon expiration of the period of protection set forth in this Notice, the Government shall have unlimited rights in this data. This Notice shall be marked on any reproduction of this data, in whole or in part </a:t>
          </a:r>
          <a:endParaRPr lang="en-US" sz="1200"/>
        </a:p>
      </xdr:txBody>
    </xdr:sp>
    <xdr:clientData/>
  </xdr:twoCellAnchor>
  <xdr:twoCellAnchor>
    <xdr:from>
      <xdr:col>5</xdr:col>
      <xdr:colOff>180975</xdr:colOff>
      <xdr:row>10</xdr:row>
      <xdr:rowOff>781050</xdr:rowOff>
    </xdr:from>
    <xdr:to>
      <xdr:col>10</xdr:col>
      <xdr:colOff>117663</xdr:colOff>
      <xdr:row>10</xdr:row>
      <xdr:rowOff>2674219</xdr:rowOff>
    </xdr:to>
    <xdr:grpSp>
      <xdr:nvGrpSpPr>
        <xdr:cNvPr id="11" name="Group 10"/>
        <xdr:cNvGrpSpPr>
          <a:grpSpLocks noChangeAspect="1"/>
        </xdr:cNvGrpSpPr>
      </xdr:nvGrpSpPr>
      <xdr:grpSpPr>
        <a:xfrm>
          <a:off x="2619375" y="2533650"/>
          <a:ext cx="2984688" cy="1893169"/>
          <a:chOff x="2593249" y="2040382"/>
          <a:chExt cx="4156075" cy="2689225"/>
        </a:xfrm>
      </xdr:grpSpPr>
      <xdr:pic>
        <xdr:nvPicPr>
          <xdr:cNvPr id="12" name="Picture 11"/>
          <xdr:cNvPicPr>
            <a:picLocks noChangeAspect="1" noChangeArrowheads="1"/>
          </xdr:cNvPicPr>
        </xdr:nvPicPr>
        <xdr:blipFill>
          <a:blip xmlns:r="http://schemas.openxmlformats.org/officeDocument/2006/relationships" r:embed="rId2" cstate="print"/>
          <a:srcRect/>
          <a:stretch>
            <a:fillRect/>
          </a:stretch>
        </xdr:blipFill>
        <xdr:spPr bwMode="auto">
          <a:xfrm>
            <a:off x="2593249" y="2040382"/>
            <a:ext cx="4156075" cy="2689225"/>
          </a:xfrm>
          <a:prstGeom prst="rect">
            <a:avLst/>
          </a:prstGeom>
          <a:noFill/>
          <a:ln w="3175">
            <a:solidFill>
              <a:srgbClr val="A7A9AC"/>
            </a:solidFill>
            <a:miter lim="800000"/>
            <a:headEnd/>
            <a:tailEnd/>
          </a:ln>
        </xdr:spPr>
      </xdr:pic>
      <xdr:sp macro="" textlink="">
        <xdr:nvSpPr>
          <xdr:cNvPr id="13" name="Rectangle 12"/>
          <xdr:cNvSpPr>
            <a:spLocks noChangeArrowheads="1"/>
          </xdr:cNvSpPr>
        </xdr:nvSpPr>
        <xdr:spPr bwMode="auto">
          <a:xfrm>
            <a:off x="2809147" y="2895676"/>
            <a:ext cx="3459379" cy="637705"/>
          </a:xfrm>
          <a:prstGeom prst="rect">
            <a:avLst/>
          </a:prstGeom>
          <a:noFill/>
          <a:ln w="9525">
            <a:noFill/>
            <a:miter lim="800000"/>
            <a:headEnd/>
            <a:tailEnd/>
          </a:ln>
        </xdr:spPr>
        <xdr:txBody>
          <a:bodyPr wrap="square" bIns="70316">
            <a:spAutoFit/>
          </a:bodyPr>
          <a:lstStyle>
            <a:defPPr>
              <a:defRPr lang="en-US"/>
            </a:defPPr>
            <a:lvl1pPr algn="ctr" rtl="0" eaLnBrk="0" fontAlgn="base" hangingPunct="0">
              <a:spcBef>
                <a:spcPct val="0"/>
              </a:spcBef>
              <a:spcAft>
                <a:spcPct val="0"/>
              </a:spcAft>
              <a:defRPr sz="1400" kern="1200">
                <a:solidFill>
                  <a:srgbClr val="000000"/>
                </a:solidFill>
                <a:latin typeface="Arial" charset="0"/>
              </a:defRPr>
            </a:lvl1pPr>
            <a:lvl2pPr marL="457200" algn="ctr" rtl="0" eaLnBrk="0" fontAlgn="base" hangingPunct="0">
              <a:spcBef>
                <a:spcPct val="0"/>
              </a:spcBef>
              <a:spcAft>
                <a:spcPct val="0"/>
              </a:spcAft>
              <a:defRPr sz="1400" kern="1200">
                <a:solidFill>
                  <a:srgbClr val="000000"/>
                </a:solidFill>
                <a:latin typeface="Arial" charset="0"/>
              </a:defRPr>
            </a:lvl2pPr>
            <a:lvl3pPr marL="914400" algn="ctr" rtl="0" eaLnBrk="0" fontAlgn="base" hangingPunct="0">
              <a:spcBef>
                <a:spcPct val="0"/>
              </a:spcBef>
              <a:spcAft>
                <a:spcPct val="0"/>
              </a:spcAft>
              <a:defRPr sz="1400" kern="1200">
                <a:solidFill>
                  <a:srgbClr val="000000"/>
                </a:solidFill>
                <a:latin typeface="Arial" charset="0"/>
              </a:defRPr>
            </a:lvl3pPr>
            <a:lvl4pPr marL="1371600" algn="ctr" rtl="0" eaLnBrk="0" fontAlgn="base" hangingPunct="0">
              <a:spcBef>
                <a:spcPct val="0"/>
              </a:spcBef>
              <a:spcAft>
                <a:spcPct val="0"/>
              </a:spcAft>
              <a:defRPr sz="1400" kern="1200">
                <a:solidFill>
                  <a:srgbClr val="000000"/>
                </a:solidFill>
                <a:latin typeface="Arial" charset="0"/>
              </a:defRPr>
            </a:lvl4pPr>
            <a:lvl5pPr marL="1828800" algn="ctr" rtl="0" eaLnBrk="0" fontAlgn="base" hangingPunct="0">
              <a:spcBef>
                <a:spcPct val="0"/>
              </a:spcBef>
              <a:spcAft>
                <a:spcPct val="0"/>
              </a:spcAft>
              <a:defRPr sz="1400" kern="1200">
                <a:solidFill>
                  <a:srgbClr val="000000"/>
                </a:solidFill>
                <a:latin typeface="Arial" charset="0"/>
              </a:defRPr>
            </a:lvl5pPr>
            <a:lvl6pPr marL="2286000" algn="l" defTabSz="914400" rtl="0" eaLnBrk="1" latinLnBrk="0" hangingPunct="1">
              <a:defRPr sz="1400" kern="1200">
                <a:solidFill>
                  <a:srgbClr val="000000"/>
                </a:solidFill>
                <a:latin typeface="Arial" charset="0"/>
              </a:defRPr>
            </a:lvl6pPr>
            <a:lvl7pPr marL="2743200" algn="l" defTabSz="914400" rtl="0" eaLnBrk="1" latinLnBrk="0" hangingPunct="1">
              <a:defRPr sz="1400" kern="1200">
                <a:solidFill>
                  <a:srgbClr val="000000"/>
                </a:solidFill>
                <a:latin typeface="Arial" charset="0"/>
              </a:defRPr>
            </a:lvl7pPr>
            <a:lvl8pPr marL="3200400" algn="l" defTabSz="914400" rtl="0" eaLnBrk="1" latinLnBrk="0" hangingPunct="1">
              <a:defRPr sz="1400" kern="1200">
                <a:solidFill>
                  <a:srgbClr val="000000"/>
                </a:solidFill>
                <a:latin typeface="Arial" charset="0"/>
              </a:defRPr>
            </a:lvl8pPr>
            <a:lvl9pPr marL="3657600" algn="l" defTabSz="914400" rtl="0" eaLnBrk="1" latinLnBrk="0" hangingPunct="1">
              <a:defRPr sz="1400" kern="1200">
                <a:solidFill>
                  <a:srgbClr val="000000"/>
                </a:solidFill>
                <a:latin typeface="Arial" charset="0"/>
              </a:defRPr>
            </a:lvl9pPr>
          </a:lstStyle>
          <a:p>
            <a:pPr eaLnBrk="0" fontAlgn="base" hangingPunct="0">
              <a:spcBef>
                <a:spcPct val="0"/>
              </a:spcBef>
              <a:spcAft>
                <a:spcPct val="0"/>
              </a:spcAft>
            </a:pPr>
            <a:r>
              <a:rPr lang="en-GB" sz="923" b="1">
                <a:solidFill>
                  <a:srgbClr val="000000"/>
                </a:solidFill>
                <a:cs typeface="Arial" charset="0"/>
              </a:rPr>
              <a:t>Piyush Bubna</a:t>
            </a:r>
          </a:p>
          <a:p>
            <a:pPr eaLnBrk="0" fontAlgn="base" hangingPunct="0">
              <a:spcBef>
                <a:spcPct val="0"/>
              </a:spcBef>
              <a:spcAft>
                <a:spcPct val="0"/>
              </a:spcAft>
            </a:pPr>
            <a:r>
              <a:rPr lang="en-GB" sz="646" b="1">
                <a:solidFill>
                  <a:srgbClr val="000000"/>
                </a:solidFill>
                <a:cs typeface="Arial" charset="0"/>
              </a:rPr>
              <a:t>Sr. Business Analyst</a:t>
            </a:r>
          </a:p>
          <a:p>
            <a:pPr eaLnBrk="0" fontAlgn="base" hangingPunct="0">
              <a:spcBef>
                <a:spcPct val="0"/>
              </a:spcBef>
              <a:spcAft>
                <a:spcPct val="0"/>
              </a:spcAft>
            </a:pPr>
            <a:r>
              <a:rPr lang="en-GB" sz="646" b="1">
                <a:solidFill>
                  <a:srgbClr val="000000"/>
                </a:solidFill>
                <a:cs typeface="Arial" charset="0"/>
              </a:rPr>
              <a:t>Ricardo Strategic Consulting</a:t>
            </a:r>
          </a:p>
        </xdr:txBody>
      </xdr:sp>
      <xdr:sp macro="" textlink="">
        <xdr:nvSpPr>
          <xdr:cNvPr id="14" name="Text Box 413"/>
          <xdr:cNvSpPr txBox="1">
            <a:spLocks noChangeArrowheads="1"/>
          </xdr:cNvSpPr>
        </xdr:nvSpPr>
        <xdr:spPr bwMode="auto">
          <a:xfrm>
            <a:off x="2816963" y="3431698"/>
            <a:ext cx="3166712" cy="820530"/>
          </a:xfrm>
          <a:prstGeom prst="rect">
            <a:avLst/>
          </a:prstGeom>
          <a:noFill/>
          <a:ln w="9525">
            <a:noFill/>
            <a:miter lim="800000"/>
            <a:headEnd/>
            <a:tailEnd/>
          </a:ln>
        </xdr:spPr>
        <xdr:txBody>
          <a:bodyPr wrap="square">
            <a:spAutoFit/>
          </a:bodyPr>
          <a:lstStyle>
            <a:defPPr>
              <a:defRPr lang="en-US"/>
            </a:defPPr>
            <a:lvl1pPr algn="ctr" rtl="0" eaLnBrk="0" fontAlgn="base" hangingPunct="0">
              <a:spcBef>
                <a:spcPct val="0"/>
              </a:spcBef>
              <a:spcAft>
                <a:spcPct val="0"/>
              </a:spcAft>
              <a:defRPr sz="1400" kern="1200">
                <a:solidFill>
                  <a:srgbClr val="000000"/>
                </a:solidFill>
                <a:latin typeface="Arial" charset="0"/>
              </a:defRPr>
            </a:lvl1pPr>
            <a:lvl2pPr marL="457200" algn="ctr" rtl="0" eaLnBrk="0" fontAlgn="base" hangingPunct="0">
              <a:spcBef>
                <a:spcPct val="0"/>
              </a:spcBef>
              <a:spcAft>
                <a:spcPct val="0"/>
              </a:spcAft>
              <a:defRPr sz="1400" kern="1200">
                <a:solidFill>
                  <a:srgbClr val="000000"/>
                </a:solidFill>
                <a:latin typeface="Arial" charset="0"/>
              </a:defRPr>
            </a:lvl2pPr>
            <a:lvl3pPr marL="914400" algn="ctr" rtl="0" eaLnBrk="0" fontAlgn="base" hangingPunct="0">
              <a:spcBef>
                <a:spcPct val="0"/>
              </a:spcBef>
              <a:spcAft>
                <a:spcPct val="0"/>
              </a:spcAft>
              <a:defRPr sz="1400" kern="1200">
                <a:solidFill>
                  <a:srgbClr val="000000"/>
                </a:solidFill>
                <a:latin typeface="Arial" charset="0"/>
              </a:defRPr>
            </a:lvl3pPr>
            <a:lvl4pPr marL="1371600" algn="ctr" rtl="0" eaLnBrk="0" fontAlgn="base" hangingPunct="0">
              <a:spcBef>
                <a:spcPct val="0"/>
              </a:spcBef>
              <a:spcAft>
                <a:spcPct val="0"/>
              </a:spcAft>
              <a:defRPr sz="1400" kern="1200">
                <a:solidFill>
                  <a:srgbClr val="000000"/>
                </a:solidFill>
                <a:latin typeface="Arial" charset="0"/>
              </a:defRPr>
            </a:lvl4pPr>
            <a:lvl5pPr marL="1828800" algn="ctr" rtl="0" eaLnBrk="0" fontAlgn="base" hangingPunct="0">
              <a:spcBef>
                <a:spcPct val="0"/>
              </a:spcBef>
              <a:spcAft>
                <a:spcPct val="0"/>
              </a:spcAft>
              <a:defRPr sz="1400" kern="1200">
                <a:solidFill>
                  <a:srgbClr val="000000"/>
                </a:solidFill>
                <a:latin typeface="Arial" charset="0"/>
              </a:defRPr>
            </a:lvl5pPr>
            <a:lvl6pPr marL="2286000" algn="l" defTabSz="914400" rtl="0" eaLnBrk="1" latinLnBrk="0" hangingPunct="1">
              <a:defRPr sz="1400" kern="1200">
                <a:solidFill>
                  <a:srgbClr val="000000"/>
                </a:solidFill>
                <a:latin typeface="Arial" charset="0"/>
              </a:defRPr>
            </a:lvl6pPr>
            <a:lvl7pPr marL="2743200" algn="l" defTabSz="914400" rtl="0" eaLnBrk="1" latinLnBrk="0" hangingPunct="1">
              <a:defRPr sz="1400" kern="1200">
                <a:solidFill>
                  <a:srgbClr val="000000"/>
                </a:solidFill>
                <a:latin typeface="Arial" charset="0"/>
              </a:defRPr>
            </a:lvl7pPr>
            <a:lvl8pPr marL="3200400" algn="l" defTabSz="914400" rtl="0" eaLnBrk="1" latinLnBrk="0" hangingPunct="1">
              <a:defRPr sz="1400" kern="1200">
                <a:solidFill>
                  <a:srgbClr val="000000"/>
                </a:solidFill>
                <a:latin typeface="Arial" charset="0"/>
              </a:defRPr>
            </a:lvl8pPr>
            <a:lvl9pPr marL="3657600" algn="l" defTabSz="914400" rtl="0" eaLnBrk="1" latinLnBrk="0" hangingPunct="1">
              <a:defRPr sz="1400" kern="1200">
                <a:solidFill>
                  <a:srgbClr val="000000"/>
                </a:solidFill>
                <a:latin typeface="Arial" charset="0"/>
              </a:defRPr>
            </a:lvl9pPr>
          </a:lstStyle>
          <a:p>
            <a:pPr eaLnBrk="0" fontAlgn="base" hangingPunct="0">
              <a:spcBef>
                <a:spcPct val="0"/>
              </a:spcBef>
              <a:spcAft>
                <a:spcPct val="0"/>
              </a:spcAft>
              <a:tabLst>
                <a:tab pos="263776" algn="l"/>
                <a:tab pos="439626" algn="l"/>
              </a:tabLst>
            </a:pPr>
            <a:r>
              <a:rPr lang="sv-SE" sz="646">
                <a:solidFill>
                  <a:srgbClr val="000000"/>
                </a:solidFill>
                <a:cs typeface="Arial" charset="0"/>
              </a:rPr>
              <a:t>Direct Dial:	   </a:t>
            </a:r>
            <a:r>
              <a:rPr lang="sv-SE" sz="646" b="1">
                <a:solidFill>
                  <a:srgbClr val="000000"/>
                </a:solidFill>
                <a:cs typeface="Arial" charset="0"/>
              </a:rPr>
              <a:t>+1 734 394 4179</a:t>
            </a:r>
          </a:p>
          <a:p>
            <a:pPr eaLnBrk="0" fontAlgn="base" hangingPunct="0">
              <a:spcBef>
                <a:spcPct val="0"/>
              </a:spcBef>
              <a:spcAft>
                <a:spcPct val="0"/>
              </a:spcAft>
              <a:tabLst>
                <a:tab pos="263776" algn="l"/>
                <a:tab pos="439626" algn="l"/>
              </a:tabLst>
            </a:pPr>
            <a:r>
              <a:rPr lang="en-GB" sz="646">
                <a:solidFill>
                  <a:srgbClr val="000000"/>
                </a:solidFill>
              </a:rPr>
              <a:t>Reception:	   </a:t>
            </a:r>
            <a:r>
              <a:rPr lang="en-GB" sz="646" b="1">
                <a:solidFill>
                  <a:srgbClr val="000000"/>
                </a:solidFill>
              </a:rPr>
              <a:t>+1 734 397 6666</a:t>
            </a:r>
          </a:p>
          <a:p>
            <a:pPr eaLnBrk="0" fontAlgn="base" hangingPunct="0">
              <a:spcBef>
                <a:spcPct val="0"/>
              </a:spcBef>
              <a:spcAft>
                <a:spcPct val="0"/>
              </a:spcAft>
              <a:tabLst>
                <a:tab pos="263776" algn="l"/>
                <a:tab pos="439626" algn="l"/>
              </a:tabLst>
            </a:pPr>
            <a:r>
              <a:rPr lang="en-GB" sz="646">
                <a:solidFill>
                  <a:srgbClr val="000000"/>
                </a:solidFill>
                <a:cs typeface="Arial" charset="0"/>
              </a:rPr>
              <a:t>Facsimile:	   </a:t>
            </a:r>
            <a:r>
              <a:rPr lang="en-GB" sz="646" b="1">
                <a:solidFill>
                  <a:srgbClr val="000000"/>
                </a:solidFill>
                <a:cs typeface="Arial" charset="0"/>
              </a:rPr>
              <a:t>+</a:t>
            </a:r>
            <a:r>
              <a:rPr lang="en-US" sz="646" b="1">
                <a:solidFill>
                  <a:srgbClr val="000000"/>
                </a:solidFill>
                <a:cs typeface="Arial" charset="0"/>
              </a:rPr>
              <a:t>1 734 397 6677</a:t>
            </a:r>
            <a:endParaRPr lang="sv-SE" sz="646" b="1">
              <a:solidFill>
                <a:srgbClr val="000000"/>
              </a:solidFill>
              <a:cs typeface="Arial" charset="0"/>
            </a:endParaRPr>
          </a:p>
          <a:p>
            <a:pPr eaLnBrk="0" fontAlgn="base" hangingPunct="0">
              <a:spcBef>
                <a:spcPct val="0"/>
              </a:spcBef>
              <a:spcAft>
                <a:spcPct val="0"/>
              </a:spcAft>
              <a:tabLst>
                <a:tab pos="263776" algn="l"/>
                <a:tab pos="439626" algn="l"/>
              </a:tabLst>
            </a:pPr>
            <a:r>
              <a:rPr lang="en-GB" sz="646">
                <a:solidFill>
                  <a:srgbClr val="000000"/>
                </a:solidFill>
                <a:cs typeface="Arial" charset="0"/>
              </a:rPr>
              <a:t>Mobile:       	   </a:t>
            </a:r>
            <a:r>
              <a:rPr lang="en-GB" sz="646" b="1">
                <a:solidFill>
                  <a:srgbClr val="000000"/>
                </a:solidFill>
                <a:cs typeface="Arial" charset="0"/>
              </a:rPr>
              <a:t>+</a:t>
            </a:r>
            <a:r>
              <a:rPr lang="en-US" sz="646" b="1">
                <a:solidFill>
                  <a:srgbClr val="000000"/>
                </a:solidFill>
                <a:cs typeface="Arial" charset="0"/>
              </a:rPr>
              <a:t>1 302 489 9696</a:t>
            </a:r>
            <a:endParaRPr lang="sv-SE" sz="646" b="1">
              <a:solidFill>
                <a:srgbClr val="000000"/>
              </a:solidFill>
              <a:cs typeface="Arial" charset="0"/>
            </a:endParaRPr>
          </a:p>
          <a:p>
            <a:pPr fontAlgn="base">
              <a:spcAft>
                <a:spcPct val="0"/>
              </a:spcAft>
              <a:tabLst>
                <a:tab pos="498243" algn="l"/>
              </a:tabLst>
            </a:pPr>
            <a:r>
              <a:rPr lang="sv-SE" sz="646">
                <a:solidFill>
                  <a:srgbClr val="006BB7"/>
                </a:solidFill>
              </a:rPr>
              <a:t>piyush.bubna@ricardo.com</a:t>
            </a:r>
          </a:p>
        </xdr:txBody>
      </xdr:sp>
      <xdr:sp macro="" textlink="">
        <xdr:nvSpPr>
          <xdr:cNvPr id="15" name="Text Box 414"/>
          <xdr:cNvSpPr txBox="1">
            <a:spLocks noChangeArrowheads="1"/>
          </xdr:cNvSpPr>
        </xdr:nvSpPr>
        <xdr:spPr bwMode="auto">
          <a:xfrm>
            <a:off x="2809148" y="2184845"/>
            <a:ext cx="2556795" cy="395623"/>
          </a:xfrm>
          <a:prstGeom prst="rect">
            <a:avLst/>
          </a:prstGeom>
          <a:noFill/>
          <a:ln w="9525">
            <a:noFill/>
            <a:miter lim="800000"/>
            <a:headEnd/>
            <a:tailEnd/>
          </a:ln>
        </xdr:spPr>
        <xdr:txBody>
          <a:bodyPr wrap="square" lIns="0" tIns="0" rIns="0" bIns="0">
            <a:spAutoFit/>
          </a:bodyPr>
          <a:lstStyle>
            <a:defPPr>
              <a:defRPr lang="en-US"/>
            </a:defPPr>
            <a:lvl1pPr algn="ctr" rtl="0" eaLnBrk="0" fontAlgn="base" hangingPunct="0">
              <a:spcBef>
                <a:spcPct val="0"/>
              </a:spcBef>
              <a:spcAft>
                <a:spcPct val="0"/>
              </a:spcAft>
              <a:defRPr sz="1400" kern="1200">
                <a:solidFill>
                  <a:srgbClr val="000000"/>
                </a:solidFill>
                <a:latin typeface="Arial" charset="0"/>
              </a:defRPr>
            </a:lvl1pPr>
            <a:lvl2pPr marL="457200" algn="ctr" rtl="0" eaLnBrk="0" fontAlgn="base" hangingPunct="0">
              <a:spcBef>
                <a:spcPct val="0"/>
              </a:spcBef>
              <a:spcAft>
                <a:spcPct val="0"/>
              </a:spcAft>
              <a:defRPr sz="1400" kern="1200">
                <a:solidFill>
                  <a:srgbClr val="000000"/>
                </a:solidFill>
                <a:latin typeface="Arial" charset="0"/>
              </a:defRPr>
            </a:lvl2pPr>
            <a:lvl3pPr marL="914400" algn="ctr" rtl="0" eaLnBrk="0" fontAlgn="base" hangingPunct="0">
              <a:spcBef>
                <a:spcPct val="0"/>
              </a:spcBef>
              <a:spcAft>
                <a:spcPct val="0"/>
              </a:spcAft>
              <a:defRPr sz="1400" kern="1200">
                <a:solidFill>
                  <a:srgbClr val="000000"/>
                </a:solidFill>
                <a:latin typeface="Arial" charset="0"/>
              </a:defRPr>
            </a:lvl3pPr>
            <a:lvl4pPr marL="1371600" algn="ctr" rtl="0" eaLnBrk="0" fontAlgn="base" hangingPunct="0">
              <a:spcBef>
                <a:spcPct val="0"/>
              </a:spcBef>
              <a:spcAft>
                <a:spcPct val="0"/>
              </a:spcAft>
              <a:defRPr sz="1400" kern="1200">
                <a:solidFill>
                  <a:srgbClr val="000000"/>
                </a:solidFill>
                <a:latin typeface="Arial" charset="0"/>
              </a:defRPr>
            </a:lvl4pPr>
            <a:lvl5pPr marL="1828800" algn="ctr" rtl="0" eaLnBrk="0" fontAlgn="base" hangingPunct="0">
              <a:spcBef>
                <a:spcPct val="0"/>
              </a:spcBef>
              <a:spcAft>
                <a:spcPct val="0"/>
              </a:spcAft>
              <a:defRPr sz="1400" kern="1200">
                <a:solidFill>
                  <a:srgbClr val="000000"/>
                </a:solidFill>
                <a:latin typeface="Arial" charset="0"/>
              </a:defRPr>
            </a:lvl5pPr>
            <a:lvl6pPr marL="2286000" algn="l" defTabSz="914400" rtl="0" eaLnBrk="1" latinLnBrk="0" hangingPunct="1">
              <a:defRPr sz="1400" kern="1200">
                <a:solidFill>
                  <a:srgbClr val="000000"/>
                </a:solidFill>
                <a:latin typeface="Arial" charset="0"/>
              </a:defRPr>
            </a:lvl6pPr>
            <a:lvl7pPr marL="2743200" algn="l" defTabSz="914400" rtl="0" eaLnBrk="1" latinLnBrk="0" hangingPunct="1">
              <a:defRPr sz="1400" kern="1200">
                <a:solidFill>
                  <a:srgbClr val="000000"/>
                </a:solidFill>
                <a:latin typeface="Arial" charset="0"/>
              </a:defRPr>
            </a:lvl7pPr>
            <a:lvl8pPr marL="3200400" algn="l" defTabSz="914400" rtl="0" eaLnBrk="1" latinLnBrk="0" hangingPunct="1">
              <a:defRPr sz="1400" kern="1200">
                <a:solidFill>
                  <a:srgbClr val="000000"/>
                </a:solidFill>
                <a:latin typeface="Arial" charset="0"/>
              </a:defRPr>
            </a:lvl8pPr>
            <a:lvl9pPr marL="3657600" algn="l" defTabSz="914400" rtl="0" eaLnBrk="1" latinLnBrk="0" hangingPunct="1">
              <a:defRPr sz="1400" kern="1200">
                <a:solidFill>
                  <a:srgbClr val="000000"/>
                </a:solidFill>
                <a:latin typeface="Arial" charset="0"/>
              </a:defRPr>
            </a:lvl9pPr>
          </a:lstStyle>
          <a:p>
            <a:pPr fontAlgn="base">
              <a:spcBef>
                <a:spcPct val="0"/>
              </a:spcBef>
              <a:spcAft>
                <a:spcPct val="0"/>
              </a:spcAft>
            </a:pPr>
            <a:r>
              <a:rPr lang="en-GB" sz="738">
                <a:solidFill>
                  <a:srgbClr val="000000"/>
                </a:solidFill>
              </a:rPr>
              <a:t>Ricardo, Inc. </a:t>
            </a:r>
            <a:r>
              <a:rPr lang="sv-SE" sz="738">
                <a:solidFill>
                  <a:srgbClr val="000000"/>
                </a:solidFill>
              </a:rPr>
              <a:t>– </a:t>
            </a:r>
            <a:r>
              <a:rPr lang="sv-SE" sz="554" b="0">
                <a:solidFill>
                  <a:srgbClr val="000000"/>
                </a:solidFill>
              </a:rPr>
              <a:t>Detroit Technology Campus</a:t>
            </a:r>
          </a:p>
          <a:p>
            <a:pPr fontAlgn="base">
              <a:spcBef>
                <a:spcPct val="0"/>
              </a:spcBef>
              <a:spcAft>
                <a:spcPct val="0"/>
              </a:spcAft>
            </a:pPr>
            <a:r>
              <a:rPr lang="sv-SE" sz="554" b="0">
                <a:solidFill>
                  <a:srgbClr val="000000"/>
                </a:solidFill>
              </a:rPr>
              <a:t>40000 Ricardo Drive</a:t>
            </a:r>
          </a:p>
          <a:p>
            <a:pPr fontAlgn="base">
              <a:spcBef>
                <a:spcPct val="0"/>
              </a:spcBef>
              <a:spcAft>
                <a:spcPct val="0"/>
              </a:spcAft>
            </a:pPr>
            <a:r>
              <a:rPr lang="sv-SE" sz="554" b="0">
                <a:solidFill>
                  <a:srgbClr val="000000"/>
                </a:solidFill>
              </a:rPr>
              <a:t>Van Buren Twp., MI 48111</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35719</xdr:colOff>
      <xdr:row>13</xdr:row>
      <xdr:rowOff>95250</xdr:rowOff>
    </xdr:from>
    <xdr:to>
      <xdr:col>1</xdr:col>
      <xdr:colOff>1366631</xdr:colOff>
      <xdr:row>19</xdr:row>
      <xdr:rowOff>128824</xdr:rowOff>
    </xdr:to>
    <xdr:pic>
      <xdr:nvPicPr>
        <xdr:cNvPr id="2" name="Picture 1"/>
        <xdr:cNvPicPr>
          <a:picLocks noChangeAspect="1"/>
        </xdr:cNvPicPr>
      </xdr:nvPicPr>
      <xdr:blipFill>
        <a:blip xmlns:r="http://schemas.openxmlformats.org/officeDocument/2006/relationships" r:embed="rId1"/>
        <a:stretch>
          <a:fillRect/>
        </a:stretch>
      </xdr:blipFill>
      <xdr:spPr>
        <a:xfrm>
          <a:off x="238125" y="2464594"/>
          <a:ext cx="1330912" cy="8908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3"/>
  <sheetViews>
    <sheetView topLeftCell="A12" zoomScaleNormal="100" workbookViewId="0">
      <selection activeCell="D23" sqref="D23"/>
    </sheetView>
  </sheetViews>
  <sheetFormatPr defaultRowHeight="15" x14ac:dyDescent="0.25"/>
  <cols>
    <col min="1" max="1" width="9.140625" style="1"/>
    <col min="2" max="2" width="1.5703125" style="1" customWidth="1"/>
    <col min="3" max="3" width="7" style="1" customWidth="1"/>
    <col min="4" max="4" width="9.7109375" style="1" bestFit="1" customWidth="1"/>
    <col min="5" max="12" width="9.140625" style="1"/>
    <col min="13" max="13" width="11.85546875" style="1" customWidth="1"/>
    <col min="14" max="14" width="1.85546875" style="1" customWidth="1"/>
    <col min="15" max="15" width="1.28515625" style="1" customWidth="1"/>
    <col min="16" max="16384" width="9.140625" style="1"/>
  </cols>
  <sheetData>
    <row r="2" spans="2:15" x14ac:dyDescent="0.25">
      <c r="B2" s="173" t="s">
        <v>66</v>
      </c>
      <c r="C2" s="173"/>
      <c r="D2" s="173"/>
      <c r="E2" s="173"/>
      <c r="F2" s="173"/>
      <c r="G2" s="173"/>
      <c r="H2" s="173"/>
      <c r="I2" s="173"/>
      <c r="J2" s="173"/>
      <c r="K2" s="173"/>
    </row>
    <row r="3" spans="2:15" x14ac:dyDescent="0.25">
      <c r="B3" s="173"/>
      <c r="C3" s="173"/>
      <c r="D3" s="173"/>
      <c r="E3" s="173"/>
      <c r="F3" s="173"/>
      <c r="G3" s="173"/>
      <c r="H3" s="173"/>
      <c r="I3" s="173"/>
      <c r="J3" s="173"/>
      <c r="K3" s="173"/>
    </row>
    <row r="4" spans="2:15" x14ac:dyDescent="0.25">
      <c r="B4" s="1" t="s">
        <v>65</v>
      </c>
      <c r="D4" s="26">
        <v>42361</v>
      </c>
    </row>
    <row r="5" spans="2:15" x14ac:dyDescent="0.25">
      <c r="B5" s="1" t="s">
        <v>252</v>
      </c>
    </row>
    <row r="7" spans="2:15" ht="15.75" x14ac:dyDescent="0.25">
      <c r="D7" s="170" t="s">
        <v>361</v>
      </c>
      <c r="E7" s="171"/>
      <c r="F7" s="171"/>
      <c r="G7" s="171"/>
      <c r="H7" s="171"/>
      <c r="I7" s="171"/>
      <c r="J7" s="171"/>
    </row>
    <row r="8" spans="2:15" ht="15.75" thickBot="1" x14ac:dyDescent="0.3"/>
    <row r="9" spans="2:15" ht="7.5" customHeight="1" thickBot="1" x14ac:dyDescent="0.3">
      <c r="B9" s="27"/>
      <c r="C9" s="28"/>
      <c r="D9" s="28"/>
      <c r="E9" s="28"/>
      <c r="F9" s="28"/>
      <c r="G9" s="28"/>
      <c r="H9" s="174"/>
      <c r="I9" s="174"/>
      <c r="J9" s="28"/>
      <c r="K9" s="28"/>
      <c r="L9" s="28"/>
      <c r="M9" s="28"/>
      <c r="N9" s="28"/>
      <c r="O9" s="29"/>
    </row>
    <row r="10" spans="2:15" ht="9" customHeight="1" x14ac:dyDescent="0.25">
      <c r="B10" s="30"/>
      <c r="C10" s="31"/>
      <c r="D10" s="32"/>
      <c r="E10" s="32"/>
      <c r="F10" s="32"/>
      <c r="G10" s="32"/>
      <c r="H10" s="32"/>
      <c r="I10" s="32"/>
      <c r="J10" s="32"/>
      <c r="K10" s="32"/>
      <c r="L10" s="32"/>
      <c r="M10" s="32"/>
      <c r="N10" s="33"/>
      <c r="O10" s="34"/>
    </row>
    <row r="11" spans="2:15" ht="216" customHeight="1" x14ac:dyDescent="0.25">
      <c r="B11" s="30"/>
      <c r="C11" s="35"/>
      <c r="D11" s="175" t="s">
        <v>363</v>
      </c>
      <c r="E11" s="175"/>
      <c r="F11" s="175"/>
      <c r="G11" s="175"/>
      <c r="H11" s="175"/>
      <c r="I11" s="175"/>
      <c r="J11" s="175"/>
      <c r="K11" s="175"/>
      <c r="L11" s="175"/>
      <c r="M11" s="175"/>
      <c r="N11" s="36"/>
      <c r="O11" s="34"/>
    </row>
    <row r="12" spans="2:15" ht="9.75" customHeight="1" thickBot="1" x14ac:dyDescent="0.3">
      <c r="B12" s="30"/>
      <c r="C12" s="37"/>
      <c r="D12" s="38"/>
      <c r="E12" s="38"/>
      <c r="F12" s="38"/>
      <c r="G12" s="38"/>
      <c r="H12" s="38"/>
      <c r="I12" s="38"/>
      <c r="J12" s="38"/>
      <c r="K12" s="38"/>
      <c r="L12" s="38"/>
      <c r="M12" s="38"/>
      <c r="N12" s="39"/>
      <c r="O12" s="34"/>
    </row>
    <row r="13" spans="2:15" ht="7.5" customHeight="1" thickBot="1" x14ac:dyDescent="0.3">
      <c r="B13" s="40"/>
      <c r="C13" s="41"/>
      <c r="D13" s="41"/>
      <c r="E13" s="41"/>
      <c r="F13" s="41"/>
      <c r="G13" s="41"/>
      <c r="H13" s="41"/>
      <c r="I13" s="41"/>
      <c r="J13" s="41"/>
      <c r="K13" s="41"/>
      <c r="L13" s="41"/>
      <c r="M13" s="41"/>
      <c r="N13" s="41"/>
      <c r="O13" s="42"/>
    </row>
  </sheetData>
  <mergeCells count="3">
    <mergeCell ref="B2:K3"/>
    <mergeCell ref="H9:I9"/>
    <mergeCell ref="D11:M1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44"/>
  <sheetViews>
    <sheetView topLeftCell="U9" zoomScale="110" zoomScaleNormal="110" workbookViewId="0">
      <selection activeCell="AA21" sqref="AA21"/>
    </sheetView>
  </sheetViews>
  <sheetFormatPr defaultRowHeight="11.25" x14ac:dyDescent="0.2"/>
  <cols>
    <col min="1" max="1" width="3" style="6" customWidth="1"/>
    <col min="2" max="2" width="21.5703125" style="6" customWidth="1"/>
    <col min="3" max="3" width="15.42578125" style="6" customWidth="1"/>
    <col min="4" max="4" width="9.7109375" style="6" customWidth="1"/>
    <col min="5" max="5" width="29.85546875" style="6" customWidth="1"/>
    <col min="6" max="6" width="11.85546875" style="6" customWidth="1"/>
    <col min="7" max="7" width="10.28515625" style="6" customWidth="1"/>
    <col min="8" max="8" width="10.42578125" style="6" customWidth="1"/>
    <col min="9" max="9" width="9.5703125" style="6" customWidth="1"/>
    <col min="10" max="10" width="9" style="6" customWidth="1"/>
    <col min="11" max="11" width="10" style="6" customWidth="1"/>
    <col min="12" max="12" width="18.85546875" style="6" customWidth="1"/>
    <col min="13" max="13" width="30.5703125" style="6" customWidth="1"/>
    <col min="14" max="14" width="9.42578125" style="6" customWidth="1"/>
    <col min="15" max="15" width="5.42578125" style="6" customWidth="1"/>
    <col min="16" max="16" width="10.42578125" style="6" customWidth="1"/>
    <col min="17" max="17" width="10.85546875" style="6" customWidth="1"/>
    <col min="18" max="18" width="15.28515625" style="6" customWidth="1"/>
    <col min="19" max="19" width="30.5703125" style="6" customWidth="1"/>
    <col min="20" max="20" width="15.28515625" style="6" customWidth="1"/>
    <col min="21" max="21" width="15.140625" style="6" customWidth="1"/>
    <col min="22" max="22" width="15" style="6" customWidth="1"/>
    <col min="23" max="23" width="13.7109375" style="6" customWidth="1"/>
    <col min="24" max="24" width="14" style="6" customWidth="1"/>
    <col min="25" max="25" width="13.7109375" style="6" bestFit="1" customWidth="1"/>
    <col min="26" max="26" width="83.140625" style="6" customWidth="1"/>
    <col min="27" max="27" width="2.42578125" style="6" customWidth="1"/>
    <col min="28" max="16384" width="9.140625" style="6"/>
  </cols>
  <sheetData>
    <row r="1" spans="2:28" ht="12" thickBot="1" x14ac:dyDescent="0.25"/>
    <row r="2" spans="2:28" ht="15" x14ac:dyDescent="0.2">
      <c r="B2" s="133" t="s">
        <v>17</v>
      </c>
    </row>
    <row r="3" spans="2:28" ht="15" x14ac:dyDescent="0.2">
      <c r="B3" s="134" t="s">
        <v>210</v>
      </c>
    </row>
    <row r="4" spans="2:28" ht="15" x14ac:dyDescent="0.2">
      <c r="B4" s="135" t="s">
        <v>14</v>
      </c>
    </row>
    <row r="5" spans="2:28" ht="15" x14ac:dyDescent="0.2">
      <c r="B5" s="136" t="s">
        <v>15</v>
      </c>
    </row>
    <row r="6" spans="2:28" ht="15.75" thickBot="1" x14ac:dyDescent="0.25">
      <c r="B6" s="137" t="s">
        <v>16</v>
      </c>
    </row>
    <row r="9" spans="2:28" ht="18" x14ac:dyDescent="0.25">
      <c r="B9" s="178" t="s">
        <v>342</v>
      </c>
      <c r="C9" s="179"/>
      <c r="D9" s="179"/>
      <c r="E9" s="179"/>
      <c r="F9" s="179"/>
      <c r="G9" s="179"/>
      <c r="H9" s="179"/>
      <c r="I9" s="179"/>
      <c r="J9" s="179"/>
      <c r="K9" s="179"/>
      <c r="L9" s="179"/>
      <c r="M9" s="179"/>
      <c r="N9" s="179"/>
      <c r="O9" s="179"/>
      <c r="P9" s="179"/>
      <c r="Q9" s="179"/>
      <c r="R9" s="179"/>
      <c r="S9" s="179"/>
      <c r="T9" s="179"/>
      <c r="U9" s="179"/>
      <c r="V9" s="179"/>
      <c r="W9" s="179"/>
      <c r="X9" s="179"/>
      <c r="Y9" s="179"/>
      <c r="Z9" s="180"/>
    </row>
    <row r="10" spans="2:28" x14ac:dyDescent="0.2">
      <c r="B10" s="150"/>
      <c r="C10" s="151"/>
      <c r="D10" s="151"/>
      <c r="E10" s="151"/>
      <c r="F10" s="151"/>
      <c r="G10" s="151"/>
      <c r="H10" s="151"/>
      <c r="I10" s="151"/>
      <c r="J10" s="151"/>
      <c r="K10" s="151"/>
      <c r="L10" s="152"/>
      <c r="M10" s="152"/>
      <c r="N10" s="152"/>
      <c r="O10" s="152"/>
      <c r="P10" s="155" t="s">
        <v>258</v>
      </c>
      <c r="Q10" s="154">
        <f>'Common Assumptions'!C3</f>
        <v>4800</v>
      </c>
      <c r="R10" s="152"/>
      <c r="S10" s="152"/>
      <c r="T10" s="152"/>
      <c r="U10" s="152"/>
      <c r="V10" s="152"/>
      <c r="W10" s="152"/>
      <c r="X10" s="152"/>
      <c r="Y10" s="152"/>
      <c r="Z10" s="153"/>
    </row>
    <row r="11" spans="2:28" x14ac:dyDescent="0.2">
      <c r="B11" s="181" t="s">
        <v>64</v>
      </c>
      <c r="C11" s="181"/>
      <c r="D11" s="181"/>
      <c r="E11" s="182" t="s">
        <v>255</v>
      </c>
      <c r="F11" s="183"/>
      <c r="G11" s="183"/>
      <c r="H11" s="183"/>
      <c r="I11" s="183"/>
      <c r="J11" s="183"/>
      <c r="K11" s="184"/>
      <c r="L11" s="181" t="s">
        <v>256</v>
      </c>
      <c r="M11" s="181"/>
      <c r="N11" s="181"/>
      <c r="O11" s="181"/>
      <c r="P11" s="181"/>
      <c r="Q11" s="181"/>
      <c r="R11" s="181"/>
      <c r="S11" s="181"/>
      <c r="T11" s="181"/>
      <c r="U11" s="181"/>
      <c r="V11" s="181"/>
      <c r="W11" s="181"/>
      <c r="X11" s="181"/>
      <c r="Y11" s="181"/>
      <c r="Z11" s="181"/>
    </row>
    <row r="12" spans="2:28" ht="24.75" customHeight="1" x14ac:dyDescent="0.2">
      <c r="B12" s="16" t="s">
        <v>253</v>
      </c>
      <c r="C12" s="176" t="s">
        <v>254</v>
      </c>
      <c r="D12" s="177"/>
      <c r="E12" s="167" t="s">
        <v>10</v>
      </c>
      <c r="F12" s="16">
        <v>300000</v>
      </c>
      <c r="G12" s="16">
        <v>200000</v>
      </c>
      <c r="H12" s="16">
        <v>100000</v>
      </c>
      <c r="I12" s="16">
        <v>50000</v>
      </c>
      <c r="J12" s="16">
        <v>10000</v>
      </c>
      <c r="K12" s="16">
        <v>1000</v>
      </c>
      <c r="L12" s="16" t="s">
        <v>2</v>
      </c>
      <c r="M12" s="16" t="s">
        <v>41</v>
      </c>
      <c r="N12" s="16" t="s">
        <v>58</v>
      </c>
      <c r="O12" s="16"/>
      <c r="P12" s="16" t="s">
        <v>24</v>
      </c>
      <c r="Q12" s="16" t="s">
        <v>23</v>
      </c>
      <c r="R12" s="16" t="s">
        <v>356</v>
      </c>
      <c r="S12" s="16" t="s">
        <v>40</v>
      </c>
      <c r="T12" s="16">
        <v>300000</v>
      </c>
      <c r="U12" s="16">
        <v>200000</v>
      </c>
      <c r="V12" s="16">
        <v>100000</v>
      </c>
      <c r="W12" s="16">
        <v>50000</v>
      </c>
      <c r="X12" s="16">
        <v>10000</v>
      </c>
      <c r="Y12" s="16">
        <v>1000</v>
      </c>
      <c r="Z12" s="16" t="s">
        <v>59</v>
      </c>
    </row>
    <row r="13" spans="2:28" x14ac:dyDescent="0.2">
      <c r="B13" s="7" t="s">
        <v>343</v>
      </c>
      <c r="C13" s="8" t="s">
        <v>4</v>
      </c>
      <c r="D13" s="164">
        <v>1.35</v>
      </c>
      <c r="E13" s="10" t="s">
        <v>331</v>
      </c>
      <c r="F13" s="43">
        <f>T21/1000000</f>
        <v>2.0699999999999998</v>
      </c>
      <c r="G13" s="43">
        <f t="shared" ref="G13:K13" si="0">U21/1000000</f>
        <v>1.39</v>
      </c>
      <c r="H13" s="43">
        <f t="shared" si="0"/>
        <v>0.71</v>
      </c>
      <c r="I13" s="43">
        <f t="shared" si="0"/>
        <v>0.71</v>
      </c>
      <c r="J13" s="43">
        <f t="shared" si="0"/>
        <v>0.68</v>
      </c>
      <c r="K13" s="43">
        <f t="shared" si="0"/>
        <v>0.68</v>
      </c>
      <c r="L13" s="11" t="s">
        <v>144</v>
      </c>
      <c r="M13" s="11" t="s">
        <v>345</v>
      </c>
      <c r="N13" s="46">
        <v>1</v>
      </c>
      <c r="O13" s="54">
        <f>1/N13</f>
        <v>1</v>
      </c>
      <c r="P13" s="49"/>
      <c r="Q13" s="49"/>
      <c r="R13" s="51">
        <v>44</v>
      </c>
      <c r="S13" s="11" t="s">
        <v>26</v>
      </c>
      <c r="T13" s="58">
        <f>ROUNDUP(T12*$R13/$Q$10/3600,0)</f>
        <v>1</v>
      </c>
      <c r="U13" s="58">
        <f t="shared" ref="U13:Y13" si="1">ROUNDUP(U12*$R13/$Q$10/3600,0)</f>
        <v>1</v>
      </c>
      <c r="V13" s="58">
        <f t="shared" si="1"/>
        <v>1</v>
      </c>
      <c r="W13" s="58">
        <f t="shared" si="1"/>
        <v>1</v>
      </c>
      <c r="X13" s="58">
        <f t="shared" si="1"/>
        <v>1</v>
      </c>
      <c r="Y13" s="58">
        <f t="shared" si="1"/>
        <v>1</v>
      </c>
      <c r="Z13" s="11"/>
      <c r="AB13" s="23"/>
    </row>
    <row r="14" spans="2:28" x14ac:dyDescent="0.2">
      <c r="B14" s="7"/>
      <c r="C14" s="8" t="s">
        <v>5</v>
      </c>
      <c r="D14" s="5"/>
      <c r="E14" s="10" t="s">
        <v>22</v>
      </c>
      <c r="F14" s="43">
        <f>SUM(F15:F19)</f>
        <v>5.3320833333333333</v>
      </c>
      <c r="G14" s="43">
        <f t="shared" ref="G14:K14" si="2">SUM(G15:G19)</f>
        <v>5.3420833333333331</v>
      </c>
      <c r="H14" s="43">
        <f t="shared" si="2"/>
        <v>5.3720833333333333</v>
      </c>
      <c r="I14" s="43">
        <f t="shared" si="2"/>
        <v>6.7920833333333333</v>
      </c>
      <c r="J14" s="43">
        <f t="shared" si="2"/>
        <v>18.098205555555555</v>
      </c>
      <c r="K14" s="43">
        <f t="shared" si="2"/>
        <v>143.19955555555555</v>
      </c>
      <c r="L14" s="11"/>
      <c r="M14" s="11" t="s">
        <v>346</v>
      </c>
      <c r="N14" s="46">
        <v>1</v>
      </c>
      <c r="O14" s="54">
        <f t="shared" ref="O14:O15" si="3">1/N14</f>
        <v>1</v>
      </c>
      <c r="P14" s="49">
        <v>680000</v>
      </c>
      <c r="Q14" s="49"/>
      <c r="R14" s="12"/>
      <c r="S14" s="11" t="s">
        <v>27</v>
      </c>
      <c r="T14" s="58">
        <f>T13*ROUNDUP(T12*'Common Assumptions'!$C$13/'Cost Model Template'!T20,0)</f>
        <v>3</v>
      </c>
      <c r="U14" s="58">
        <f>U13*ROUNDUP(U12*'Common Assumptions'!$C$13/'Cost Model Template'!U20,0)</f>
        <v>2</v>
      </c>
      <c r="V14" s="58">
        <f>V13*ROUNDUP(V12*'Common Assumptions'!$C$13/'Cost Model Template'!V20,0)</f>
        <v>1</v>
      </c>
      <c r="W14" s="58">
        <f>W13*ROUNDUP(W12*'Common Assumptions'!$C$13/'Cost Model Template'!W20,0)</f>
        <v>1</v>
      </c>
      <c r="X14" s="58">
        <f>X13*ROUNDUP(X12*'Common Assumptions'!$C$13/'Cost Model Template'!X20,0)</f>
        <v>1</v>
      </c>
      <c r="Y14" s="58">
        <f>Y13*ROUNDUP(Y12*'Common Assumptions'!$C$13/'Cost Model Template'!Y20,0)</f>
        <v>1</v>
      </c>
      <c r="Z14" s="11"/>
      <c r="AB14" s="23"/>
    </row>
    <row r="15" spans="2:28" x14ac:dyDescent="0.2">
      <c r="B15" s="22"/>
      <c r="C15" s="8" t="s">
        <v>6</v>
      </c>
      <c r="D15" s="5"/>
      <c r="E15" s="10" t="s">
        <v>47</v>
      </c>
      <c r="F15" s="44">
        <f>T22</f>
        <v>1.38</v>
      </c>
      <c r="G15" s="44">
        <f t="shared" ref="G15:K15" si="4">U22</f>
        <v>1.39</v>
      </c>
      <c r="H15" s="44">
        <f t="shared" si="4"/>
        <v>1.42</v>
      </c>
      <c r="I15" s="44">
        <f t="shared" si="4"/>
        <v>2.84</v>
      </c>
      <c r="J15" s="44">
        <f t="shared" si="4"/>
        <v>13.6</v>
      </c>
      <c r="K15" s="44">
        <f t="shared" si="4"/>
        <v>136</v>
      </c>
      <c r="L15" s="11"/>
      <c r="M15" s="11" t="s">
        <v>347</v>
      </c>
      <c r="N15" s="46">
        <v>1</v>
      </c>
      <c r="O15" s="54">
        <f t="shared" si="3"/>
        <v>1</v>
      </c>
      <c r="P15" s="49">
        <v>30000</v>
      </c>
      <c r="Q15" s="49"/>
      <c r="R15" s="12"/>
      <c r="S15" s="11" t="s">
        <v>27</v>
      </c>
      <c r="T15" s="58">
        <f>T13</f>
        <v>1</v>
      </c>
      <c r="U15" s="58">
        <f t="shared" ref="U15:W15" si="5">U13</f>
        <v>1</v>
      </c>
      <c r="V15" s="58">
        <f t="shared" si="5"/>
        <v>1</v>
      </c>
      <c r="W15" s="58">
        <f t="shared" si="5"/>
        <v>1</v>
      </c>
      <c r="X15" s="58">
        <v>0</v>
      </c>
      <c r="Y15" s="58">
        <v>0</v>
      </c>
      <c r="Z15" s="11"/>
      <c r="AB15" s="23"/>
    </row>
    <row r="16" spans="2:28" x14ac:dyDescent="0.2">
      <c r="B16" s="22"/>
      <c r="C16" s="8" t="s">
        <v>7</v>
      </c>
      <c r="D16" s="5"/>
      <c r="E16" s="10" t="s">
        <v>43</v>
      </c>
      <c r="F16" s="44">
        <f>T30</f>
        <v>1.5583333333333333</v>
      </c>
      <c r="G16" s="44">
        <f t="shared" ref="G16:K16" si="6">U30</f>
        <v>1.5583333333333331</v>
      </c>
      <c r="H16" s="44">
        <f t="shared" si="6"/>
        <v>1.5583333333333331</v>
      </c>
      <c r="I16" s="44">
        <f t="shared" si="6"/>
        <v>1.5583333333333331</v>
      </c>
      <c r="J16" s="44">
        <f t="shared" si="6"/>
        <v>2.0332222222222223</v>
      </c>
      <c r="K16" s="44">
        <f t="shared" si="6"/>
        <v>4.3822222222222216</v>
      </c>
      <c r="L16" s="11"/>
      <c r="M16" s="8"/>
      <c r="N16" s="47"/>
      <c r="O16" s="56"/>
      <c r="P16" s="49"/>
      <c r="Q16" s="50"/>
      <c r="R16" s="11"/>
      <c r="S16" s="11"/>
      <c r="T16" s="58"/>
      <c r="U16" s="58"/>
      <c r="V16" s="58"/>
      <c r="W16" s="58"/>
      <c r="X16" s="58"/>
      <c r="Y16" s="58"/>
      <c r="Z16" s="11"/>
      <c r="AB16" s="23"/>
    </row>
    <row r="17" spans="2:28" x14ac:dyDescent="0.2">
      <c r="B17" s="22"/>
      <c r="C17" s="8" t="s">
        <v>0</v>
      </c>
      <c r="D17" s="5"/>
      <c r="E17" s="10" t="s">
        <v>19</v>
      </c>
      <c r="F17" s="44">
        <f>T35</f>
        <v>2.16</v>
      </c>
      <c r="G17" s="44">
        <f t="shared" ref="G17:K17" si="7">U35</f>
        <v>2.16</v>
      </c>
      <c r="H17" s="44">
        <f t="shared" si="7"/>
        <v>2.16</v>
      </c>
      <c r="I17" s="44">
        <f t="shared" si="7"/>
        <v>2.16</v>
      </c>
      <c r="J17" s="44">
        <f t="shared" si="7"/>
        <v>2.16</v>
      </c>
      <c r="K17" s="44">
        <f t="shared" si="7"/>
        <v>2.16</v>
      </c>
      <c r="L17" s="11"/>
      <c r="M17" s="11"/>
      <c r="N17" s="47"/>
      <c r="O17" s="56"/>
      <c r="P17" s="49"/>
      <c r="Q17" s="50"/>
      <c r="R17" s="11"/>
      <c r="S17" s="11"/>
      <c r="T17" s="58"/>
      <c r="U17" s="58"/>
      <c r="V17" s="58"/>
      <c r="W17" s="58"/>
      <c r="X17" s="58"/>
      <c r="Y17" s="58"/>
      <c r="Z17" s="11"/>
      <c r="AB17" s="23"/>
    </row>
    <row r="18" spans="2:28" x14ac:dyDescent="0.2">
      <c r="B18" s="22"/>
      <c r="C18" s="8" t="s">
        <v>1</v>
      </c>
      <c r="D18" s="168" t="s">
        <v>344</v>
      </c>
      <c r="E18" s="10" t="s">
        <v>20</v>
      </c>
      <c r="F18" s="44">
        <f>-T39</f>
        <v>0</v>
      </c>
      <c r="G18" s="44">
        <f t="shared" ref="G18:K18" si="8">-U39</f>
        <v>0</v>
      </c>
      <c r="H18" s="44">
        <f t="shared" si="8"/>
        <v>0</v>
      </c>
      <c r="I18" s="44">
        <f t="shared" si="8"/>
        <v>0</v>
      </c>
      <c r="J18" s="44">
        <f t="shared" si="8"/>
        <v>0</v>
      </c>
      <c r="K18" s="44">
        <f t="shared" si="8"/>
        <v>0</v>
      </c>
      <c r="L18" s="11"/>
      <c r="M18" s="11"/>
      <c r="N18" s="46"/>
      <c r="O18" s="54"/>
      <c r="P18" s="49"/>
      <c r="Q18" s="49"/>
      <c r="R18" s="11"/>
      <c r="S18" s="11"/>
      <c r="T18" s="58"/>
      <c r="U18" s="58"/>
      <c r="V18" s="58"/>
      <c r="W18" s="58"/>
      <c r="X18" s="58"/>
      <c r="Y18" s="58"/>
      <c r="Z18" s="11"/>
      <c r="AB18" s="23"/>
    </row>
    <row r="19" spans="2:28" x14ac:dyDescent="0.2">
      <c r="B19" s="7"/>
      <c r="C19" s="8"/>
      <c r="D19" s="9"/>
      <c r="E19" s="10" t="s">
        <v>21</v>
      </c>
      <c r="F19" s="45">
        <f>T31</f>
        <v>0.23374999999999999</v>
      </c>
      <c r="G19" s="45">
        <f t="shared" ref="G19:K19" si="9">U31</f>
        <v>0.23374999999999996</v>
      </c>
      <c r="H19" s="45">
        <f t="shared" si="9"/>
        <v>0.23374999999999996</v>
      </c>
      <c r="I19" s="45">
        <f t="shared" si="9"/>
        <v>0.23374999999999996</v>
      </c>
      <c r="J19" s="45">
        <f t="shared" si="9"/>
        <v>0.30498333333333333</v>
      </c>
      <c r="K19" s="45">
        <f t="shared" si="9"/>
        <v>0.65733333333333321</v>
      </c>
      <c r="L19" s="11"/>
      <c r="M19" s="11"/>
      <c r="N19" s="46"/>
      <c r="O19" s="54"/>
      <c r="P19" s="49"/>
      <c r="Q19" s="49"/>
      <c r="R19" s="11"/>
      <c r="S19" s="11"/>
      <c r="T19" s="58"/>
      <c r="U19" s="58"/>
      <c r="V19" s="58"/>
      <c r="W19" s="58"/>
      <c r="X19" s="58"/>
      <c r="Y19" s="58"/>
      <c r="Z19" s="11"/>
    </row>
    <row r="20" spans="2:28" x14ac:dyDescent="0.2">
      <c r="B20" s="7"/>
      <c r="C20" s="8"/>
      <c r="D20" s="9"/>
      <c r="E20" s="10"/>
      <c r="F20" s="25"/>
      <c r="G20" s="25"/>
      <c r="H20" s="25"/>
      <c r="I20" s="25"/>
      <c r="J20" s="25"/>
      <c r="K20" s="25"/>
      <c r="L20" s="11"/>
      <c r="M20" s="11"/>
      <c r="N20" s="46"/>
      <c r="O20" s="54"/>
      <c r="P20" s="49"/>
      <c r="Q20" s="49"/>
      <c r="R20" s="11"/>
      <c r="S20" s="11" t="s">
        <v>259</v>
      </c>
      <c r="T20" s="157">
        <v>500000</v>
      </c>
      <c r="U20" s="157">
        <v>500000</v>
      </c>
      <c r="V20" s="157">
        <v>500000</v>
      </c>
      <c r="W20" s="157">
        <v>500000</v>
      </c>
      <c r="X20" s="157">
        <v>500000</v>
      </c>
      <c r="Y20" s="157">
        <v>500000</v>
      </c>
      <c r="Z20" s="11" t="s">
        <v>357</v>
      </c>
    </row>
    <row r="21" spans="2:28" ht="22.5" x14ac:dyDescent="0.2">
      <c r="B21" s="11"/>
      <c r="C21" s="8"/>
      <c r="D21" s="9"/>
      <c r="E21" s="172" t="s">
        <v>362</v>
      </c>
      <c r="F21" s="11"/>
      <c r="G21" s="11"/>
      <c r="H21" s="11"/>
      <c r="I21" s="11"/>
      <c r="J21" s="11"/>
      <c r="K21" s="11"/>
      <c r="L21" s="11"/>
      <c r="M21" s="11"/>
      <c r="N21" s="46"/>
      <c r="O21" s="54"/>
      <c r="P21" s="49"/>
      <c r="Q21" s="49"/>
      <c r="R21" s="11"/>
      <c r="S21" s="11" t="s">
        <v>25</v>
      </c>
      <c r="T21" s="59">
        <f>SUMPRODUCT($O13:$O18,$P13:$P18,T13:T18)</f>
        <v>2070000</v>
      </c>
      <c r="U21" s="59">
        <f t="shared" ref="U21:Y21" si="10">SUMPRODUCT($O13:$O18,$P13:$P18,U13:U18)</f>
        <v>1390000</v>
      </c>
      <c r="V21" s="59">
        <f t="shared" si="10"/>
        <v>710000</v>
      </c>
      <c r="W21" s="59">
        <f t="shared" si="10"/>
        <v>710000</v>
      </c>
      <c r="X21" s="59">
        <f t="shared" si="10"/>
        <v>680000</v>
      </c>
      <c r="Y21" s="59">
        <f t="shared" si="10"/>
        <v>680000</v>
      </c>
      <c r="Z21" s="11"/>
    </row>
    <row r="22" spans="2:28" x14ac:dyDescent="0.2">
      <c r="B22" s="11"/>
      <c r="C22" s="8"/>
      <c r="D22" s="9"/>
      <c r="E22" s="10"/>
      <c r="F22" s="11"/>
      <c r="G22" s="11"/>
      <c r="H22" s="11"/>
      <c r="I22" s="11"/>
      <c r="J22" s="11"/>
      <c r="K22" s="11"/>
      <c r="L22" s="11"/>
      <c r="M22" s="11"/>
      <c r="N22" s="46"/>
      <c r="O22" s="54"/>
      <c r="P22" s="49"/>
      <c r="Q22" s="49"/>
      <c r="R22" s="11"/>
      <c r="S22" s="11" t="s">
        <v>44</v>
      </c>
      <c r="T22" s="60">
        <f>T21/(T12*5)</f>
        <v>1.38</v>
      </c>
      <c r="U22" s="60">
        <f t="shared" ref="U22:Y22" si="11">U21/(U12*5)</f>
        <v>1.39</v>
      </c>
      <c r="V22" s="60">
        <f t="shared" si="11"/>
        <v>1.42</v>
      </c>
      <c r="W22" s="60">
        <f t="shared" si="11"/>
        <v>2.84</v>
      </c>
      <c r="X22" s="60">
        <f t="shared" si="11"/>
        <v>13.6</v>
      </c>
      <c r="Y22" s="60">
        <f t="shared" si="11"/>
        <v>136</v>
      </c>
      <c r="Z22" s="11"/>
    </row>
    <row r="23" spans="2:28" x14ac:dyDescent="0.2">
      <c r="B23" s="11"/>
      <c r="C23" s="8"/>
      <c r="D23" s="9"/>
      <c r="E23" s="10"/>
      <c r="F23" s="11"/>
      <c r="G23" s="11"/>
      <c r="H23" s="11"/>
      <c r="I23" s="11"/>
      <c r="J23" s="11"/>
      <c r="K23" s="11"/>
      <c r="L23" s="11"/>
      <c r="M23" s="11"/>
      <c r="N23" s="46"/>
      <c r="O23" s="54"/>
      <c r="P23" s="49"/>
      <c r="Q23" s="49"/>
      <c r="R23" s="11"/>
      <c r="S23" s="11"/>
      <c r="T23" s="13"/>
      <c r="U23" s="13"/>
      <c r="V23" s="13"/>
      <c r="W23" s="13"/>
      <c r="X23" s="13"/>
      <c r="Y23" s="13"/>
      <c r="Z23" s="11"/>
    </row>
    <row r="24" spans="2:28" x14ac:dyDescent="0.2">
      <c r="B24" s="11"/>
      <c r="C24" s="8"/>
      <c r="D24" s="9"/>
      <c r="E24" s="14"/>
      <c r="F24" s="11"/>
      <c r="G24" s="11"/>
      <c r="H24" s="11"/>
      <c r="I24" s="11"/>
      <c r="J24" s="11"/>
      <c r="K24" s="11"/>
      <c r="L24" s="11"/>
      <c r="M24" s="15"/>
      <c r="N24" s="48"/>
      <c r="O24" s="55"/>
      <c r="P24" s="49"/>
      <c r="Q24" s="49"/>
      <c r="R24" s="11"/>
      <c r="S24" s="11" t="s">
        <v>63</v>
      </c>
      <c r="T24" s="46">
        <v>12</v>
      </c>
      <c r="U24" s="46">
        <v>12</v>
      </c>
      <c r="V24" s="46">
        <v>12</v>
      </c>
      <c r="W24" s="46">
        <v>12</v>
      </c>
      <c r="X24" s="46">
        <v>12</v>
      </c>
      <c r="Y24" s="46">
        <v>12</v>
      </c>
      <c r="Z24" s="11" t="s">
        <v>360</v>
      </c>
      <c r="AB24" s="24"/>
    </row>
    <row r="25" spans="2:28" x14ac:dyDescent="0.2">
      <c r="B25" s="11"/>
      <c r="C25" s="8"/>
      <c r="D25" s="9"/>
      <c r="E25" s="14"/>
      <c r="F25" s="11"/>
      <c r="G25" s="11"/>
      <c r="H25" s="11"/>
      <c r="I25" s="11"/>
      <c r="J25" s="11"/>
      <c r="K25" s="11"/>
      <c r="L25" s="11"/>
      <c r="M25" s="15"/>
      <c r="N25" s="48"/>
      <c r="O25" s="55"/>
      <c r="P25" s="49"/>
      <c r="Q25" s="49"/>
      <c r="R25" s="11"/>
      <c r="S25" s="11" t="s">
        <v>62</v>
      </c>
      <c r="T25" s="46">
        <v>0</v>
      </c>
      <c r="U25" s="46">
        <v>0</v>
      </c>
      <c r="V25" s="46">
        <v>0</v>
      </c>
      <c r="W25" s="46">
        <v>0</v>
      </c>
      <c r="X25" s="46">
        <v>1.5</v>
      </c>
      <c r="Y25" s="46">
        <v>1.5</v>
      </c>
      <c r="Z25" s="11" t="s">
        <v>359</v>
      </c>
    </row>
    <row r="26" spans="2:28" x14ac:dyDescent="0.2">
      <c r="B26" s="11"/>
      <c r="C26" s="8"/>
      <c r="D26" s="9"/>
      <c r="E26" s="14"/>
      <c r="F26" s="11"/>
      <c r="G26" s="11"/>
      <c r="H26" s="11"/>
      <c r="I26" s="11"/>
      <c r="J26" s="11"/>
      <c r="K26" s="11"/>
      <c r="L26" s="11"/>
      <c r="M26" s="15"/>
      <c r="N26" s="48"/>
      <c r="O26" s="55"/>
      <c r="P26" s="49"/>
      <c r="Q26" s="49"/>
      <c r="R26" s="11"/>
      <c r="S26" s="11" t="s">
        <v>348</v>
      </c>
      <c r="T26" s="65">
        <f>$R13</f>
        <v>44</v>
      </c>
      <c r="U26" s="65">
        <f t="shared" ref="U26:Y26" si="12">$R13</f>
        <v>44</v>
      </c>
      <c r="V26" s="65">
        <f t="shared" si="12"/>
        <v>44</v>
      </c>
      <c r="W26" s="65">
        <f t="shared" si="12"/>
        <v>44</v>
      </c>
      <c r="X26" s="65">
        <f t="shared" si="12"/>
        <v>44</v>
      </c>
      <c r="Y26" s="65">
        <f t="shared" si="12"/>
        <v>44</v>
      </c>
      <c r="Z26" s="11"/>
    </row>
    <row r="27" spans="2:28" x14ac:dyDescent="0.2">
      <c r="B27" s="11"/>
      <c r="C27" s="8"/>
      <c r="D27" s="9"/>
      <c r="E27" s="14"/>
      <c r="F27" s="11"/>
      <c r="G27" s="11"/>
      <c r="H27" s="11"/>
      <c r="I27" s="11"/>
      <c r="J27" s="11"/>
      <c r="K27" s="11"/>
      <c r="L27" s="11"/>
      <c r="M27" s="15"/>
      <c r="N27" s="48"/>
      <c r="O27" s="55"/>
      <c r="P27" s="49"/>
      <c r="Q27" s="49"/>
      <c r="R27" s="11"/>
      <c r="S27" s="11" t="s">
        <v>60</v>
      </c>
      <c r="T27" s="64">
        <f>T26*T12/3600</f>
        <v>3666.6666666666665</v>
      </c>
      <c r="U27" s="64">
        <f t="shared" ref="U27:Y27" si="13">U26*U12/3600</f>
        <v>2444.4444444444443</v>
      </c>
      <c r="V27" s="64">
        <f t="shared" si="13"/>
        <v>1222.2222222222222</v>
      </c>
      <c r="W27" s="64">
        <f t="shared" si="13"/>
        <v>611.11111111111109</v>
      </c>
      <c r="X27" s="64">
        <f t="shared" si="13"/>
        <v>122.22222222222223</v>
      </c>
      <c r="Y27" s="64">
        <f t="shared" si="13"/>
        <v>12.222222222222221</v>
      </c>
      <c r="Z27" s="11"/>
    </row>
    <row r="28" spans="2:28" x14ac:dyDescent="0.2">
      <c r="B28" s="11"/>
      <c r="C28" s="8"/>
      <c r="D28" s="9"/>
      <c r="E28" s="14"/>
      <c r="F28" s="11"/>
      <c r="G28" s="11"/>
      <c r="H28" s="11"/>
      <c r="I28" s="11"/>
      <c r="J28" s="11"/>
      <c r="K28" s="11"/>
      <c r="L28" s="11"/>
      <c r="M28" s="15"/>
      <c r="N28" s="48"/>
      <c r="O28" s="55"/>
      <c r="P28" s="49"/>
      <c r="Q28" s="49"/>
      <c r="R28" s="11"/>
      <c r="S28" s="11" t="s">
        <v>61</v>
      </c>
      <c r="T28" s="61">
        <f>T27+(T24*T25)</f>
        <v>3666.6666666666665</v>
      </c>
      <c r="U28" s="61">
        <f t="shared" ref="U28:Y28" si="14">U27+(U24*U25)</f>
        <v>2444.4444444444443</v>
      </c>
      <c r="V28" s="61">
        <f t="shared" si="14"/>
        <v>1222.2222222222222</v>
      </c>
      <c r="W28" s="61">
        <f t="shared" si="14"/>
        <v>611.11111111111109</v>
      </c>
      <c r="X28" s="61">
        <f t="shared" si="14"/>
        <v>140.22222222222223</v>
      </c>
      <c r="Y28" s="61">
        <f t="shared" si="14"/>
        <v>30.222222222222221</v>
      </c>
      <c r="Z28" s="11"/>
    </row>
    <row r="29" spans="2:28" x14ac:dyDescent="0.2">
      <c r="B29" s="11"/>
      <c r="C29" s="8"/>
      <c r="D29" s="9"/>
      <c r="E29" s="14"/>
      <c r="F29" s="11"/>
      <c r="G29" s="11"/>
      <c r="H29" s="11"/>
      <c r="I29" s="11"/>
      <c r="J29" s="11"/>
      <c r="K29" s="11"/>
      <c r="L29" s="11"/>
      <c r="M29" s="15"/>
      <c r="N29" s="48"/>
      <c r="O29" s="55"/>
      <c r="P29" s="49"/>
      <c r="Q29" s="49"/>
      <c r="R29" s="11"/>
      <c r="S29" s="11" t="s">
        <v>51</v>
      </c>
      <c r="T29" s="156">
        <v>127.5</v>
      </c>
      <c r="U29" s="156">
        <v>127.5</v>
      </c>
      <c r="V29" s="156">
        <v>127.5</v>
      </c>
      <c r="W29" s="156">
        <v>127.5</v>
      </c>
      <c r="X29" s="156">
        <v>145</v>
      </c>
      <c r="Y29" s="156">
        <v>145</v>
      </c>
      <c r="Z29" s="11" t="s">
        <v>355</v>
      </c>
    </row>
    <row r="30" spans="2:28" x14ac:dyDescent="0.2">
      <c r="B30" s="11"/>
      <c r="C30" s="8"/>
      <c r="D30" s="9"/>
      <c r="E30" s="14"/>
      <c r="F30" s="11"/>
      <c r="G30" s="11"/>
      <c r="H30" s="11"/>
      <c r="I30" s="11"/>
      <c r="J30" s="11"/>
      <c r="K30" s="11"/>
      <c r="L30" s="11"/>
      <c r="M30" s="15"/>
      <c r="N30" s="48"/>
      <c r="O30" s="55"/>
      <c r="P30" s="49"/>
      <c r="Q30" s="49"/>
      <c r="R30" s="11"/>
      <c r="S30" s="11" t="s">
        <v>32</v>
      </c>
      <c r="T30" s="62">
        <f>T13*T29*T28*$O13/T12</f>
        <v>1.5583333333333333</v>
      </c>
      <c r="U30" s="62">
        <f t="shared" ref="U30:Y30" si="15">U13*U29*U28*$O13/U12</f>
        <v>1.5583333333333331</v>
      </c>
      <c r="V30" s="62">
        <f t="shared" si="15"/>
        <v>1.5583333333333331</v>
      </c>
      <c r="W30" s="62">
        <f t="shared" si="15"/>
        <v>1.5583333333333331</v>
      </c>
      <c r="X30" s="62">
        <f t="shared" si="15"/>
        <v>2.0332222222222223</v>
      </c>
      <c r="Y30" s="62">
        <f t="shared" si="15"/>
        <v>4.3822222222222216</v>
      </c>
      <c r="Z30" s="11"/>
    </row>
    <row r="31" spans="2:28" x14ac:dyDescent="0.2">
      <c r="B31" s="11"/>
      <c r="C31" s="8"/>
      <c r="D31" s="9"/>
      <c r="E31" s="14"/>
      <c r="F31" s="11"/>
      <c r="G31" s="11"/>
      <c r="H31" s="11"/>
      <c r="I31" s="11"/>
      <c r="J31" s="11"/>
      <c r="K31" s="11"/>
      <c r="L31" s="11"/>
      <c r="M31" s="15"/>
      <c r="N31" s="48"/>
      <c r="O31" s="55"/>
      <c r="P31" s="49"/>
      <c r="Q31" s="49"/>
      <c r="R31" s="11"/>
      <c r="S31" s="11" t="s">
        <v>21</v>
      </c>
      <c r="T31" s="62">
        <f>T30*'Common Assumptions'!$C$29</f>
        <v>0.23374999999999999</v>
      </c>
      <c r="U31" s="62">
        <f>U30*'Common Assumptions'!$C$29</f>
        <v>0.23374999999999996</v>
      </c>
      <c r="V31" s="62">
        <f>V30*'Common Assumptions'!$C$29</f>
        <v>0.23374999999999996</v>
      </c>
      <c r="W31" s="62">
        <f>W30*'Common Assumptions'!$C$29</f>
        <v>0.23374999999999996</v>
      </c>
      <c r="X31" s="62">
        <f>X30*'Common Assumptions'!$C$29</f>
        <v>0.30498333333333333</v>
      </c>
      <c r="Y31" s="62">
        <f>Y30*'Common Assumptions'!$C$29</f>
        <v>0.65733333333333321</v>
      </c>
      <c r="Z31" s="11"/>
    </row>
    <row r="32" spans="2:28" x14ac:dyDescent="0.2">
      <c r="B32" s="11"/>
      <c r="C32" s="8"/>
      <c r="D32" s="9"/>
      <c r="E32" s="14"/>
      <c r="F32" s="11"/>
      <c r="G32" s="11"/>
      <c r="H32" s="11"/>
      <c r="I32" s="11"/>
      <c r="J32" s="11"/>
      <c r="K32" s="11"/>
      <c r="L32" s="11"/>
      <c r="M32" s="15"/>
      <c r="N32" s="48"/>
      <c r="O32" s="55"/>
      <c r="P32" s="49"/>
      <c r="Q32" s="49"/>
      <c r="R32" s="11"/>
      <c r="S32" s="11" t="s">
        <v>212</v>
      </c>
      <c r="T32" s="169">
        <v>1</v>
      </c>
      <c r="U32" s="169">
        <v>1</v>
      </c>
      <c r="V32" s="169">
        <v>1</v>
      </c>
      <c r="W32" s="169">
        <v>1</v>
      </c>
      <c r="X32" s="169">
        <v>1</v>
      </c>
      <c r="Y32" s="169">
        <v>1</v>
      </c>
      <c r="Z32" s="11" t="s">
        <v>350</v>
      </c>
    </row>
    <row r="33" spans="2:26" x14ac:dyDescent="0.2">
      <c r="B33" s="11"/>
      <c r="C33" s="8"/>
      <c r="D33" s="9"/>
      <c r="E33" s="14"/>
      <c r="F33" s="11"/>
      <c r="G33" s="11"/>
      <c r="H33" s="11"/>
      <c r="I33" s="11"/>
      <c r="J33" s="11"/>
      <c r="K33" s="11"/>
      <c r="L33" s="11"/>
      <c r="M33" s="15"/>
      <c r="N33" s="48"/>
      <c r="O33" s="55"/>
      <c r="P33" s="49"/>
      <c r="Q33" s="49"/>
      <c r="R33" s="11"/>
      <c r="S33" s="11" t="s">
        <v>33</v>
      </c>
      <c r="T33" s="63">
        <f>$D13*T32</f>
        <v>1.35</v>
      </c>
      <c r="U33" s="63">
        <f t="shared" ref="U33:Y33" si="16">$D13*U32</f>
        <v>1.35</v>
      </c>
      <c r="V33" s="63">
        <f t="shared" si="16"/>
        <v>1.35</v>
      </c>
      <c r="W33" s="63">
        <f t="shared" si="16"/>
        <v>1.35</v>
      </c>
      <c r="X33" s="63">
        <f t="shared" si="16"/>
        <v>1.35</v>
      </c>
      <c r="Y33" s="63">
        <f t="shared" si="16"/>
        <v>1.35</v>
      </c>
      <c r="Z33" s="11"/>
    </row>
    <row r="34" spans="2:26" x14ac:dyDescent="0.2">
      <c r="B34" s="11"/>
      <c r="C34" s="8"/>
      <c r="D34" s="9"/>
      <c r="E34" s="14"/>
      <c r="F34" s="11"/>
      <c r="G34" s="11"/>
      <c r="H34" s="11"/>
      <c r="I34" s="11"/>
      <c r="J34" s="11"/>
      <c r="K34" s="11"/>
      <c r="L34" s="11"/>
      <c r="M34" s="15"/>
      <c r="N34" s="48"/>
      <c r="O34" s="55"/>
      <c r="P34" s="49"/>
      <c r="Q34" s="49"/>
      <c r="R34" s="11"/>
      <c r="S34" s="11" t="s">
        <v>351</v>
      </c>
      <c r="T34" s="156">
        <v>1.6</v>
      </c>
      <c r="U34" s="156">
        <v>1.6</v>
      </c>
      <c r="V34" s="156">
        <v>1.6</v>
      </c>
      <c r="W34" s="156">
        <v>1.6</v>
      </c>
      <c r="X34" s="156">
        <v>1.6</v>
      </c>
      <c r="Y34" s="156">
        <v>1.6</v>
      </c>
      <c r="Z34" s="11" t="s">
        <v>350</v>
      </c>
    </row>
    <row r="35" spans="2:26" x14ac:dyDescent="0.2">
      <c r="B35" s="11"/>
      <c r="C35" s="8"/>
      <c r="D35" s="9"/>
      <c r="E35" s="14"/>
      <c r="F35" s="11"/>
      <c r="G35" s="11"/>
      <c r="H35" s="11"/>
      <c r="I35" s="11"/>
      <c r="J35" s="11"/>
      <c r="K35" s="11"/>
      <c r="L35" s="11"/>
      <c r="M35" s="15"/>
      <c r="N35" s="48"/>
      <c r="O35" s="55"/>
      <c r="P35" s="49"/>
      <c r="Q35" s="49"/>
      <c r="R35" s="11"/>
      <c r="S35" s="11" t="s">
        <v>19</v>
      </c>
      <c r="T35" s="62">
        <f>T33*T34</f>
        <v>2.16</v>
      </c>
      <c r="U35" s="62">
        <f t="shared" ref="U35:Y35" si="17">U33*U34</f>
        <v>2.16</v>
      </c>
      <c r="V35" s="62">
        <f t="shared" si="17"/>
        <v>2.16</v>
      </c>
      <c r="W35" s="62">
        <f t="shared" si="17"/>
        <v>2.16</v>
      </c>
      <c r="X35" s="62">
        <f>X33*X34</f>
        <v>2.16</v>
      </c>
      <c r="Y35" s="62">
        <f t="shared" si="17"/>
        <v>2.16</v>
      </c>
      <c r="Z35" s="11"/>
    </row>
    <row r="36" spans="2:26" x14ac:dyDescent="0.2">
      <c r="B36" s="11"/>
      <c r="C36" s="8"/>
      <c r="D36" s="9"/>
      <c r="E36" s="14"/>
      <c r="F36" s="11"/>
      <c r="G36" s="11"/>
      <c r="H36" s="11"/>
      <c r="I36" s="11"/>
      <c r="J36" s="11"/>
      <c r="K36" s="11"/>
      <c r="L36" s="11"/>
      <c r="M36" s="15"/>
      <c r="N36" s="48"/>
      <c r="O36" s="55"/>
      <c r="P36" s="49"/>
      <c r="Q36" s="49"/>
      <c r="R36" s="11"/>
      <c r="S36" s="11" t="s">
        <v>352</v>
      </c>
      <c r="T36" s="169">
        <v>1</v>
      </c>
      <c r="U36" s="169">
        <v>1</v>
      </c>
      <c r="V36" s="169">
        <v>1</v>
      </c>
      <c r="W36" s="169">
        <v>1</v>
      </c>
      <c r="X36" s="169">
        <v>1</v>
      </c>
      <c r="Y36" s="169">
        <v>1</v>
      </c>
      <c r="Z36" s="11" t="s">
        <v>350</v>
      </c>
    </row>
    <row r="37" spans="2:26" x14ac:dyDescent="0.2">
      <c r="B37" s="11"/>
      <c r="C37" s="8"/>
      <c r="D37" s="9"/>
      <c r="E37" s="14"/>
      <c r="F37" s="11"/>
      <c r="G37" s="11"/>
      <c r="H37" s="11"/>
      <c r="I37" s="11"/>
      <c r="J37" s="11"/>
      <c r="K37" s="11"/>
      <c r="L37" s="11"/>
      <c r="M37" s="15"/>
      <c r="N37" s="48"/>
      <c r="O37" s="55"/>
      <c r="P37" s="49"/>
      <c r="Q37" s="49"/>
      <c r="R37" s="11"/>
      <c r="S37" s="11" t="s">
        <v>36</v>
      </c>
      <c r="T37" s="63">
        <f>(T33-$D13)*T36</f>
        <v>0</v>
      </c>
      <c r="U37" s="63">
        <f t="shared" ref="U37:Y37" si="18">(U33-$D13)*U36</f>
        <v>0</v>
      </c>
      <c r="V37" s="63">
        <f t="shared" si="18"/>
        <v>0</v>
      </c>
      <c r="W37" s="63">
        <f t="shared" si="18"/>
        <v>0</v>
      </c>
      <c r="X37" s="63">
        <f>(X33-$D13)*X36</f>
        <v>0</v>
      </c>
      <c r="Y37" s="63">
        <f t="shared" si="18"/>
        <v>0</v>
      </c>
      <c r="Z37" s="11"/>
    </row>
    <row r="38" spans="2:26" x14ac:dyDescent="0.2">
      <c r="B38" s="11"/>
      <c r="C38" s="8"/>
      <c r="D38" s="9"/>
      <c r="E38" s="14"/>
      <c r="F38" s="11"/>
      <c r="G38" s="11"/>
      <c r="H38" s="11"/>
      <c r="I38" s="11"/>
      <c r="J38" s="11"/>
      <c r="K38" s="11"/>
      <c r="L38" s="11"/>
      <c r="M38" s="15"/>
      <c r="N38" s="48"/>
      <c r="O38" s="55"/>
      <c r="P38" s="49"/>
      <c r="Q38" s="49"/>
      <c r="R38" s="11"/>
      <c r="S38" s="11" t="s">
        <v>353</v>
      </c>
      <c r="T38" s="156">
        <v>0.16</v>
      </c>
      <c r="U38" s="156">
        <v>0.16</v>
      </c>
      <c r="V38" s="156">
        <v>0.16</v>
      </c>
      <c r="W38" s="156">
        <v>0.16</v>
      </c>
      <c r="X38" s="156">
        <v>0.16</v>
      </c>
      <c r="Y38" s="156">
        <v>0.16</v>
      </c>
      <c r="Z38" s="11" t="s">
        <v>354</v>
      </c>
    </row>
    <row r="39" spans="2:26" x14ac:dyDescent="0.2">
      <c r="B39" s="17"/>
      <c r="C39" s="18"/>
      <c r="D39" s="19"/>
      <c r="E39" s="20"/>
      <c r="F39" s="17"/>
      <c r="G39" s="17"/>
      <c r="H39" s="17"/>
      <c r="I39" s="17"/>
      <c r="J39" s="17"/>
      <c r="K39" s="17"/>
      <c r="L39" s="17"/>
      <c r="M39" s="21"/>
      <c r="N39" s="52"/>
      <c r="O39" s="57"/>
      <c r="P39" s="53"/>
      <c r="Q39" s="53"/>
      <c r="R39" s="17"/>
      <c r="S39" s="17" t="s">
        <v>20</v>
      </c>
      <c r="T39" s="66">
        <f>T37*T38</f>
        <v>0</v>
      </c>
      <c r="U39" s="66">
        <f t="shared" ref="U39:Y39" si="19">U37*U38</f>
        <v>0</v>
      </c>
      <c r="V39" s="66">
        <f t="shared" si="19"/>
        <v>0</v>
      </c>
      <c r="W39" s="66">
        <f t="shared" si="19"/>
        <v>0</v>
      </c>
      <c r="X39" s="66">
        <f>X37*X38</f>
        <v>0</v>
      </c>
      <c r="Y39" s="66">
        <f t="shared" si="19"/>
        <v>0</v>
      </c>
      <c r="Z39" s="17"/>
    </row>
    <row r="40" spans="2:26" x14ac:dyDescent="0.2">
      <c r="F40" s="23"/>
      <c r="G40" s="23"/>
      <c r="H40" s="23"/>
      <c r="I40" s="23"/>
      <c r="J40" s="23"/>
      <c r="K40" s="23"/>
    </row>
    <row r="41" spans="2:26" x14ac:dyDescent="0.2">
      <c r="F41" s="23"/>
      <c r="G41" s="23"/>
      <c r="H41" s="23"/>
      <c r="I41" s="23"/>
      <c r="J41" s="23"/>
      <c r="K41" s="23"/>
    </row>
    <row r="44" spans="2:26" x14ac:dyDescent="0.2">
      <c r="J44" s="23"/>
      <c r="K44" s="23"/>
    </row>
  </sheetData>
  <mergeCells count="5">
    <mergeCell ref="C12:D12"/>
    <mergeCell ref="B9:Z9"/>
    <mergeCell ref="B11:D11"/>
    <mergeCell ref="E11:K11"/>
    <mergeCell ref="L11:Z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1"/>
  <sheetViews>
    <sheetView zoomScaleNormal="100" workbookViewId="0">
      <selection activeCell="C6" sqref="C6"/>
    </sheetView>
  </sheetViews>
  <sheetFormatPr defaultRowHeight="15" x14ac:dyDescent="0.25"/>
  <cols>
    <col min="1" max="1" width="4" style="1" customWidth="1"/>
    <col min="2" max="2" width="37" style="1" bestFit="1" customWidth="1"/>
    <col min="3" max="3" width="19.28515625" style="1" customWidth="1"/>
    <col min="4" max="4" width="23.140625" style="1" bestFit="1" customWidth="1"/>
    <col min="5" max="5" width="39" style="1" customWidth="1"/>
    <col min="6" max="6" width="13.5703125" style="1" bestFit="1" customWidth="1"/>
    <col min="7" max="7" width="29.28515625" style="1" bestFit="1" customWidth="1"/>
    <col min="8" max="8" width="13.5703125" style="1" bestFit="1" customWidth="1"/>
    <col min="9" max="9" width="19.140625" style="1" bestFit="1" customWidth="1"/>
    <col min="10" max="10" width="18.42578125" style="1" bestFit="1" customWidth="1"/>
    <col min="11" max="16384" width="9.140625" style="1"/>
  </cols>
  <sheetData>
    <row r="2" spans="2:9" x14ac:dyDescent="0.25">
      <c r="B2" s="105" t="s">
        <v>8</v>
      </c>
      <c r="C2" s="105" t="s">
        <v>28</v>
      </c>
      <c r="D2" s="105" t="s">
        <v>29</v>
      </c>
      <c r="E2" s="105" t="s">
        <v>39</v>
      </c>
      <c r="G2" s="105" t="s">
        <v>219</v>
      </c>
      <c r="H2" s="105" t="s">
        <v>28</v>
      </c>
      <c r="I2" s="105" t="s">
        <v>29</v>
      </c>
    </row>
    <row r="3" spans="2:9" x14ac:dyDescent="0.25">
      <c r="B3" s="139" t="s">
        <v>18</v>
      </c>
      <c r="C3" s="141">
        <f>48*100</f>
        <v>4800</v>
      </c>
      <c r="D3" s="141" t="s">
        <v>38</v>
      </c>
      <c r="E3" s="141" t="s">
        <v>55</v>
      </c>
      <c r="G3" s="4" t="s">
        <v>3</v>
      </c>
      <c r="H3" s="3">
        <v>0.12</v>
      </c>
      <c r="I3" s="3" t="s">
        <v>35</v>
      </c>
    </row>
    <row r="4" spans="2:9" x14ac:dyDescent="0.25">
      <c r="B4" s="139" t="s">
        <v>9</v>
      </c>
      <c r="C4" s="141">
        <v>45</v>
      </c>
      <c r="D4" s="141" t="s">
        <v>31</v>
      </c>
      <c r="E4" s="141"/>
      <c r="G4" s="2"/>
      <c r="H4" s="147"/>
      <c r="I4" s="147"/>
    </row>
    <row r="5" spans="2:9" x14ac:dyDescent="0.25">
      <c r="B5" s="139" t="s">
        <v>52</v>
      </c>
      <c r="C5" s="142">
        <v>0.1</v>
      </c>
      <c r="D5" s="142"/>
      <c r="E5" s="142" t="s">
        <v>70</v>
      </c>
      <c r="G5" s="105" t="s">
        <v>220</v>
      </c>
      <c r="H5" s="105" t="s">
        <v>28</v>
      </c>
      <c r="I5" s="105" t="s">
        <v>29</v>
      </c>
    </row>
    <row r="6" spans="2:9" x14ac:dyDescent="0.25">
      <c r="B6" s="139" t="s">
        <v>53</v>
      </c>
      <c r="C6" s="142">
        <v>0.08</v>
      </c>
      <c r="D6" s="142"/>
      <c r="E6" s="141"/>
      <c r="G6" s="139" t="s">
        <v>11</v>
      </c>
      <c r="H6" s="141">
        <v>2.08</v>
      </c>
      <c r="I6" s="141" t="s">
        <v>34</v>
      </c>
    </row>
    <row r="7" spans="2:9" x14ac:dyDescent="0.25">
      <c r="B7" s="139" t="s">
        <v>54</v>
      </c>
      <c r="C7" s="141">
        <v>12</v>
      </c>
      <c r="D7" s="141" t="s">
        <v>46</v>
      </c>
      <c r="E7" s="141"/>
      <c r="G7" s="139" t="s">
        <v>48</v>
      </c>
      <c r="H7" s="141">
        <v>0.85</v>
      </c>
      <c r="I7" s="141" t="s">
        <v>34</v>
      </c>
    </row>
    <row r="8" spans="2:9" x14ac:dyDescent="0.25">
      <c r="B8" s="143" t="s">
        <v>30</v>
      </c>
      <c r="C8" s="144">
        <v>0.01</v>
      </c>
      <c r="D8" s="144"/>
      <c r="E8" s="141" t="s">
        <v>71</v>
      </c>
      <c r="G8" s="139" t="s">
        <v>49</v>
      </c>
      <c r="H8" s="148">
        <f>0.73*1.1</f>
        <v>0.80300000000000005</v>
      </c>
      <c r="I8" s="141" t="s">
        <v>34</v>
      </c>
    </row>
    <row r="9" spans="2:9" x14ac:dyDescent="0.25">
      <c r="B9" s="139" t="s">
        <v>12</v>
      </c>
      <c r="C9" s="144">
        <v>5.0000000000000001E-3</v>
      </c>
      <c r="D9" s="144"/>
      <c r="E9" s="141" t="s">
        <v>71</v>
      </c>
      <c r="G9" s="139" t="s">
        <v>50</v>
      </c>
      <c r="H9" s="141">
        <f>0.73</f>
        <v>0.73</v>
      </c>
      <c r="I9" s="141" t="s">
        <v>34</v>
      </c>
    </row>
    <row r="10" spans="2:9" x14ac:dyDescent="0.25">
      <c r="B10" s="139" t="s">
        <v>13</v>
      </c>
      <c r="C10" s="144">
        <v>0.03</v>
      </c>
      <c r="D10" s="144"/>
      <c r="E10" s="141" t="s">
        <v>71</v>
      </c>
      <c r="G10" s="139" t="s">
        <v>221</v>
      </c>
      <c r="H10" s="141">
        <v>1.5</v>
      </c>
      <c r="I10" s="141" t="s">
        <v>34</v>
      </c>
    </row>
    <row r="11" spans="2:9" x14ac:dyDescent="0.25">
      <c r="B11" s="139" t="s">
        <v>67</v>
      </c>
      <c r="C11" s="144">
        <v>4.3999999999999997E-2</v>
      </c>
      <c r="D11" s="144"/>
      <c r="E11" s="141" t="s">
        <v>72</v>
      </c>
      <c r="G11" s="139" t="s">
        <v>222</v>
      </c>
      <c r="H11" s="141">
        <v>7.7</v>
      </c>
      <c r="I11" s="141" t="s">
        <v>34</v>
      </c>
    </row>
    <row r="12" spans="2:9" x14ac:dyDescent="0.25">
      <c r="B12" s="139" t="s">
        <v>68</v>
      </c>
      <c r="C12" s="145">
        <v>122.2</v>
      </c>
      <c r="D12" s="144" t="s">
        <v>69</v>
      </c>
      <c r="E12" s="141"/>
      <c r="G12" s="139" t="s">
        <v>223</v>
      </c>
      <c r="H12" s="141">
        <v>1.8</v>
      </c>
      <c r="I12" s="141" t="s">
        <v>34</v>
      </c>
    </row>
    <row r="13" spans="2:9" x14ac:dyDescent="0.25">
      <c r="B13" s="139" t="s">
        <v>45</v>
      </c>
      <c r="C13" s="146">
        <v>5</v>
      </c>
      <c r="D13" s="141" t="s">
        <v>46</v>
      </c>
      <c r="E13" s="141"/>
      <c r="G13" s="139" t="s">
        <v>224</v>
      </c>
      <c r="H13" s="141">
        <v>1.6</v>
      </c>
      <c r="I13" s="141" t="s">
        <v>34</v>
      </c>
    </row>
    <row r="14" spans="2:9" x14ac:dyDescent="0.25">
      <c r="G14" s="139" t="s">
        <v>225</v>
      </c>
      <c r="H14" s="141">
        <v>1.4</v>
      </c>
      <c r="I14" s="141" t="s">
        <v>34</v>
      </c>
    </row>
    <row r="15" spans="2:9" x14ac:dyDescent="0.25">
      <c r="B15" s="105" t="s">
        <v>211</v>
      </c>
      <c r="C15" s="105" t="s">
        <v>28</v>
      </c>
      <c r="D15" s="105" t="s">
        <v>29</v>
      </c>
      <c r="E15" s="106" t="s">
        <v>39</v>
      </c>
      <c r="G15" s="139" t="s">
        <v>226</v>
      </c>
      <c r="H15" s="141">
        <v>2.86</v>
      </c>
      <c r="I15" s="141" t="s">
        <v>34</v>
      </c>
    </row>
    <row r="16" spans="2:9" x14ac:dyDescent="0.25">
      <c r="B16" s="185" t="s">
        <v>212</v>
      </c>
      <c r="C16" s="185"/>
      <c r="D16" s="185"/>
      <c r="E16" s="185"/>
      <c r="G16" s="139" t="s">
        <v>227</v>
      </c>
      <c r="H16" s="141">
        <v>3.125</v>
      </c>
      <c r="I16" s="141" t="s">
        <v>34</v>
      </c>
    </row>
    <row r="17" spans="2:12" x14ac:dyDescent="0.25">
      <c r="B17" s="139" t="s">
        <v>213</v>
      </c>
      <c r="C17" s="140">
        <v>1.1499999999999999</v>
      </c>
      <c r="D17" s="141"/>
      <c r="E17" s="139"/>
      <c r="G17" s="139" t="s">
        <v>228</v>
      </c>
      <c r="H17" s="141">
        <v>1</v>
      </c>
      <c r="I17" s="141" t="s">
        <v>34</v>
      </c>
    </row>
    <row r="18" spans="2:12" x14ac:dyDescent="0.25">
      <c r="B18" s="139" t="s">
        <v>214</v>
      </c>
      <c r="C18" s="140">
        <v>1.3</v>
      </c>
      <c r="D18" s="141"/>
      <c r="E18" s="139"/>
      <c r="G18" s="139" t="s">
        <v>229</v>
      </c>
      <c r="H18" s="141">
        <v>3.7</v>
      </c>
      <c r="I18" s="141" t="s">
        <v>34</v>
      </c>
    </row>
    <row r="19" spans="2:12" x14ac:dyDescent="0.25">
      <c r="B19" s="139" t="s">
        <v>215</v>
      </c>
      <c r="C19" s="140">
        <v>1.05</v>
      </c>
      <c r="D19" s="141"/>
      <c r="E19" s="139"/>
      <c r="G19" s="139" t="s">
        <v>230</v>
      </c>
      <c r="H19" s="141">
        <v>2.75</v>
      </c>
      <c r="I19" s="141" t="s">
        <v>34</v>
      </c>
    </row>
    <row r="20" spans="2:12" x14ac:dyDescent="0.25">
      <c r="B20" s="139" t="s">
        <v>216</v>
      </c>
      <c r="C20" s="140">
        <v>1</v>
      </c>
      <c r="D20" s="141"/>
      <c r="E20" s="139"/>
      <c r="G20" s="139" t="s">
        <v>231</v>
      </c>
      <c r="H20" s="141">
        <v>2.69</v>
      </c>
      <c r="I20" s="141" t="s">
        <v>34</v>
      </c>
    </row>
    <row r="21" spans="2:12" x14ac:dyDescent="0.25">
      <c r="B21" s="185" t="s">
        <v>217</v>
      </c>
      <c r="C21" s="185"/>
      <c r="D21" s="185"/>
      <c r="E21" s="185"/>
      <c r="G21" s="139" t="s">
        <v>232</v>
      </c>
      <c r="H21" s="141">
        <v>4.6500000000000004</v>
      </c>
      <c r="I21" s="141" t="s">
        <v>34</v>
      </c>
    </row>
    <row r="22" spans="2:12" x14ac:dyDescent="0.25">
      <c r="B22" s="139" t="s">
        <v>213</v>
      </c>
      <c r="C22" s="140">
        <v>1</v>
      </c>
      <c r="D22" s="141"/>
      <c r="E22" s="139"/>
      <c r="G22" s="139" t="s">
        <v>233</v>
      </c>
      <c r="H22" s="141">
        <v>3.36</v>
      </c>
      <c r="I22" s="141" t="s">
        <v>34</v>
      </c>
    </row>
    <row r="23" spans="2:12" x14ac:dyDescent="0.25">
      <c r="B23" s="139" t="s">
        <v>214</v>
      </c>
      <c r="C23" s="140">
        <v>0.75</v>
      </c>
      <c r="D23" s="141"/>
      <c r="E23" s="139"/>
      <c r="G23" s="139" t="s">
        <v>234</v>
      </c>
      <c r="H23" s="141">
        <v>4</v>
      </c>
      <c r="I23" s="141" t="s">
        <v>34</v>
      </c>
    </row>
    <row r="24" spans="2:12" x14ac:dyDescent="0.25">
      <c r="B24" s="139" t="s">
        <v>215</v>
      </c>
      <c r="C24" s="140">
        <v>1</v>
      </c>
      <c r="D24" s="141"/>
      <c r="E24" s="139"/>
      <c r="G24" s="139" t="s">
        <v>235</v>
      </c>
      <c r="H24" s="141">
        <v>8.8000000000000007</v>
      </c>
      <c r="I24" s="141" t="s">
        <v>34</v>
      </c>
    </row>
    <row r="25" spans="2:12" x14ac:dyDescent="0.25">
      <c r="B25" s="185" t="s">
        <v>257</v>
      </c>
      <c r="C25" s="185"/>
      <c r="D25" s="185"/>
      <c r="E25" s="185"/>
      <c r="G25" s="165" t="s">
        <v>236</v>
      </c>
      <c r="H25" s="166">
        <v>30</v>
      </c>
      <c r="I25" s="166" t="s">
        <v>34</v>
      </c>
    </row>
    <row r="26" spans="2:12" x14ac:dyDescent="0.25">
      <c r="B26" s="139" t="s">
        <v>263</v>
      </c>
      <c r="C26" s="140">
        <v>0.1</v>
      </c>
      <c r="D26" s="141"/>
      <c r="E26" s="139"/>
      <c r="G26" s="139" t="s">
        <v>332</v>
      </c>
      <c r="H26" s="141">
        <v>3.35</v>
      </c>
      <c r="I26" s="166" t="s">
        <v>34</v>
      </c>
      <c r="J26" s="2"/>
      <c r="K26" s="147"/>
      <c r="L26" s="147"/>
    </row>
    <row r="27" spans="2:12" x14ac:dyDescent="0.25">
      <c r="B27" s="139" t="s">
        <v>358</v>
      </c>
      <c r="C27" s="140">
        <v>1</v>
      </c>
      <c r="D27" s="141"/>
      <c r="E27" s="139"/>
      <c r="G27" s="139" t="s">
        <v>333</v>
      </c>
      <c r="H27" s="141">
        <v>2.6</v>
      </c>
      <c r="I27" s="166" t="s">
        <v>34</v>
      </c>
      <c r="J27" s="2"/>
      <c r="K27" s="147"/>
      <c r="L27" s="147"/>
    </row>
    <row r="28" spans="2:12" x14ac:dyDescent="0.25">
      <c r="B28" s="185" t="s">
        <v>218</v>
      </c>
      <c r="C28" s="185"/>
      <c r="D28" s="185"/>
      <c r="E28" s="185"/>
      <c r="G28" s="139" t="s">
        <v>334</v>
      </c>
      <c r="H28" s="141">
        <v>0.3</v>
      </c>
      <c r="I28" s="141" t="s">
        <v>340</v>
      </c>
      <c r="J28" s="2"/>
      <c r="K28" s="147"/>
      <c r="L28" s="147"/>
    </row>
    <row r="29" spans="2:12" x14ac:dyDescent="0.25">
      <c r="B29" s="139" t="s">
        <v>42</v>
      </c>
      <c r="C29" s="142">
        <v>0.15</v>
      </c>
      <c r="D29" s="141"/>
      <c r="E29" s="142" t="s">
        <v>73</v>
      </c>
      <c r="G29" s="139" t="s">
        <v>335</v>
      </c>
      <c r="H29" s="141">
        <v>0.11</v>
      </c>
      <c r="I29" s="141" t="s">
        <v>340</v>
      </c>
      <c r="J29" s="2"/>
      <c r="K29" s="147"/>
      <c r="L29" s="147"/>
    </row>
    <row r="30" spans="2:12" x14ac:dyDescent="0.25">
      <c r="G30" s="139" t="s">
        <v>336</v>
      </c>
      <c r="H30" s="141">
        <v>0.35</v>
      </c>
      <c r="I30" s="141" t="s">
        <v>340</v>
      </c>
    </row>
    <row r="31" spans="2:12" x14ac:dyDescent="0.25">
      <c r="G31" s="139" t="s">
        <v>337</v>
      </c>
      <c r="H31" s="141">
        <v>25</v>
      </c>
      <c r="I31" s="141" t="s">
        <v>341</v>
      </c>
    </row>
    <row r="32" spans="2:12" x14ac:dyDescent="0.25">
      <c r="G32" s="139" t="s">
        <v>338</v>
      </c>
      <c r="H32" s="141">
        <v>75</v>
      </c>
      <c r="I32" s="141" t="s">
        <v>341</v>
      </c>
    </row>
    <row r="33" spans="7:9" x14ac:dyDescent="0.25">
      <c r="G33" s="139" t="s">
        <v>339</v>
      </c>
      <c r="H33" s="141">
        <v>40</v>
      </c>
      <c r="I33" s="141" t="s">
        <v>341</v>
      </c>
    </row>
    <row r="34" spans="7:9" x14ac:dyDescent="0.25">
      <c r="G34" s="2"/>
      <c r="H34" s="147"/>
      <c r="I34" s="147"/>
    </row>
    <row r="36" spans="7:9" x14ac:dyDescent="0.25">
      <c r="G36" s="105" t="s">
        <v>237</v>
      </c>
      <c r="H36" s="105" t="s">
        <v>28</v>
      </c>
      <c r="I36" s="105" t="s">
        <v>29</v>
      </c>
    </row>
    <row r="37" spans="7:9" x14ac:dyDescent="0.25">
      <c r="G37" s="139" t="s">
        <v>238</v>
      </c>
      <c r="H37" s="141">
        <v>200</v>
      </c>
      <c r="I37" s="141" t="s">
        <v>239</v>
      </c>
    </row>
    <row r="38" spans="7:9" x14ac:dyDescent="0.25">
      <c r="G38" s="139" t="s">
        <v>240</v>
      </c>
      <c r="H38" s="141">
        <v>2</v>
      </c>
      <c r="I38" s="141" t="s">
        <v>241</v>
      </c>
    </row>
    <row r="39" spans="7:9" x14ac:dyDescent="0.25">
      <c r="G39" s="139" t="s">
        <v>242</v>
      </c>
      <c r="H39" s="149">
        <v>21100</v>
      </c>
      <c r="I39" s="141" t="s">
        <v>243</v>
      </c>
    </row>
    <row r="40" spans="7:9" x14ac:dyDescent="0.25">
      <c r="G40" s="139" t="s">
        <v>244</v>
      </c>
      <c r="H40" s="141">
        <v>67.7</v>
      </c>
      <c r="I40" s="141" t="s">
        <v>245</v>
      </c>
    </row>
    <row r="41" spans="7:9" x14ac:dyDescent="0.25">
      <c r="G41" s="139" t="s">
        <v>246</v>
      </c>
      <c r="H41" s="148">
        <f>H37*H38/H39</f>
        <v>1.8957345971563982E-2</v>
      </c>
      <c r="I41" s="141"/>
    </row>
  </sheetData>
  <mergeCells count="4">
    <mergeCell ref="B16:E16"/>
    <mergeCell ref="B21:E21"/>
    <mergeCell ref="B28:E28"/>
    <mergeCell ref="B25:E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52"/>
  <sheetViews>
    <sheetView tabSelected="1" zoomScale="90" zoomScaleNormal="90" workbookViewId="0">
      <pane ySplit="8" topLeftCell="A9" activePane="bottomLeft" state="frozen"/>
      <selection pane="bottomLeft" activeCell="D21" sqref="D21"/>
    </sheetView>
  </sheetViews>
  <sheetFormatPr defaultRowHeight="15" x14ac:dyDescent="0.25"/>
  <cols>
    <col min="1" max="1" width="4" style="138" customWidth="1"/>
    <col min="2" max="2" width="37.140625" style="138" bestFit="1" customWidth="1"/>
    <col min="3" max="3" width="20" style="138" customWidth="1"/>
    <col min="4" max="4" width="18.140625" style="138" customWidth="1"/>
    <col min="5" max="5" width="15.42578125" style="138" customWidth="1"/>
    <col min="6" max="6" width="23.5703125" style="138" customWidth="1"/>
    <col min="7" max="7" width="78.28515625" style="138" customWidth="1"/>
    <col min="8" max="16384" width="9.140625" style="138"/>
  </cols>
  <sheetData>
    <row r="2" spans="2:7" x14ac:dyDescent="0.25">
      <c r="C2" s="187" t="s">
        <v>119</v>
      </c>
      <c r="D2" s="187"/>
      <c r="E2" s="187"/>
      <c r="F2" s="187"/>
      <c r="G2" s="187"/>
    </row>
    <row r="3" spans="2:7" x14ac:dyDescent="0.25">
      <c r="C3" s="188" t="s">
        <v>120</v>
      </c>
      <c r="D3" s="188"/>
      <c r="E3" s="188"/>
      <c r="F3" s="188"/>
      <c r="G3" s="188"/>
    </row>
    <row r="4" spans="2:7" ht="27.75" customHeight="1" x14ac:dyDescent="0.25">
      <c r="C4" s="189" t="s">
        <v>121</v>
      </c>
      <c r="D4" s="189"/>
      <c r="E4" s="189"/>
      <c r="F4" s="189"/>
      <c r="G4" s="189"/>
    </row>
    <row r="5" spans="2:7" x14ac:dyDescent="0.25">
      <c r="C5" s="188" t="s">
        <v>122</v>
      </c>
      <c r="D5" s="188"/>
      <c r="E5" s="188"/>
      <c r="F5" s="188"/>
      <c r="G5" s="188"/>
    </row>
    <row r="6" spans="2:7" x14ac:dyDescent="0.25">
      <c r="C6" s="188" t="s">
        <v>123</v>
      </c>
      <c r="D6" s="188"/>
      <c r="E6" s="188"/>
      <c r="F6" s="188"/>
      <c r="G6" s="188"/>
    </row>
    <row r="8" spans="2:7" ht="33" customHeight="1" x14ac:dyDescent="0.25">
      <c r="B8" s="106" t="s">
        <v>197</v>
      </c>
      <c r="C8" s="106" t="s">
        <v>349</v>
      </c>
      <c r="D8" s="111" t="s">
        <v>125</v>
      </c>
      <c r="E8" s="111" t="s">
        <v>126</v>
      </c>
      <c r="F8" s="111" t="s">
        <v>127</v>
      </c>
      <c r="G8" s="106" t="s">
        <v>39</v>
      </c>
    </row>
    <row r="9" spans="2:7" x14ac:dyDescent="0.25">
      <c r="B9" s="117" t="s">
        <v>124</v>
      </c>
      <c r="C9" s="112" t="s">
        <v>175</v>
      </c>
      <c r="D9" s="109">
        <v>72</v>
      </c>
      <c r="E9" s="109">
        <v>2</v>
      </c>
      <c r="F9" s="109">
        <v>5</v>
      </c>
      <c r="G9" s="186" t="s">
        <v>128</v>
      </c>
    </row>
    <row r="10" spans="2:7" x14ac:dyDescent="0.25">
      <c r="B10" s="117" t="s">
        <v>124</v>
      </c>
      <c r="C10" s="112" t="s">
        <v>176</v>
      </c>
      <c r="D10" s="109">
        <v>111</v>
      </c>
      <c r="E10" s="109">
        <v>4.7</v>
      </c>
      <c r="F10" s="109">
        <v>5</v>
      </c>
      <c r="G10" s="186"/>
    </row>
    <row r="11" spans="2:7" x14ac:dyDescent="0.25">
      <c r="B11" s="117" t="s">
        <v>124</v>
      </c>
      <c r="C11" s="112" t="s">
        <v>177</v>
      </c>
      <c r="D11" s="109">
        <v>136</v>
      </c>
      <c r="E11" s="109">
        <v>6.2</v>
      </c>
      <c r="F11" s="109">
        <v>5</v>
      </c>
      <c r="G11" s="186"/>
    </row>
    <row r="12" spans="2:7" x14ac:dyDescent="0.25">
      <c r="B12" s="117" t="s">
        <v>124</v>
      </c>
      <c r="C12" s="112" t="s">
        <v>178</v>
      </c>
      <c r="D12" s="109">
        <v>199</v>
      </c>
      <c r="E12" s="109">
        <v>7.65</v>
      </c>
      <c r="F12" s="109">
        <v>5</v>
      </c>
      <c r="G12" s="186"/>
    </row>
    <row r="13" spans="2:7" x14ac:dyDescent="0.25">
      <c r="B13" s="117" t="s">
        <v>124</v>
      </c>
      <c r="C13" s="112" t="s">
        <v>179</v>
      </c>
      <c r="D13" s="109">
        <v>261</v>
      </c>
      <c r="E13" s="109">
        <v>10</v>
      </c>
      <c r="F13" s="109">
        <v>5</v>
      </c>
      <c r="G13" s="186"/>
    </row>
    <row r="14" spans="2:7" x14ac:dyDescent="0.25">
      <c r="B14" s="117" t="s">
        <v>124</v>
      </c>
      <c r="C14" s="112" t="s">
        <v>180</v>
      </c>
      <c r="D14" s="109">
        <v>352</v>
      </c>
      <c r="E14" s="109">
        <v>11.8</v>
      </c>
      <c r="F14" s="109">
        <v>5</v>
      </c>
      <c r="G14" s="186"/>
    </row>
    <row r="15" spans="2:7" x14ac:dyDescent="0.25">
      <c r="B15" s="118" t="s">
        <v>129</v>
      </c>
      <c r="C15" s="112" t="s">
        <v>178</v>
      </c>
      <c r="D15" s="109">
        <v>300</v>
      </c>
      <c r="E15" s="109">
        <v>20</v>
      </c>
      <c r="F15" s="109">
        <v>5</v>
      </c>
      <c r="G15" s="108" t="s">
        <v>130</v>
      </c>
    </row>
    <row r="16" spans="2:7" x14ac:dyDescent="0.25">
      <c r="B16" s="119" t="s">
        <v>131</v>
      </c>
      <c r="C16" s="112"/>
      <c r="D16" s="109">
        <v>300</v>
      </c>
      <c r="E16" s="113" t="s">
        <v>181</v>
      </c>
      <c r="F16" s="109">
        <v>0.5</v>
      </c>
      <c r="G16" s="108"/>
    </row>
    <row r="17" spans="2:7" ht="30" x14ac:dyDescent="0.25">
      <c r="B17" s="120" t="s">
        <v>182</v>
      </c>
      <c r="C17" s="112" t="s">
        <v>183</v>
      </c>
      <c r="D17" s="109">
        <v>340</v>
      </c>
      <c r="E17" s="109">
        <v>103</v>
      </c>
      <c r="F17" s="109">
        <v>5</v>
      </c>
      <c r="G17" s="108" t="s">
        <v>184</v>
      </c>
    </row>
    <row r="18" spans="2:7" ht="30" x14ac:dyDescent="0.25">
      <c r="B18" s="121" t="s">
        <v>37</v>
      </c>
      <c r="C18" s="114" t="s">
        <v>188</v>
      </c>
      <c r="D18" s="115">
        <v>56</v>
      </c>
      <c r="E18" s="113" t="s">
        <v>186</v>
      </c>
      <c r="F18" s="109"/>
      <c r="G18" s="108" t="s">
        <v>209</v>
      </c>
    </row>
    <row r="19" spans="2:7" ht="30" x14ac:dyDescent="0.25">
      <c r="B19" s="121" t="s">
        <v>37</v>
      </c>
      <c r="C19" s="114" t="s">
        <v>185</v>
      </c>
      <c r="D19" s="115">
        <v>86</v>
      </c>
      <c r="E19" s="113" t="s">
        <v>186</v>
      </c>
      <c r="F19" s="109">
        <v>5</v>
      </c>
      <c r="G19" s="108" t="s">
        <v>134</v>
      </c>
    </row>
    <row r="20" spans="2:7" x14ac:dyDescent="0.25">
      <c r="B20" s="122" t="s">
        <v>187</v>
      </c>
      <c r="C20" s="114" t="s">
        <v>132</v>
      </c>
      <c r="D20" s="109">
        <v>511</v>
      </c>
      <c r="E20" s="109">
        <v>11.6</v>
      </c>
      <c r="F20" s="109"/>
      <c r="G20" s="109" t="s">
        <v>135</v>
      </c>
    </row>
    <row r="21" spans="2:7" x14ac:dyDescent="0.25">
      <c r="B21" s="122" t="s">
        <v>187</v>
      </c>
      <c r="C21" s="114" t="s">
        <v>136</v>
      </c>
      <c r="D21" s="109">
        <v>145</v>
      </c>
      <c r="E21" s="109">
        <v>24.3</v>
      </c>
      <c r="F21" s="109">
        <v>5</v>
      </c>
      <c r="G21" s="109" t="s">
        <v>137</v>
      </c>
    </row>
    <row r="22" spans="2:7" x14ac:dyDescent="0.25">
      <c r="B22" s="122" t="s">
        <v>187</v>
      </c>
      <c r="C22" s="114" t="s">
        <v>138</v>
      </c>
      <c r="D22" s="109">
        <v>78.5</v>
      </c>
      <c r="E22" s="109">
        <v>121</v>
      </c>
      <c r="F22" s="109">
        <v>10</v>
      </c>
      <c r="G22" s="109" t="s">
        <v>139</v>
      </c>
    </row>
    <row r="23" spans="2:7" x14ac:dyDescent="0.25">
      <c r="B23" s="121" t="s">
        <v>37</v>
      </c>
      <c r="C23" s="114" t="s">
        <v>190</v>
      </c>
      <c r="D23" s="115">
        <v>115</v>
      </c>
      <c r="E23" s="113" t="s">
        <v>189</v>
      </c>
      <c r="F23" s="109">
        <v>2.5</v>
      </c>
      <c r="G23" s="108"/>
    </row>
    <row r="24" spans="2:7" ht="30" x14ac:dyDescent="0.25">
      <c r="B24" s="123" t="s">
        <v>191</v>
      </c>
      <c r="C24" s="114" t="s">
        <v>192</v>
      </c>
      <c r="D24" s="109">
        <v>100</v>
      </c>
      <c r="E24" s="109">
        <v>11.6</v>
      </c>
      <c r="F24" s="109"/>
      <c r="G24" s="109" t="s">
        <v>135</v>
      </c>
    </row>
    <row r="25" spans="2:7" ht="30" x14ac:dyDescent="0.25">
      <c r="B25" s="123" t="s">
        <v>191</v>
      </c>
      <c r="C25" s="114" t="s">
        <v>193</v>
      </c>
      <c r="D25" s="109">
        <v>60</v>
      </c>
      <c r="E25" s="109">
        <v>24.3</v>
      </c>
      <c r="F25" s="109">
        <v>2.5</v>
      </c>
      <c r="G25" s="109" t="s">
        <v>137</v>
      </c>
    </row>
    <row r="26" spans="2:7" ht="30" x14ac:dyDescent="0.25">
      <c r="B26" s="123" t="s">
        <v>191</v>
      </c>
      <c r="C26" s="114" t="s">
        <v>194</v>
      </c>
      <c r="D26" s="109">
        <v>25</v>
      </c>
      <c r="E26" s="109">
        <v>121</v>
      </c>
      <c r="F26" s="109">
        <v>2.5</v>
      </c>
      <c r="G26" s="109" t="s">
        <v>139</v>
      </c>
    </row>
    <row r="27" spans="2:7" x14ac:dyDescent="0.25">
      <c r="B27" s="124" t="s">
        <v>195</v>
      </c>
      <c r="C27" s="114" t="s">
        <v>132</v>
      </c>
      <c r="D27" s="116" t="s">
        <v>142</v>
      </c>
      <c r="E27" s="113">
        <v>360</v>
      </c>
      <c r="F27" s="113"/>
      <c r="G27" s="108" t="s">
        <v>196</v>
      </c>
    </row>
    <row r="28" spans="2:7" x14ac:dyDescent="0.25">
      <c r="B28" s="124" t="s">
        <v>195</v>
      </c>
      <c r="C28" s="114" t="s">
        <v>133</v>
      </c>
      <c r="D28" s="116" t="s">
        <v>143</v>
      </c>
      <c r="E28" s="113">
        <v>360</v>
      </c>
      <c r="F28" s="113">
        <v>2.5</v>
      </c>
      <c r="G28" s="108" t="s">
        <v>196</v>
      </c>
    </row>
    <row r="29" spans="2:7" x14ac:dyDescent="0.25">
      <c r="B29" s="125" t="s">
        <v>144</v>
      </c>
      <c r="C29" s="114" t="s">
        <v>145</v>
      </c>
      <c r="D29" s="109">
        <v>127.5</v>
      </c>
      <c r="E29" s="109">
        <v>44</v>
      </c>
      <c r="F29" s="109"/>
      <c r="G29" s="109" t="s">
        <v>146</v>
      </c>
    </row>
    <row r="30" spans="2:7" x14ac:dyDescent="0.25">
      <c r="B30" s="125" t="s">
        <v>144</v>
      </c>
      <c r="C30" s="114" t="s">
        <v>147</v>
      </c>
      <c r="D30" s="109">
        <v>145</v>
      </c>
      <c r="E30" s="109">
        <v>44</v>
      </c>
      <c r="F30" s="109">
        <v>1.5</v>
      </c>
      <c r="G30" s="109" t="s">
        <v>148</v>
      </c>
    </row>
    <row r="31" spans="2:7" x14ac:dyDescent="0.25">
      <c r="B31" s="125" t="s">
        <v>144</v>
      </c>
      <c r="C31" s="114" t="s">
        <v>149</v>
      </c>
      <c r="D31" s="109">
        <v>78.5</v>
      </c>
      <c r="E31" s="109">
        <v>33</v>
      </c>
      <c r="F31" s="109"/>
      <c r="G31" s="109" t="s">
        <v>146</v>
      </c>
    </row>
    <row r="32" spans="2:7" x14ac:dyDescent="0.25">
      <c r="B32" s="125" t="s">
        <v>144</v>
      </c>
      <c r="C32" s="114" t="s">
        <v>150</v>
      </c>
      <c r="D32" s="109">
        <v>96</v>
      </c>
      <c r="E32" s="109">
        <v>33</v>
      </c>
      <c r="F32" s="109">
        <v>1.5</v>
      </c>
      <c r="G32" s="109" t="s">
        <v>148</v>
      </c>
    </row>
    <row r="33" spans="2:7" x14ac:dyDescent="0.25">
      <c r="B33" s="125" t="s">
        <v>144</v>
      </c>
      <c r="C33" s="114" t="s">
        <v>151</v>
      </c>
      <c r="D33" s="109">
        <v>56.5</v>
      </c>
      <c r="E33" s="109">
        <v>39</v>
      </c>
      <c r="F33" s="109"/>
      <c r="G33" s="109" t="s">
        <v>146</v>
      </c>
    </row>
    <row r="34" spans="2:7" x14ac:dyDescent="0.25">
      <c r="B34" s="125" t="s">
        <v>144</v>
      </c>
      <c r="C34" s="114" t="s">
        <v>152</v>
      </c>
      <c r="D34" s="109">
        <v>74</v>
      </c>
      <c r="E34" s="109">
        <v>39</v>
      </c>
      <c r="F34" s="109">
        <v>1.5</v>
      </c>
      <c r="G34" s="109" t="s">
        <v>148</v>
      </c>
    </row>
    <row r="35" spans="2:7" x14ac:dyDescent="0.25">
      <c r="B35" s="125" t="s">
        <v>144</v>
      </c>
      <c r="C35" s="114" t="s">
        <v>153</v>
      </c>
      <c r="D35" s="109">
        <v>45.5</v>
      </c>
      <c r="E35" s="113" t="s">
        <v>154</v>
      </c>
      <c r="F35" s="109"/>
      <c r="G35" s="109" t="s">
        <v>146</v>
      </c>
    </row>
    <row r="36" spans="2:7" x14ac:dyDescent="0.25">
      <c r="B36" s="125" t="s">
        <v>144</v>
      </c>
      <c r="C36" s="114" t="s">
        <v>155</v>
      </c>
      <c r="D36" s="109">
        <v>63</v>
      </c>
      <c r="E36" s="113" t="s">
        <v>154</v>
      </c>
      <c r="F36" s="109">
        <v>1.5</v>
      </c>
      <c r="G36" s="109" t="s">
        <v>148</v>
      </c>
    </row>
    <row r="37" spans="2:7" x14ac:dyDescent="0.25">
      <c r="B37" s="125" t="s">
        <v>144</v>
      </c>
      <c r="C37" s="114" t="s">
        <v>156</v>
      </c>
      <c r="D37" s="109">
        <v>35.5</v>
      </c>
      <c r="E37" s="109">
        <v>30</v>
      </c>
      <c r="F37" s="109"/>
      <c r="G37" s="109" t="s">
        <v>146</v>
      </c>
    </row>
    <row r="38" spans="2:7" x14ac:dyDescent="0.25">
      <c r="B38" s="125" t="s">
        <v>144</v>
      </c>
      <c r="C38" s="114" t="s">
        <v>157</v>
      </c>
      <c r="D38" s="109">
        <v>53</v>
      </c>
      <c r="E38" s="109">
        <v>30</v>
      </c>
      <c r="F38" s="109">
        <v>1.5</v>
      </c>
      <c r="G38" s="109" t="s">
        <v>148</v>
      </c>
    </row>
    <row r="39" spans="2:7" x14ac:dyDescent="0.25">
      <c r="B39" s="125" t="s">
        <v>144</v>
      </c>
      <c r="C39" s="114" t="s">
        <v>158</v>
      </c>
      <c r="D39" s="109">
        <v>31</v>
      </c>
      <c r="E39" s="109">
        <v>40</v>
      </c>
      <c r="F39" s="109"/>
      <c r="G39" s="109" t="s">
        <v>146</v>
      </c>
    </row>
    <row r="40" spans="2:7" x14ac:dyDescent="0.25">
      <c r="B40" s="125" t="s">
        <v>144</v>
      </c>
      <c r="C40" s="114" t="s">
        <v>159</v>
      </c>
      <c r="D40" s="109">
        <v>48.5</v>
      </c>
      <c r="E40" s="109">
        <v>40</v>
      </c>
      <c r="F40" s="109">
        <v>1.5</v>
      </c>
      <c r="G40" s="109" t="s">
        <v>148</v>
      </c>
    </row>
    <row r="41" spans="2:7" x14ac:dyDescent="0.25">
      <c r="B41" s="125" t="s">
        <v>144</v>
      </c>
      <c r="C41" s="114" t="s">
        <v>160</v>
      </c>
      <c r="D41" s="109">
        <v>24.5</v>
      </c>
      <c r="E41" s="109">
        <v>30</v>
      </c>
      <c r="F41" s="109"/>
      <c r="G41" s="109" t="s">
        <v>146</v>
      </c>
    </row>
    <row r="42" spans="2:7" x14ac:dyDescent="0.25">
      <c r="B42" s="125" t="s">
        <v>144</v>
      </c>
      <c r="C42" s="114" t="s">
        <v>161</v>
      </c>
      <c r="D42" s="109">
        <v>47</v>
      </c>
      <c r="E42" s="109">
        <v>30</v>
      </c>
      <c r="F42" s="109">
        <v>1.5</v>
      </c>
      <c r="G42" s="109" t="s">
        <v>148</v>
      </c>
    </row>
    <row r="43" spans="2:7" ht="30" x14ac:dyDescent="0.25">
      <c r="B43" s="126" t="s">
        <v>162</v>
      </c>
      <c r="C43" s="114" t="s">
        <v>163</v>
      </c>
      <c r="D43" s="109">
        <v>44.5</v>
      </c>
      <c r="E43" s="109">
        <v>30</v>
      </c>
      <c r="F43" s="109"/>
      <c r="G43" s="109"/>
    </row>
    <row r="44" spans="2:7" ht="30" x14ac:dyDescent="0.25">
      <c r="B44" s="126" t="s">
        <v>162</v>
      </c>
      <c r="C44" s="114" t="s">
        <v>164</v>
      </c>
      <c r="D44" s="109">
        <v>64</v>
      </c>
      <c r="E44" s="109">
        <v>30</v>
      </c>
      <c r="F44" s="109">
        <v>1.5</v>
      </c>
      <c r="G44" s="109"/>
    </row>
    <row r="45" spans="2:7" ht="30" x14ac:dyDescent="0.25">
      <c r="B45" s="126" t="s">
        <v>162</v>
      </c>
      <c r="C45" s="114" t="s">
        <v>165</v>
      </c>
      <c r="D45" s="109">
        <v>72.3</v>
      </c>
      <c r="E45" s="109">
        <v>40</v>
      </c>
      <c r="F45" s="109"/>
      <c r="G45" s="109"/>
    </row>
    <row r="46" spans="2:7" ht="30" x14ac:dyDescent="0.25">
      <c r="B46" s="126" t="s">
        <v>162</v>
      </c>
      <c r="C46" s="114" t="s">
        <v>166</v>
      </c>
      <c r="D46" s="109">
        <v>91.5</v>
      </c>
      <c r="E46" s="109">
        <v>40</v>
      </c>
      <c r="F46" s="109">
        <v>1.5</v>
      </c>
      <c r="G46" s="109"/>
    </row>
    <row r="47" spans="2:7" x14ac:dyDescent="0.25">
      <c r="B47" s="127" t="s">
        <v>200</v>
      </c>
      <c r="C47" s="112" t="s">
        <v>167</v>
      </c>
      <c r="D47" s="109">
        <v>53</v>
      </c>
      <c r="E47" s="113" t="s">
        <v>198</v>
      </c>
      <c r="F47" s="109">
        <v>1</v>
      </c>
      <c r="G47" s="110" t="s">
        <v>199</v>
      </c>
    </row>
    <row r="48" spans="2:7" ht="30" x14ac:dyDescent="0.25">
      <c r="B48" s="128" t="s">
        <v>202</v>
      </c>
      <c r="C48" s="114" t="s">
        <v>201</v>
      </c>
      <c r="D48" s="109">
        <v>47</v>
      </c>
      <c r="E48" s="109">
        <v>10</v>
      </c>
      <c r="F48" s="109">
        <v>1.5</v>
      </c>
      <c r="G48" s="109" t="s">
        <v>168</v>
      </c>
    </row>
    <row r="49" spans="2:7" x14ac:dyDescent="0.25">
      <c r="B49" s="129" t="s">
        <v>203</v>
      </c>
      <c r="C49" s="114" t="s">
        <v>169</v>
      </c>
      <c r="D49" s="109">
        <v>53</v>
      </c>
      <c r="E49" s="113" t="s">
        <v>204</v>
      </c>
      <c r="F49" s="109">
        <v>0</v>
      </c>
      <c r="G49" s="109"/>
    </row>
    <row r="50" spans="2:7" x14ac:dyDescent="0.25">
      <c r="B50" s="130" t="s">
        <v>170</v>
      </c>
      <c r="C50" s="114" t="s">
        <v>206</v>
      </c>
      <c r="D50" s="109">
        <v>90</v>
      </c>
      <c r="E50" s="109">
        <v>57.6</v>
      </c>
      <c r="F50" s="109">
        <v>2</v>
      </c>
      <c r="G50" s="109" t="s">
        <v>171</v>
      </c>
    </row>
    <row r="51" spans="2:7" x14ac:dyDescent="0.25">
      <c r="B51" s="131" t="s">
        <v>205</v>
      </c>
      <c r="C51" s="114" t="s">
        <v>206</v>
      </c>
      <c r="D51" s="109">
        <v>59.5</v>
      </c>
      <c r="E51" s="109">
        <v>230.4</v>
      </c>
      <c r="F51" s="109">
        <v>2</v>
      </c>
      <c r="G51" s="109" t="s">
        <v>172</v>
      </c>
    </row>
    <row r="52" spans="2:7" x14ac:dyDescent="0.25">
      <c r="B52" s="132" t="s">
        <v>208</v>
      </c>
      <c r="C52" s="114" t="s">
        <v>206</v>
      </c>
      <c r="D52" s="109">
        <v>10</v>
      </c>
      <c r="E52" s="113" t="s">
        <v>207</v>
      </c>
      <c r="F52" s="109">
        <v>0.5</v>
      </c>
      <c r="G52" s="109" t="s">
        <v>173</v>
      </c>
    </row>
  </sheetData>
  <autoFilter ref="B8:G52"/>
  <mergeCells count="6">
    <mergeCell ref="G9:G14"/>
    <mergeCell ref="C2:G2"/>
    <mergeCell ref="C3:G3"/>
    <mergeCell ref="C4:G4"/>
    <mergeCell ref="C5:G5"/>
    <mergeCell ref="C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4"/>
  <sheetViews>
    <sheetView zoomScaleNormal="100" workbookViewId="0">
      <selection activeCell="C7" sqref="C7"/>
    </sheetView>
  </sheetViews>
  <sheetFormatPr defaultColWidth="35.140625" defaultRowHeight="15" x14ac:dyDescent="0.25"/>
  <cols>
    <col min="1" max="1" width="4" style="1" customWidth="1"/>
    <col min="2" max="2" width="3.28515625" style="1" customWidth="1"/>
    <col min="3" max="3" width="72.28515625" style="1" customWidth="1"/>
    <col min="4" max="4" width="15.140625" style="1" customWidth="1"/>
    <col min="5" max="6" width="13.28515625" style="1" customWidth="1"/>
    <col min="7" max="7" width="21" style="1" customWidth="1"/>
    <col min="8" max="8" width="14.5703125" style="1" customWidth="1"/>
    <col min="9" max="16384" width="35.140625" style="1"/>
  </cols>
  <sheetData>
    <row r="1" spans="1:43" ht="15.75" thickBot="1" x14ac:dyDescent="0.3"/>
    <row r="2" spans="1:43" customFormat="1" x14ac:dyDescent="0.25">
      <c r="A2" s="1"/>
      <c r="B2" s="190" t="s">
        <v>74</v>
      </c>
      <c r="C2" s="191"/>
      <c r="D2" s="67"/>
      <c r="E2" s="68" t="s">
        <v>75</v>
      </c>
      <c r="F2" s="1"/>
      <c r="G2" s="133" t="s">
        <v>17</v>
      </c>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row>
    <row r="3" spans="1:43" customFormat="1" x14ac:dyDescent="0.25">
      <c r="A3" s="1"/>
      <c r="B3" s="69" t="s">
        <v>76</v>
      </c>
      <c r="C3" s="70" t="s">
        <v>77</v>
      </c>
      <c r="D3" s="71">
        <v>300000</v>
      </c>
      <c r="E3" s="192"/>
      <c r="F3" s="1"/>
      <c r="G3" s="134" t="s">
        <v>210</v>
      </c>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customFormat="1" x14ac:dyDescent="0.25">
      <c r="A4" s="1"/>
      <c r="B4" s="69" t="s">
        <v>78</v>
      </c>
      <c r="C4" s="70" t="s">
        <v>79</v>
      </c>
      <c r="D4" s="72">
        <f>'Common Assumptions'!$C$5</f>
        <v>0.1</v>
      </c>
      <c r="E4" s="192"/>
      <c r="F4" s="1"/>
      <c r="G4" s="135" t="s">
        <v>14</v>
      </c>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customFormat="1" x14ac:dyDescent="0.25">
      <c r="A5" s="1"/>
      <c r="B5" s="73" t="s">
        <v>80</v>
      </c>
      <c r="C5" s="74" t="s">
        <v>81</v>
      </c>
      <c r="D5" s="75">
        <f>D3*(1+D4)</f>
        <v>330000</v>
      </c>
      <c r="E5" s="192"/>
      <c r="F5" s="1"/>
      <c r="G5" s="136" t="s">
        <v>15</v>
      </c>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row>
    <row r="6" spans="1:43" customFormat="1" ht="15.75" thickBot="1" x14ac:dyDescent="0.3">
      <c r="A6" s="1"/>
      <c r="B6" s="69" t="s">
        <v>82</v>
      </c>
      <c r="C6" s="76" t="s">
        <v>83</v>
      </c>
      <c r="D6" s="77">
        <f>'Common Assumptions'!$C$6</f>
        <v>0.08</v>
      </c>
      <c r="E6" s="192"/>
      <c r="F6" s="1"/>
      <c r="G6" s="137" t="s">
        <v>16</v>
      </c>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row>
    <row r="7" spans="1:43" customFormat="1" x14ac:dyDescent="0.25">
      <c r="A7" s="1"/>
      <c r="B7" s="69" t="s">
        <v>84</v>
      </c>
      <c r="C7" s="76" t="s">
        <v>85</v>
      </c>
      <c r="D7" s="78">
        <f>'Common Assumptions'!$C$7</f>
        <v>12</v>
      </c>
      <c r="E7" s="192"/>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row>
    <row r="8" spans="1:43" customFormat="1" x14ac:dyDescent="0.25">
      <c r="A8" s="1"/>
      <c r="B8" s="73" t="s">
        <v>86</v>
      </c>
      <c r="C8" s="74" t="s">
        <v>87</v>
      </c>
      <c r="D8" s="79">
        <f>12*(D5*(D6/12)*(1+D6/12)^(D7*12))/((1+D6/12)^(D7*12)-1)</f>
        <v>42865.122302778087</v>
      </c>
      <c r="E8" s="192"/>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row>
    <row r="9" spans="1:43" customFormat="1" x14ac:dyDescent="0.25">
      <c r="A9" s="1"/>
      <c r="B9" s="69" t="s">
        <v>88</v>
      </c>
      <c r="C9" s="76" t="s">
        <v>89</v>
      </c>
      <c r="D9" s="77">
        <f>'Common Assumptions'!$C$8</f>
        <v>0.01</v>
      </c>
      <c r="E9" s="192"/>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row>
    <row r="10" spans="1:43" customFormat="1" x14ac:dyDescent="0.25">
      <c r="A10" s="1"/>
      <c r="B10" s="69" t="s">
        <v>90</v>
      </c>
      <c r="C10" s="70" t="s">
        <v>91</v>
      </c>
      <c r="D10" s="80">
        <f>'Common Assumptions'!$C$9</f>
        <v>5.0000000000000001E-3</v>
      </c>
      <c r="E10" s="192"/>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spans="1:43" customFormat="1" x14ac:dyDescent="0.25">
      <c r="A11" s="1"/>
      <c r="B11" s="81" t="s">
        <v>92</v>
      </c>
      <c r="C11" s="82" t="s">
        <v>93</v>
      </c>
      <c r="D11" s="77">
        <f>'Common Assumptions'!$C$10</f>
        <v>0.03</v>
      </c>
      <c r="E11" s="193"/>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spans="1:43" customFormat="1" x14ac:dyDescent="0.25">
      <c r="A12" s="1"/>
      <c r="B12" s="83" t="s">
        <v>94</v>
      </c>
      <c r="C12" s="84" t="s">
        <v>95</v>
      </c>
      <c r="D12" s="85">
        <f>D8*(1+D9+D10+D11)</f>
        <v>44794.052806403095</v>
      </c>
      <c r="E12" s="86">
        <f>D12/D23</f>
        <v>9.3320943346673122</v>
      </c>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customFormat="1" x14ac:dyDescent="0.25">
      <c r="A13" s="1"/>
      <c r="B13" s="87" t="s">
        <v>96</v>
      </c>
      <c r="C13" s="88" t="s">
        <v>97</v>
      </c>
      <c r="D13" s="89">
        <f>'Common Assumptions'!$C$11</f>
        <v>4.3999999999999997E-2</v>
      </c>
      <c r="E13" s="194"/>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row>
    <row r="14" spans="1:43" customFormat="1" x14ac:dyDescent="0.25">
      <c r="A14" s="1"/>
      <c r="B14" s="69" t="s">
        <v>98</v>
      </c>
      <c r="C14" s="70" t="s">
        <v>99</v>
      </c>
      <c r="D14" s="101">
        <f>'Common Assumptions'!$C$12</f>
        <v>122.2</v>
      </c>
      <c r="E14" s="195"/>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spans="1:43" customFormat="1" x14ac:dyDescent="0.25">
      <c r="A15" s="1"/>
      <c r="B15" s="81" t="s">
        <v>100</v>
      </c>
      <c r="C15" s="82" t="s">
        <v>101</v>
      </c>
      <c r="D15" s="90">
        <v>450</v>
      </c>
      <c r="E15" s="196"/>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customFormat="1" x14ac:dyDescent="0.25">
      <c r="A16" s="1"/>
      <c r="B16" s="83" t="s">
        <v>102</v>
      </c>
      <c r="C16" s="84" t="s">
        <v>103</v>
      </c>
      <c r="D16" s="91">
        <f>D12*D13+D14*D15</f>
        <v>56960.938323481736</v>
      </c>
      <c r="E16" s="86">
        <f>D16/D23</f>
        <v>11.866862150725362</v>
      </c>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row>
    <row r="17" spans="1:43" customFormat="1" x14ac:dyDescent="0.25">
      <c r="A17" s="1"/>
      <c r="B17" s="87" t="s">
        <v>104</v>
      </c>
      <c r="C17" s="88" t="s">
        <v>105</v>
      </c>
      <c r="D17" s="92">
        <v>4.1100000000000003</v>
      </c>
      <c r="E17" s="197"/>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row>
    <row r="18" spans="1:43" customFormat="1" x14ac:dyDescent="0.25">
      <c r="A18" s="1"/>
      <c r="B18" s="81" t="s">
        <v>106</v>
      </c>
      <c r="C18" s="82" t="s">
        <v>107</v>
      </c>
      <c r="D18" s="93">
        <f>'Common Assumptions'!$H$3</f>
        <v>0.12</v>
      </c>
      <c r="E18" s="198"/>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row>
    <row r="19" spans="1:43" customFormat="1" ht="23.25" x14ac:dyDescent="0.25">
      <c r="A19" s="1"/>
      <c r="B19" s="83" t="s">
        <v>108</v>
      </c>
      <c r="C19" s="84" t="s">
        <v>109</v>
      </c>
      <c r="D19" s="94"/>
      <c r="E19" s="95">
        <f>D17*D18</f>
        <v>0.49320000000000003</v>
      </c>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row>
    <row r="20" spans="1:43" customFormat="1" x14ac:dyDescent="0.25">
      <c r="A20" s="1"/>
      <c r="B20" s="87" t="s">
        <v>110</v>
      </c>
      <c r="C20" s="88" t="s">
        <v>111</v>
      </c>
      <c r="D20" s="96">
        <f>'Common Assumptions'!$C$4</f>
        <v>45</v>
      </c>
      <c r="E20" s="197"/>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spans="1:43" customFormat="1" x14ac:dyDescent="0.25">
      <c r="A21" s="1"/>
      <c r="B21" s="81" t="s">
        <v>112</v>
      </c>
      <c r="C21" s="82" t="s">
        <v>113</v>
      </c>
      <c r="D21" s="90">
        <v>1</v>
      </c>
      <c r="E21" s="198"/>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row>
    <row r="22" spans="1:43" customFormat="1" ht="23.25" x14ac:dyDescent="0.25">
      <c r="A22" s="1"/>
      <c r="B22" s="83" t="s">
        <v>114</v>
      </c>
      <c r="C22" s="84" t="s">
        <v>115</v>
      </c>
      <c r="D22" s="94"/>
      <c r="E22" s="95">
        <f>D20*D21</f>
        <v>45</v>
      </c>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row>
    <row r="23" spans="1:43" customFormat="1" ht="24" thickBot="1" x14ac:dyDescent="0.3">
      <c r="A23" s="1"/>
      <c r="B23" s="97"/>
      <c r="C23" s="98" t="s">
        <v>116</v>
      </c>
      <c r="D23" s="99">
        <f>'Common Assumptions'!$C$3</f>
        <v>4800</v>
      </c>
      <c r="E23" s="100"/>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row>
    <row r="24" spans="1:43" customFormat="1" ht="18" customHeight="1" thickBot="1" x14ac:dyDescent="0.3">
      <c r="A24" s="1"/>
      <c r="B24" s="102"/>
      <c r="C24" s="103" t="s">
        <v>117</v>
      </c>
      <c r="D24" s="103" t="s">
        <v>118</v>
      </c>
      <c r="E24" s="104">
        <f>E12+E16+E19+E22</f>
        <v>66.692156485392672</v>
      </c>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row>
  </sheetData>
  <mergeCells count="5">
    <mergeCell ref="B2:C2"/>
    <mergeCell ref="E3:E11"/>
    <mergeCell ref="E13:E15"/>
    <mergeCell ref="E17:E18"/>
    <mergeCell ref="E20:E2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3"/>
  <sheetViews>
    <sheetView workbookViewId="0">
      <selection activeCell="B24" sqref="B24"/>
    </sheetView>
  </sheetViews>
  <sheetFormatPr defaultRowHeight="15" x14ac:dyDescent="0.25"/>
  <cols>
    <col min="1" max="1" width="5.28515625" style="1" customWidth="1"/>
    <col min="2" max="2" width="24.42578125" style="1" bestFit="1" customWidth="1"/>
    <col min="3" max="3" width="15.42578125" style="1" bestFit="1" customWidth="1"/>
    <col min="4" max="16384" width="9.140625" style="1"/>
  </cols>
  <sheetData>
    <row r="2" spans="2:3" x14ac:dyDescent="0.25">
      <c r="B2" s="199" t="s">
        <v>247</v>
      </c>
      <c r="C2" s="199"/>
    </row>
    <row r="3" spans="2:3" x14ac:dyDescent="0.25">
      <c r="B3" s="107" t="s">
        <v>248</v>
      </c>
      <c r="C3" s="158">
        <v>95000</v>
      </c>
    </row>
    <row r="4" spans="2:3" x14ac:dyDescent="0.25">
      <c r="B4" s="107" t="s">
        <v>57</v>
      </c>
      <c r="C4" s="158">
        <v>75000</v>
      </c>
    </row>
    <row r="5" spans="2:3" x14ac:dyDescent="0.25">
      <c r="B5" s="107" t="s">
        <v>249</v>
      </c>
      <c r="C5" s="158">
        <v>75000</v>
      </c>
    </row>
    <row r="6" spans="2:3" x14ac:dyDescent="0.25">
      <c r="B6" s="107" t="s">
        <v>250</v>
      </c>
      <c r="C6" s="158">
        <v>200000</v>
      </c>
    </row>
    <row r="7" spans="2:3" x14ac:dyDescent="0.25">
      <c r="B7" s="107" t="s">
        <v>56</v>
      </c>
      <c r="C7" s="158">
        <v>70000</v>
      </c>
    </row>
    <row r="8" spans="2:3" x14ac:dyDescent="0.25">
      <c r="B8" s="107" t="s">
        <v>251</v>
      </c>
      <c r="C8" s="158">
        <v>55000</v>
      </c>
    </row>
    <row r="10" spans="2:3" x14ac:dyDescent="0.25">
      <c r="B10" s="199" t="s">
        <v>311</v>
      </c>
      <c r="C10" s="199"/>
    </row>
    <row r="11" spans="2:3" x14ac:dyDescent="0.25">
      <c r="B11" s="107" t="s">
        <v>312</v>
      </c>
      <c r="C11" s="107" t="s">
        <v>330</v>
      </c>
    </row>
    <row r="12" spans="2:3" x14ac:dyDescent="0.25">
      <c r="B12" s="107" t="s">
        <v>313</v>
      </c>
      <c r="C12" s="107" t="s">
        <v>314</v>
      </c>
    </row>
    <row r="13" spans="2:3" x14ac:dyDescent="0.25">
      <c r="B13" s="107" t="s">
        <v>315</v>
      </c>
      <c r="C13" s="107" t="s">
        <v>316</v>
      </c>
    </row>
    <row r="14" spans="2:3" x14ac:dyDescent="0.25">
      <c r="B14" s="107" t="s">
        <v>328</v>
      </c>
      <c r="C14" s="107" t="s">
        <v>329</v>
      </c>
    </row>
    <row r="16" spans="2:3" x14ac:dyDescent="0.25">
      <c r="B16" s="199" t="s">
        <v>317</v>
      </c>
      <c r="C16" s="199"/>
    </row>
    <row r="17" spans="2:3" x14ac:dyDescent="0.25">
      <c r="B17" s="107" t="s">
        <v>318</v>
      </c>
      <c r="C17" s="107" t="s">
        <v>319</v>
      </c>
    </row>
    <row r="18" spans="2:3" x14ac:dyDescent="0.25">
      <c r="B18" s="107" t="s">
        <v>320</v>
      </c>
      <c r="C18" s="107" t="s">
        <v>326</v>
      </c>
    </row>
    <row r="19" spans="2:3" x14ac:dyDescent="0.25">
      <c r="B19" s="107" t="s">
        <v>321</v>
      </c>
      <c r="C19" s="107" t="s">
        <v>327</v>
      </c>
    </row>
    <row r="21" spans="2:3" x14ac:dyDescent="0.25">
      <c r="B21" s="199" t="s">
        <v>322</v>
      </c>
      <c r="C21" s="199"/>
    </row>
    <row r="22" spans="2:3" x14ac:dyDescent="0.25">
      <c r="B22" s="107" t="s">
        <v>312</v>
      </c>
      <c r="C22" s="107" t="s">
        <v>323</v>
      </c>
    </row>
    <row r="23" spans="2:3" x14ac:dyDescent="0.25">
      <c r="B23" s="107" t="s">
        <v>324</v>
      </c>
      <c r="C23" s="107" t="s">
        <v>325</v>
      </c>
    </row>
  </sheetData>
  <mergeCells count="4">
    <mergeCell ref="B2:C2"/>
    <mergeCell ref="B10:C10"/>
    <mergeCell ref="B16:C16"/>
    <mergeCell ref="B21:C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4"/>
  <sheetViews>
    <sheetView workbookViewId="0">
      <selection activeCell="D5" sqref="D5"/>
    </sheetView>
  </sheetViews>
  <sheetFormatPr defaultRowHeight="15" x14ac:dyDescent="0.25"/>
  <cols>
    <col min="1" max="1" width="4.7109375" style="1" customWidth="1"/>
    <col min="2" max="2" width="35.28515625" style="1" bestFit="1" customWidth="1"/>
    <col min="3" max="3" width="23.5703125" style="1" bestFit="1" customWidth="1"/>
    <col min="4" max="4" width="17.5703125" style="1" customWidth="1"/>
    <col min="5" max="5" width="15.85546875" style="1" customWidth="1"/>
    <col min="6" max="6" width="49.42578125" style="1" hidden="1" customWidth="1"/>
    <col min="7" max="10" width="9.140625" style="1"/>
    <col min="11" max="11" width="6.7109375" style="1" customWidth="1"/>
    <col min="12" max="12" width="7.140625" style="1" customWidth="1"/>
    <col min="13" max="13" width="4.5703125" style="1" customWidth="1"/>
    <col min="14" max="16384" width="9.140625" style="1"/>
  </cols>
  <sheetData>
    <row r="2" spans="2:15" ht="15" customHeight="1" x14ac:dyDescent="0.25">
      <c r="B2" s="187" t="s">
        <v>301</v>
      </c>
      <c r="C2" s="187"/>
      <c r="D2" s="187"/>
      <c r="E2" s="187"/>
      <c r="F2" s="187"/>
      <c r="H2" s="200" t="s">
        <v>305</v>
      </c>
      <c r="I2" s="200"/>
      <c r="J2" s="200"/>
      <c r="K2" s="200"/>
      <c r="L2" s="200"/>
      <c r="M2" s="200"/>
      <c r="N2" s="162"/>
      <c r="O2" s="162"/>
    </row>
    <row r="3" spans="2:15" ht="30" customHeight="1" x14ac:dyDescent="0.25">
      <c r="B3" s="106" t="s">
        <v>174</v>
      </c>
      <c r="C3" s="106" t="s">
        <v>264</v>
      </c>
      <c r="D3" s="163" t="s">
        <v>304</v>
      </c>
      <c r="E3" s="163" t="s">
        <v>303</v>
      </c>
      <c r="F3" s="106" t="s">
        <v>265</v>
      </c>
      <c r="H3" s="200"/>
      <c r="I3" s="200"/>
      <c r="J3" s="200"/>
      <c r="K3" s="200"/>
      <c r="L3" s="200"/>
      <c r="M3" s="200"/>
      <c r="N3" s="162"/>
      <c r="O3" s="162"/>
    </row>
    <row r="4" spans="2:15" x14ac:dyDescent="0.25">
      <c r="B4" s="109" t="s">
        <v>263</v>
      </c>
      <c r="C4" s="159" t="s">
        <v>260</v>
      </c>
      <c r="D4" s="159">
        <v>1000000</v>
      </c>
      <c r="E4" s="160">
        <v>1500000</v>
      </c>
      <c r="F4" s="159" t="s">
        <v>266</v>
      </c>
      <c r="H4" s="200"/>
      <c r="I4" s="200"/>
      <c r="J4" s="200"/>
      <c r="K4" s="200"/>
      <c r="L4" s="200"/>
      <c r="M4" s="200"/>
      <c r="N4" s="162"/>
      <c r="O4" s="162"/>
    </row>
    <row r="5" spans="2:15" x14ac:dyDescent="0.25">
      <c r="B5" s="109" t="s">
        <v>263</v>
      </c>
      <c r="C5" s="159" t="s">
        <v>262</v>
      </c>
      <c r="D5" s="159">
        <v>500000</v>
      </c>
      <c r="E5" s="160">
        <v>1500000</v>
      </c>
      <c r="F5" s="159" t="s">
        <v>268</v>
      </c>
      <c r="H5" s="200"/>
      <c r="I5" s="200"/>
      <c r="J5" s="200"/>
      <c r="K5" s="200"/>
      <c r="L5" s="200"/>
      <c r="M5" s="200"/>
      <c r="N5" s="162"/>
      <c r="O5" s="162"/>
    </row>
    <row r="6" spans="2:15" x14ac:dyDescent="0.25">
      <c r="B6" s="109" t="s">
        <v>263</v>
      </c>
      <c r="C6" s="159" t="s">
        <v>261</v>
      </c>
      <c r="D6" s="159">
        <v>80000</v>
      </c>
      <c r="E6" s="160">
        <v>1500000</v>
      </c>
      <c r="F6" s="159" t="s">
        <v>267</v>
      </c>
      <c r="H6" s="162"/>
      <c r="I6" s="162"/>
      <c r="J6" s="162"/>
      <c r="K6" s="162"/>
      <c r="L6" s="162"/>
      <c r="M6" s="162"/>
      <c r="N6" s="162"/>
      <c r="O6" s="162"/>
    </row>
    <row r="7" spans="2:15" x14ac:dyDescent="0.25">
      <c r="B7" s="109" t="s">
        <v>131</v>
      </c>
      <c r="C7" s="159" t="s">
        <v>269</v>
      </c>
      <c r="D7" s="161" t="s">
        <v>271</v>
      </c>
      <c r="E7" s="160">
        <v>1500000</v>
      </c>
      <c r="F7" s="159" t="s">
        <v>270</v>
      </c>
      <c r="H7" s="162"/>
      <c r="I7" s="162"/>
      <c r="J7" s="162"/>
      <c r="K7" s="162"/>
      <c r="L7" s="162"/>
      <c r="M7" s="162"/>
      <c r="N7" s="162"/>
      <c r="O7" s="162"/>
    </row>
    <row r="8" spans="2:15" x14ac:dyDescent="0.25">
      <c r="B8" s="109" t="s">
        <v>182</v>
      </c>
      <c r="C8" s="159" t="s">
        <v>260</v>
      </c>
      <c r="D8" s="159">
        <v>450000</v>
      </c>
      <c r="E8" s="160">
        <v>100000</v>
      </c>
      <c r="F8" s="159" t="s">
        <v>273</v>
      </c>
    </row>
    <row r="9" spans="2:15" x14ac:dyDescent="0.25">
      <c r="B9" s="109" t="s">
        <v>182</v>
      </c>
      <c r="C9" s="159" t="s">
        <v>262</v>
      </c>
      <c r="D9" s="159">
        <v>300000</v>
      </c>
      <c r="E9" s="160">
        <v>100000</v>
      </c>
      <c r="F9" s="159" t="s">
        <v>274</v>
      </c>
    </row>
    <row r="10" spans="2:15" x14ac:dyDescent="0.25">
      <c r="B10" s="109" t="s">
        <v>187</v>
      </c>
      <c r="C10" s="159" t="s">
        <v>276</v>
      </c>
      <c r="D10" s="159">
        <v>23000</v>
      </c>
      <c r="E10" s="160">
        <v>1500000</v>
      </c>
      <c r="F10" s="159" t="s">
        <v>190</v>
      </c>
    </row>
    <row r="11" spans="2:15" x14ac:dyDescent="0.25">
      <c r="B11" s="109" t="s">
        <v>187</v>
      </c>
      <c r="C11" s="159" t="s">
        <v>279</v>
      </c>
      <c r="D11" s="159">
        <v>6000</v>
      </c>
      <c r="E11" s="160">
        <v>1500000</v>
      </c>
      <c r="F11" s="159" t="s">
        <v>190</v>
      </c>
    </row>
    <row r="12" spans="2:15" x14ac:dyDescent="0.25">
      <c r="B12" s="109" t="s">
        <v>191</v>
      </c>
      <c r="C12" s="159" t="s">
        <v>277</v>
      </c>
      <c r="D12" s="159">
        <v>20000</v>
      </c>
      <c r="E12" s="160">
        <v>1500000</v>
      </c>
      <c r="F12" s="159" t="s">
        <v>141</v>
      </c>
    </row>
    <row r="13" spans="2:15" x14ac:dyDescent="0.25">
      <c r="B13" s="109" t="s">
        <v>191</v>
      </c>
      <c r="C13" s="159" t="s">
        <v>278</v>
      </c>
      <c r="D13" s="159">
        <v>5600</v>
      </c>
      <c r="E13" s="160">
        <v>1500000</v>
      </c>
      <c r="F13" s="159" t="s">
        <v>141</v>
      </c>
    </row>
    <row r="14" spans="2:15" x14ac:dyDescent="0.25">
      <c r="B14" s="109" t="s">
        <v>140</v>
      </c>
      <c r="C14" s="159" t="s">
        <v>260</v>
      </c>
      <c r="D14" s="159">
        <v>165000</v>
      </c>
      <c r="E14" s="160">
        <v>1500000</v>
      </c>
      <c r="F14" s="159" t="s">
        <v>272</v>
      </c>
    </row>
    <row r="15" spans="2:15" x14ac:dyDescent="0.25">
      <c r="B15" s="109" t="s">
        <v>140</v>
      </c>
      <c r="C15" s="159" t="s">
        <v>299</v>
      </c>
      <c r="D15" s="161" t="s">
        <v>300</v>
      </c>
      <c r="E15" s="160">
        <v>1500000</v>
      </c>
      <c r="F15" s="159" t="s">
        <v>302</v>
      </c>
    </row>
    <row r="16" spans="2:15" x14ac:dyDescent="0.25">
      <c r="B16" s="109" t="s">
        <v>275</v>
      </c>
      <c r="C16" s="159" t="s">
        <v>276</v>
      </c>
      <c r="D16" s="159">
        <v>70000</v>
      </c>
      <c r="E16" s="160">
        <v>1500000</v>
      </c>
      <c r="F16" s="159" t="s">
        <v>196</v>
      </c>
    </row>
    <row r="17" spans="2:6" x14ac:dyDescent="0.25">
      <c r="B17" s="109" t="s">
        <v>275</v>
      </c>
      <c r="C17" s="159" t="s">
        <v>279</v>
      </c>
      <c r="D17" s="159">
        <v>10000</v>
      </c>
      <c r="E17" s="160">
        <v>1500000</v>
      </c>
      <c r="F17" s="159" t="s">
        <v>196</v>
      </c>
    </row>
    <row r="18" spans="2:6" x14ac:dyDescent="0.25">
      <c r="B18" s="109" t="s">
        <v>144</v>
      </c>
      <c r="C18" s="159" t="s">
        <v>260</v>
      </c>
      <c r="D18" s="161" t="s">
        <v>280</v>
      </c>
      <c r="E18" s="160">
        <v>500000</v>
      </c>
      <c r="F18" s="159" t="s">
        <v>281</v>
      </c>
    </row>
    <row r="19" spans="2:6" x14ac:dyDescent="0.25">
      <c r="B19" s="109" t="s">
        <v>144</v>
      </c>
      <c r="C19" s="159" t="s">
        <v>262</v>
      </c>
      <c r="D19" s="159">
        <v>200000</v>
      </c>
      <c r="E19" s="160">
        <v>500000</v>
      </c>
      <c r="F19" s="109" t="s">
        <v>284</v>
      </c>
    </row>
    <row r="20" spans="2:6" x14ac:dyDescent="0.25">
      <c r="B20" s="109" t="s">
        <v>144</v>
      </c>
      <c r="C20" s="159" t="s">
        <v>261</v>
      </c>
      <c r="D20" s="159" t="s">
        <v>282</v>
      </c>
      <c r="E20" s="160">
        <v>500000</v>
      </c>
      <c r="F20" s="109" t="s">
        <v>283</v>
      </c>
    </row>
    <row r="21" spans="2:6" x14ac:dyDescent="0.25">
      <c r="B21" s="109" t="s">
        <v>162</v>
      </c>
      <c r="C21" s="159" t="s">
        <v>260</v>
      </c>
      <c r="D21" s="159">
        <v>115000</v>
      </c>
      <c r="E21" s="160">
        <v>1500000</v>
      </c>
      <c r="F21" s="109" t="s">
        <v>285</v>
      </c>
    </row>
    <row r="22" spans="2:6" x14ac:dyDescent="0.25">
      <c r="B22" s="109" t="s">
        <v>162</v>
      </c>
      <c r="C22" s="159" t="s">
        <v>262</v>
      </c>
      <c r="D22" s="159" t="s">
        <v>286</v>
      </c>
      <c r="E22" s="160">
        <v>1500000</v>
      </c>
      <c r="F22" s="109" t="s">
        <v>287</v>
      </c>
    </row>
    <row r="23" spans="2:6" x14ac:dyDescent="0.25">
      <c r="B23" s="109" t="s">
        <v>200</v>
      </c>
      <c r="C23" s="159" t="s">
        <v>288</v>
      </c>
      <c r="D23" s="110" t="s">
        <v>289</v>
      </c>
      <c r="E23" s="160"/>
      <c r="F23" s="109" t="s">
        <v>199</v>
      </c>
    </row>
    <row r="24" spans="2:6" x14ac:dyDescent="0.25">
      <c r="B24" s="109" t="s">
        <v>202</v>
      </c>
      <c r="C24" s="159" t="s">
        <v>288</v>
      </c>
      <c r="D24" s="110" t="s">
        <v>271</v>
      </c>
      <c r="E24" s="160">
        <v>1500000</v>
      </c>
      <c r="F24" s="109" t="s">
        <v>290</v>
      </c>
    </row>
    <row r="25" spans="2:6" x14ac:dyDescent="0.25">
      <c r="B25" s="109" t="s">
        <v>291</v>
      </c>
      <c r="C25" s="159" t="s">
        <v>288</v>
      </c>
      <c r="D25" s="110" t="s">
        <v>289</v>
      </c>
      <c r="E25" s="160"/>
      <c r="F25" s="109" t="s">
        <v>292</v>
      </c>
    </row>
    <row r="26" spans="2:6" x14ac:dyDescent="0.25">
      <c r="B26" s="109" t="s">
        <v>293</v>
      </c>
      <c r="C26" s="159" t="s">
        <v>262</v>
      </c>
      <c r="D26" s="159">
        <v>150000</v>
      </c>
      <c r="E26" s="160">
        <v>50000</v>
      </c>
      <c r="F26" s="109" t="s">
        <v>294</v>
      </c>
    </row>
    <row r="27" spans="2:6" x14ac:dyDescent="0.25">
      <c r="B27" s="109" t="s">
        <v>295</v>
      </c>
      <c r="C27" s="159" t="s">
        <v>262</v>
      </c>
      <c r="D27" s="159">
        <v>150000</v>
      </c>
      <c r="E27" s="160">
        <v>50000</v>
      </c>
      <c r="F27" s="109" t="s">
        <v>294</v>
      </c>
    </row>
    <row r="28" spans="2:6" x14ac:dyDescent="0.25">
      <c r="B28" s="109" t="s">
        <v>208</v>
      </c>
      <c r="C28" s="159" t="s">
        <v>262</v>
      </c>
      <c r="D28" s="159">
        <v>10000</v>
      </c>
      <c r="E28" s="160">
        <v>1500000</v>
      </c>
      <c r="F28" s="109" t="s">
        <v>294</v>
      </c>
    </row>
    <row r="29" spans="2:6" x14ac:dyDescent="0.25">
      <c r="B29" s="139" t="s">
        <v>296</v>
      </c>
      <c r="C29" s="159" t="s">
        <v>262</v>
      </c>
      <c r="D29" s="159">
        <v>150000</v>
      </c>
      <c r="E29" s="141" t="s">
        <v>298</v>
      </c>
      <c r="F29" s="109" t="s">
        <v>294</v>
      </c>
    </row>
    <row r="30" spans="2:6" x14ac:dyDescent="0.25">
      <c r="B30" s="139" t="s">
        <v>296</v>
      </c>
      <c r="C30" s="159" t="s">
        <v>261</v>
      </c>
      <c r="D30" s="159">
        <v>30000</v>
      </c>
      <c r="E30" s="141" t="s">
        <v>298</v>
      </c>
      <c r="F30" s="139" t="s">
        <v>297</v>
      </c>
    </row>
    <row r="31" spans="2:6" x14ac:dyDescent="0.25">
      <c r="B31" s="139" t="s">
        <v>308</v>
      </c>
      <c r="C31" s="159" t="s">
        <v>260</v>
      </c>
      <c r="D31" s="159">
        <v>100000</v>
      </c>
      <c r="E31" s="139"/>
      <c r="F31" s="139" t="s">
        <v>306</v>
      </c>
    </row>
    <row r="32" spans="2:6" x14ac:dyDescent="0.25">
      <c r="B32" s="139" t="s">
        <v>308</v>
      </c>
      <c r="C32" s="159" t="s">
        <v>262</v>
      </c>
      <c r="D32" s="159">
        <v>70000</v>
      </c>
      <c r="E32" s="139"/>
      <c r="F32" s="139" t="s">
        <v>307</v>
      </c>
    </row>
    <row r="33" spans="2:6" x14ac:dyDescent="0.25">
      <c r="B33" s="139" t="s">
        <v>308</v>
      </c>
      <c r="C33" s="159" t="s">
        <v>261</v>
      </c>
      <c r="D33" s="159">
        <v>50000</v>
      </c>
      <c r="E33" s="139"/>
      <c r="F33" s="139" t="s">
        <v>309</v>
      </c>
    </row>
    <row r="34" spans="2:6" x14ac:dyDescent="0.25">
      <c r="B34" s="139" t="s">
        <v>310</v>
      </c>
      <c r="C34" s="159" t="s">
        <v>288</v>
      </c>
      <c r="D34" s="159">
        <v>25000</v>
      </c>
      <c r="E34" s="139"/>
      <c r="F34" s="139"/>
    </row>
  </sheetData>
  <autoFilter ref="B3:F34"/>
  <mergeCells count="2">
    <mergeCell ref="B2:F2"/>
    <mergeCell ref="H2:M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Cost Model Template</vt:lpstr>
      <vt:lpstr>Common Assumptions</vt:lpstr>
      <vt:lpstr>Process Data</vt:lpstr>
      <vt:lpstr>Process Rate Calculator</vt:lpstr>
      <vt:lpstr>Assembly Operation Data</vt:lpstr>
      <vt:lpstr>Tooling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2016-08-30T20:46:24Z</dcterms:modified>
</cp:coreProperties>
</file>