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v3\Downloads\"/>
    </mc:Choice>
  </mc:AlternateContent>
  <xr:revisionPtr revIDLastSave="0" documentId="13_ncr:2001_{31EB59D0-3FD4-42BB-B0E5-E4F906D7EA27}" xr6:coauthVersionLast="47" xr6:coauthVersionMax="47" xr10:uidLastSave="{00000000-0000-0000-0000-000000000000}"/>
  <bookViews>
    <workbookView xWindow="-110" yWindow="-110" windowWidth="19420" windowHeight="11500" activeTab="2" xr2:uid="{E3AAAE2C-EE30-4987-B745-1AE709F25640}"/>
  </bookViews>
  <sheets>
    <sheet name="Savings estimate" sheetId="2" r:id="rId1"/>
    <sheet name="Optimization" sheetId="1" r:id="rId2"/>
    <sheet name="PVWatts-Compare" sheetId="3" r:id="rId3"/>
  </sheets>
  <definedNames>
    <definedName name="solver_adj" localSheetId="1" hidden="1">Optimization!$I$3:$I$10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Optimization!$I$10</definedName>
    <definedName name="solver_lhs10" localSheetId="1" hidden="1">Optimization!$I$10</definedName>
    <definedName name="solver_lhs2" localSheetId="1" hidden="1">Optimization!$I$3</definedName>
    <definedName name="solver_lhs3" localSheetId="1" hidden="1">Optimization!$I$4</definedName>
    <definedName name="solver_lhs4" localSheetId="1" hidden="1">Optimization!$I$6</definedName>
    <definedName name="solver_lhs5" localSheetId="1" hidden="1">Optimization!$I$7</definedName>
    <definedName name="solver_lhs6" localSheetId="1" hidden="1">Optimization!$I$8</definedName>
    <definedName name="solver_lhs7" localSheetId="1" hidden="1">Optimization!$I$10</definedName>
    <definedName name="solver_lhs8" localSheetId="1" hidden="1">Optimization!$I$10</definedName>
    <definedName name="solver_lhs9" localSheetId="1" hidden="1">Optimization!$I$10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Optimization!$L$15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Optimization!$J$10</definedName>
    <definedName name="solver_rhs10" localSheetId="1" hidden="1">Optimization!$J$10</definedName>
    <definedName name="solver_rhs2" localSheetId="1" hidden="1">Optimization!$J$3</definedName>
    <definedName name="solver_rhs3" localSheetId="1" hidden="1">Optimization!$J$4</definedName>
    <definedName name="solver_rhs4" localSheetId="1" hidden="1">Optimization!$J$6</definedName>
    <definedName name="solver_rhs5" localSheetId="1" hidden="1">Optimization!$J$7</definedName>
    <definedName name="solver_rhs6" localSheetId="1" hidden="1">Optimization!$J$8</definedName>
    <definedName name="solver_rhs7" localSheetId="1" hidden="1">Optimization!$J$10</definedName>
    <definedName name="solver_rhs8" localSheetId="1" hidden="1">Optimization!$J$10</definedName>
    <definedName name="solver_rhs9" localSheetId="1" hidden="1">Optimization!$J$10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10" i="3"/>
  <c r="F11" i="3"/>
  <c r="F12" i="3"/>
  <c r="F13" i="3"/>
  <c r="F14" i="3"/>
  <c r="F15" i="3"/>
  <c r="F16" i="3"/>
  <c r="F17" i="3"/>
  <c r="F18" i="3"/>
  <c r="F19" i="3"/>
  <c r="F20" i="3"/>
  <c r="F9" i="3"/>
  <c r="S14" i="3"/>
  <c r="L14" i="3" s="1"/>
  <c r="T14" i="3" s="1"/>
  <c r="S15" i="3"/>
  <c r="L15" i="3" s="1"/>
  <c r="T15" i="3" s="1"/>
  <c r="S16" i="3"/>
  <c r="L16" i="3" s="1"/>
  <c r="T16" i="3" s="1"/>
  <c r="S17" i="3"/>
  <c r="L17" i="3" s="1"/>
  <c r="T17" i="3" s="1"/>
  <c r="R22" i="3"/>
  <c r="S18" i="3" s="1"/>
  <c r="L18" i="3" s="1"/>
  <c r="T18" i="3" s="1"/>
  <c r="P10" i="3"/>
  <c r="P11" i="3"/>
  <c r="P12" i="3"/>
  <c r="P13" i="3"/>
  <c r="P14" i="3"/>
  <c r="P15" i="3"/>
  <c r="P16" i="3"/>
  <c r="P17" i="3"/>
  <c r="P18" i="3"/>
  <c r="P19" i="3"/>
  <c r="P20" i="3"/>
  <c r="P9" i="3"/>
  <c r="L8" i="3"/>
  <c r="M8" i="3"/>
  <c r="N8" i="3"/>
  <c r="K8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H9" i="3"/>
  <c r="G9" i="3"/>
  <c r="F22" i="3"/>
  <c r="E10" i="3"/>
  <c r="E11" i="3"/>
  <c r="E12" i="3"/>
  <c r="E13" i="3"/>
  <c r="E14" i="3"/>
  <c r="E15" i="3"/>
  <c r="E16" i="3"/>
  <c r="E17" i="3"/>
  <c r="E18" i="3"/>
  <c r="E19" i="3"/>
  <c r="E20" i="3"/>
  <c r="E9" i="3"/>
  <c r="S13" i="3" l="1"/>
  <c r="L13" i="3" s="1"/>
  <c r="T13" i="3" s="1"/>
  <c r="S12" i="3"/>
  <c r="L12" i="3" s="1"/>
  <c r="T12" i="3" s="1"/>
  <c r="S11" i="3"/>
  <c r="L11" i="3" s="1"/>
  <c r="T11" i="3" s="1"/>
  <c r="S10" i="3"/>
  <c r="L10" i="3" s="1"/>
  <c r="T10" i="3" s="1"/>
  <c r="S20" i="3"/>
  <c r="L20" i="3" s="1"/>
  <c r="T20" i="3" s="1"/>
  <c r="S9" i="3"/>
  <c r="L9" i="3" s="1"/>
  <c r="T9" i="3" s="1"/>
  <c r="S19" i="3"/>
  <c r="L19" i="3" s="1"/>
  <c r="T19" i="3" s="1"/>
  <c r="E21" i="3"/>
  <c r="E22" i="3" s="1"/>
  <c r="K12" i="3"/>
  <c r="K11" i="3"/>
  <c r="K14" i="3"/>
  <c r="K13" i="3"/>
  <c r="K9" i="3"/>
  <c r="K10" i="3"/>
  <c r="M9" i="3"/>
  <c r="M20" i="3"/>
  <c r="M13" i="3"/>
  <c r="K20" i="3"/>
  <c r="K19" i="3"/>
  <c r="K18" i="3"/>
  <c r="K17" i="3"/>
  <c r="M18" i="3"/>
  <c r="M11" i="3"/>
  <c r="K16" i="3"/>
  <c r="K15" i="3"/>
  <c r="G21" i="3"/>
  <c r="G22" i="3" s="1"/>
  <c r="M17" i="3" s="1"/>
  <c r="H21" i="3"/>
  <c r="H22" i="3" s="1"/>
  <c r="N11" i="3" s="1"/>
  <c r="D21" i="2"/>
  <c r="G21" i="2"/>
  <c r="F21" i="2"/>
  <c r="H4" i="2"/>
  <c r="J4" i="2" s="1"/>
  <c r="H5" i="2"/>
  <c r="J5" i="2" s="1"/>
  <c r="H6" i="2"/>
  <c r="H7" i="2"/>
  <c r="J7" i="2" s="1"/>
  <c r="H8" i="2"/>
  <c r="H9" i="2"/>
  <c r="H10" i="2"/>
  <c r="J10" i="2" s="1"/>
  <c r="H11" i="2"/>
  <c r="H12" i="2"/>
  <c r="J12" i="2" s="1"/>
  <c r="H13" i="2"/>
  <c r="J13" i="2" s="1"/>
  <c r="H14" i="2"/>
  <c r="H15" i="2"/>
  <c r="J15" i="2" s="1"/>
  <c r="H16" i="2"/>
  <c r="H17" i="2"/>
  <c r="H18" i="2"/>
  <c r="J18" i="2" s="1"/>
  <c r="H19" i="2"/>
  <c r="H3" i="2"/>
  <c r="J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4" i="2"/>
  <c r="T3" i="2"/>
  <c r="S5" i="2"/>
  <c r="S4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3" i="2"/>
  <c r="J6" i="2"/>
  <c r="J8" i="2"/>
  <c r="J9" i="2"/>
  <c r="J11" i="2"/>
  <c r="J14" i="2"/>
  <c r="J16" i="2"/>
  <c r="J17" i="2"/>
  <c r="J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3" i="1"/>
  <c r="G16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K14" i="1"/>
  <c r="L14" i="1" s="1"/>
  <c r="K3" i="1"/>
  <c r="L3" i="1" s="1"/>
  <c r="M10" i="3" l="1"/>
  <c r="M19" i="3"/>
  <c r="N16" i="3"/>
  <c r="M12" i="3"/>
  <c r="N12" i="3"/>
  <c r="N10" i="3"/>
  <c r="N19" i="3"/>
  <c r="N17" i="3"/>
  <c r="N13" i="3"/>
  <c r="N14" i="3"/>
  <c r="N15" i="3"/>
  <c r="N20" i="3"/>
  <c r="N18" i="3"/>
  <c r="M14" i="3"/>
  <c r="M15" i="3"/>
  <c r="M16" i="3"/>
  <c r="N9" i="3"/>
  <c r="L16" i="1"/>
  <c r="G3" i="1"/>
  <c r="G15" i="1" s="1"/>
  <c r="L13" i="1"/>
  <c r="L15" i="1" s="1"/>
</calcChain>
</file>

<file path=xl/sharedStrings.xml><?xml version="1.0" encoding="utf-8"?>
<sst xmlns="http://schemas.openxmlformats.org/spreadsheetml/2006/main" count="120" uniqueCount="91">
  <si>
    <t>a</t>
  </si>
  <si>
    <t>b</t>
  </si>
  <si>
    <t>c</t>
  </si>
  <si>
    <t>Ave. Sum of Squares</t>
  </si>
  <si>
    <t>Month</t>
  </si>
  <si>
    <t>a1</t>
  </si>
  <si>
    <t>b1</t>
  </si>
  <si>
    <t>c1</t>
  </si>
  <si>
    <t>d1</t>
  </si>
  <si>
    <t>a2</t>
  </si>
  <si>
    <t>b2</t>
  </si>
  <si>
    <t>c2</t>
  </si>
  <si>
    <t>d2</t>
  </si>
  <si>
    <t>a1*sin(b1*(x-c1)) + d1 + a2*sin(b2*(x-c2)) + d2</t>
  </si>
  <si>
    <t>Energy from community solar (kWh)</t>
  </si>
  <si>
    <t>R^2</t>
  </si>
  <si>
    <t>a*sin(b*(x-c)) + d</t>
  </si>
  <si>
    <t>d</t>
  </si>
  <si>
    <t>Model 1</t>
  </si>
  <si>
    <t>Model 2</t>
  </si>
  <si>
    <t>Coefficients</t>
  </si>
  <si>
    <t>Values</t>
  </si>
  <si>
    <t>Constraints</t>
  </si>
  <si>
    <t>Square Difference</t>
  </si>
  <si>
    <t>Nexamp data</t>
  </si>
  <si>
    <t>Year</t>
  </si>
  <si>
    <t>Average temperature (F)</t>
  </si>
  <si>
    <t>Average daily utility energy use (kWh)</t>
  </si>
  <si>
    <t>Total energy use (kWh)</t>
  </si>
  <si>
    <t>Community solar generation (kWh)</t>
  </si>
  <si>
    <t>Energy from utility (kWh)</t>
  </si>
  <si>
    <t>Community solar (%)</t>
  </si>
  <si>
    <t>Uility (%)</t>
  </si>
  <si>
    <t>Utility electricity cost ($/kWh)</t>
  </si>
  <si>
    <t>Utility solar credit ($)</t>
  </si>
  <si>
    <t>Solar bill ($)</t>
  </si>
  <si>
    <t>Solar energy usage (kWh) [Nexamp]</t>
  </si>
  <si>
    <t>Energy cost at standard rate ($)</t>
  </si>
  <si>
    <t>20% savings ($)</t>
  </si>
  <si>
    <t>Solar electricity cost ($/kWh)</t>
  </si>
  <si>
    <t>Monthly Savings ($)</t>
  </si>
  <si>
    <t>Cumulative Savings ($)</t>
  </si>
  <si>
    <t>Cumulative CO2 emissions avoided (lb)</t>
  </si>
  <si>
    <t>Tree equivalents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</si>
  <si>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</si>
  <si>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</si>
  <si>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</si>
  <si>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</si>
  <si>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</si>
  <si>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</si>
  <si>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</si>
  <si>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</si>
  <si>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</si>
  <si>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</si>
  <si>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</si>
  <si>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</si>
  <si>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lb CO2/kWh</t>
  </si>
  <si>
    <t>lb CO2/tree</t>
  </si>
  <si>
    <t>lb CO2/gallon gas</t>
  </si>
  <si>
    <t>lb CO2/LED bulb</t>
  </si>
  <si>
    <t>lb CO2/oil barrel</t>
  </si>
  <si>
    <t>Utility bill ($)</t>
  </si>
  <si>
    <t>Utility data</t>
  </si>
  <si>
    <t>Solar farm is remote in ill</t>
  </si>
  <si>
    <t>PV Watts comparison: Comparison of community solar results to PVWatts output</t>
  </si>
  <si>
    <t>Date</t>
  </si>
  <si>
    <t>Solar Radiation</t>
  </si>
  <si>
    <t>( kWh / m2 / day )</t>
  </si>
  <si>
    <t>AC Energy</t>
  </si>
  <si>
    <t>( kWh 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</si>
  <si>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</si>
  <si>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</si>
  <si>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</si>
  <si>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</si>
  <si>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</si>
  <si>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</si>
  <si>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</si>
  <si>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</si>
  <si>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</si>
  <si>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</si>
  <si>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</si>
  <si>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</si>
  <si>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Comparison of alternatives</t>
  </si>
  <si>
    <t>Nexamp</t>
  </si>
  <si>
    <t>Avge</t>
  </si>
  <si>
    <t>PVWatts</t>
  </si>
  <si>
    <t>Curve1</t>
  </si>
  <si>
    <t>Curve2</t>
  </si>
  <si>
    <t>Relative to average = 1.00</t>
  </si>
  <si>
    <t>Raw data from PV Watts for Edelstien, IL; per 1 kW of panel; facing due south, tilted to latitude angle of 20 Deg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</si>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</sst>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0" fontId="1" fillId="0" borderId="0" xfId="0" applyFont="1"/>
    <xf numFmtId="164" fontId="0" fillId="0" borderId="0" xfId="0" applyNumberFormat="1"/>
    <xf numFmtId="2" fontId="3" fillId="0" borderId="0" xfId="0" applyNumberFormat="1" applyFont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2" fontId="3" fillId="4" borderId="0" xfId="0" applyNumberFormat="1" applyFont="1" applyFill="1" applyAlignment="1">
      <alignment horizontal="right" wrapText="1"/>
    </xf>
    <xf numFmtId="165" fontId="3" fillId="0" borderId="0" xfId="1" applyNumberFormat="1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from community solar over time with model 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Optimization!$B$2</c:f>
              <c:strCache>
                <c:ptCount val="1"/>
                <c:pt idx="0">
                  <c:v>Energy from community 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Optimization!$B$3:$B$14</c:f>
              <c:numCache>
                <c:formatCode>General</c:formatCode>
                <c:ptCount val="12"/>
                <c:pt idx="0">
                  <c:v>180</c:v>
                </c:pt>
                <c:pt idx="1">
                  <c:v>303</c:v>
                </c:pt>
                <c:pt idx="2">
                  <c:v>427</c:v>
                </c:pt>
                <c:pt idx="3">
                  <c:v>399</c:v>
                </c:pt>
                <c:pt idx="4">
                  <c:v>502</c:v>
                </c:pt>
                <c:pt idx="5">
                  <c:v>657</c:v>
                </c:pt>
                <c:pt idx="6">
                  <c:v>596</c:v>
                </c:pt>
                <c:pt idx="7">
                  <c:v>555</c:v>
                </c:pt>
                <c:pt idx="8">
                  <c:v>587</c:v>
                </c:pt>
                <c:pt idx="9">
                  <c:v>437</c:v>
                </c:pt>
                <c:pt idx="10">
                  <c:v>302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A-4951-8B27-B6683A06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349535"/>
        <c:axId val="1104353375"/>
      </c:barChart>
      <c:lineChart>
        <c:grouping val="standard"/>
        <c:varyColors val="0"/>
        <c:ser>
          <c:idx val="1"/>
          <c:order val="1"/>
          <c:tx>
            <c:strRef>
              <c:f>Optimization!$F$2</c:f>
              <c:strCache>
                <c:ptCount val="1"/>
                <c:pt idx="0">
                  <c:v>a*sin(b*(x-c)) + 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Optimization!$F$3:$F$14</c:f>
              <c:numCache>
                <c:formatCode>0.0</c:formatCode>
                <c:ptCount val="12"/>
                <c:pt idx="0">
                  <c:v>163.19496144153473</c:v>
                </c:pt>
                <c:pt idx="1">
                  <c:v>278.09403873939505</c:v>
                </c:pt>
                <c:pt idx="2">
                  <c:v>388.92064354059448</c:v>
                </c:pt>
                <c:pt idx="3">
                  <c:v>485.01647267849614</c:v>
                </c:pt>
                <c:pt idx="4">
                  <c:v>557.13989611455202</c:v>
                </c:pt>
                <c:pt idx="5">
                  <c:v>598.35473355364127</c:v>
                </c:pt>
                <c:pt idx="6">
                  <c:v>604.69731369880924</c:v>
                </c:pt>
                <c:pt idx="7">
                  <c:v>575.55766440332127</c:v>
                </c:pt>
                <c:pt idx="8">
                  <c:v>513.73817428963787</c:v>
                </c:pt>
                <c:pt idx="9">
                  <c:v>425.18408428993791</c:v>
                </c:pt>
                <c:pt idx="10">
                  <c:v>318.41172800079346</c:v>
                </c:pt>
                <c:pt idx="11">
                  <c:v>203.68950753726699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A-4951-8B27-B6683A0622F3}"/>
            </c:ext>
          </c:extLst>
        </c:ser>
        <c:ser>
          <c:idx val="2"/>
          <c:order val="2"/>
          <c:tx>
            <c:strRef>
              <c:f>Optimization!$K$2</c:f>
              <c:strCache>
                <c:ptCount val="1"/>
                <c:pt idx="0">
                  <c:v>a1*sin(b1*(x-c1)) + d1 + a2*sin(b2*(x-c2)) + 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Optimization!$K$3:$K$14</c:f>
              <c:numCache>
                <c:formatCode>0.0</c:formatCode>
                <c:ptCount val="12"/>
                <c:pt idx="0">
                  <c:v>175.96945611112133</c:v>
                </c:pt>
                <c:pt idx="1">
                  <c:v>296.03869422889102</c:v>
                </c:pt>
                <c:pt idx="2">
                  <c:v>384.7658958153001</c:v>
                </c:pt>
                <c:pt idx="3">
                  <c:v>455.44756782882797</c:v>
                </c:pt>
                <c:pt idx="4">
                  <c:v>520.3875234332445</c:v>
                </c:pt>
                <c:pt idx="5">
                  <c:v>579.13800606527059</c:v>
                </c:pt>
                <c:pt idx="6">
                  <c:v>616.40655041922741</c:v>
                </c:pt>
                <c:pt idx="7">
                  <c:v>611.19671297982586</c:v>
                </c:pt>
                <c:pt idx="8">
                  <c:v>550.97871678970284</c:v>
                </c:pt>
                <c:pt idx="9">
                  <c:v>441.17093631027751</c:v>
                </c:pt>
                <c:pt idx="10">
                  <c:v>303.37253827233263</c:v>
                </c:pt>
                <c:pt idx="11">
                  <c:v>163.45489138540211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A-4951-8B27-B6683A06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1359"/>
        <c:axId val="1167822799"/>
      </c:lineChart>
      <c:catAx>
        <c:axId val="116782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799"/>
        <c:crosses val="autoZero"/>
        <c:auto val="1"/>
        <c:lblAlgn val="ctr"/>
        <c:lblOffset val="100"/>
        <c:noMultiLvlLbl val="0"/>
      </c:catAx>
      <c:valAx>
        <c:axId val="11678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1359"/>
        <c:crosses val="autoZero"/>
        <c:crossBetween val="between"/>
      </c:valAx>
      <c:valAx>
        <c:axId val="1104353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9535"/>
        <c:crosses val="max"/>
        <c:crossBetween val="between"/>
      </c:valAx>
      <c:catAx>
        <c:axId val="1104349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353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NexAmp, PVWatts, and Curve 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'PVWatts-Compare'!$K$8</c:f>
              <c:strCache>
                <c:ptCount val="1"/>
                <c:pt idx="0">
                  <c:v>Nexamp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'PVWatts-Compare'!$J$9:$J$20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'PVWatts-Compare'!$K$9:$K$20</c:f>
              <c:numCache>
                <c:formatCode>0.000</c:formatCode>
                <c:ptCount val="12"/>
                <c:pt idx="0">
                  <c:v>0.42253521126760563</c:v>
                </c:pt>
                <c:pt idx="1">
                  <c:v>0.71126760563380287</c:v>
                </c:pt>
                <c:pt idx="2">
                  <c:v>1.0023474178403755</c:v>
                </c:pt>
                <c:pt idx="3">
                  <c:v>0.93661971830985913</c:v>
                </c:pt>
                <c:pt idx="4">
                  <c:v>1.1784037558685445</c:v>
                </c:pt>
                <c:pt idx="5">
                  <c:v>1.5422535211267605</c:v>
                </c:pt>
                <c:pt idx="6">
                  <c:v>1.3990610328638498</c:v>
                </c:pt>
                <c:pt idx="7">
                  <c:v>1.3028169014084507</c:v>
                </c:pt>
                <c:pt idx="8">
                  <c:v>1.3779342723004695</c:v>
                </c:pt>
                <c:pt idx="9">
                  <c:v>1.0258215962441315</c:v>
                </c:pt>
                <c:pt idx="10">
                  <c:v>0.70892018779342725</c:v>
                </c:pt>
                <c:pt idx="11">
                  <c:v>0.392018779342723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7-48BD-8CF4-A29E7B020969}"/>
            </c:ext>
          </c:extLst>
        </c:ser>
        <c:ser>
          <c:idx val="1"/>
          <c:order val="1"/>
          <c:tx>
            <c:strRef>
              <c:f>'PVWatts-Compare'!$L$8</c:f>
              <c:strCache>
                <c:ptCount val="1"/>
                <c:pt idx="0">
                  <c:v>PVWatts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'PVWatts-Compare'!$J$9:$J$20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'PVWatts-Compare'!$L$9:$L$20</c:f>
              <c:numCache>
                <c:formatCode>0.000</c:formatCode>
                <c:ptCount val="12"/>
                <c:pt idx="0">
                  <c:v>0.66225165562913912</c:v>
                </c:pt>
                <c:pt idx="1">
                  <c:v>0.76821192052980136</c:v>
                </c:pt>
                <c:pt idx="2">
                  <c:v>0.98896247240618107</c:v>
                </c:pt>
                <c:pt idx="3">
                  <c:v>1.1125827814569536</c:v>
                </c:pt>
                <c:pt idx="4">
                  <c:v>1.2273730684326711</c:v>
                </c:pt>
                <c:pt idx="5">
                  <c:v>1.2538631346578366</c:v>
                </c:pt>
                <c:pt idx="6">
                  <c:v>1.3951434878587197</c:v>
                </c:pt>
                <c:pt idx="7">
                  <c:v>1.2715231788079471</c:v>
                </c:pt>
                <c:pt idx="8">
                  <c:v>1.1125827814569536</c:v>
                </c:pt>
                <c:pt idx="9">
                  <c:v>0.91832229580573954</c:v>
                </c:pt>
                <c:pt idx="10">
                  <c:v>0.70640176600441507</c:v>
                </c:pt>
                <c:pt idx="11">
                  <c:v>0.58278145695364236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7-48BD-8CF4-A29E7B020969}"/>
            </c:ext>
          </c:extLst>
        </c:ser>
        <c:ser>
          <c:idx val="2"/>
          <c:order val="2"/>
          <c:tx>
            <c:strRef>
              <c:f>'PVWatts-Compare'!$M$8</c:f>
              <c:strCache>
                <c:ptCount val="1"/>
                <c:pt idx="0">
                  <c:v>Curve1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'PVWatts-Compare'!$J$9:$J$20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'PVWatts-Compare'!$M$9:$M$20</c:f>
              <c:numCache>
                <c:formatCode>0.000</c:formatCode>
                <c:ptCount val="12"/>
                <c:pt idx="0">
                  <c:v>0.38308682252777593</c:v>
                </c:pt>
                <c:pt idx="1">
                  <c:v>0.65280300766367327</c:v>
                </c:pt>
                <c:pt idx="2">
                  <c:v>0.91295939674461413</c:v>
                </c:pt>
                <c:pt idx="3">
                  <c:v>1.1385364949431958</c:v>
                </c:pt>
                <c:pt idx="4">
                  <c:v>1.3078403317154013</c:v>
                </c:pt>
                <c:pt idx="5">
                  <c:v>1.4045887912025892</c:v>
                </c:pt>
                <c:pt idx="6">
                  <c:v>1.4194774792661029</c:v>
                </c:pt>
                <c:pt idx="7">
                  <c:v>1.3510745361876095</c:v>
                </c:pt>
                <c:pt idx="8">
                  <c:v>1.2059583400210845</c:v>
                </c:pt>
                <c:pt idx="9">
                  <c:v>0.9980848575301613</c:v>
                </c:pt>
                <c:pt idx="10">
                  <c:v>0.7474454851910487</c:v>
                </c:pt>
                <c:pt idx="11">
                  <c:v>0.47814445700674352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7-48BD-8CF4-A29E7B020969}"/>
            </c:ext>
          </c:extLst>
        </c:ser>
        <c:ser>
          <c:idx val="3"/>
          <c:order val="3"/>
          <c:tx>
            <c:strRef>
              <c:f>'PVWatts-Compare'!$N$8</c:f>
              <c:strCache>
                <c:ptCount val="1"/>
                <c:pt idx="0">
                  <c:v>Curve2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'PVWatts-Compare'!$J$9:$J$20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'PVWatts-Compare'!$N$9:$N$20</c:f>
              <c:numCache>
                <c:formatCode>0.000</c:formatCode>
                <c:ptCount val="12"/>
                <c:pt idx="0">
                  <c:v>0.41418160712991003</c:v>
                </c:pt>
                <c:pt idx="1">
                  <c:v>0.6967901410738796</c:v>
                </c:pt>
                <c:pt idx="2">
                  <c:v>0.90562851428560354</c:v>
                </c:pt>
                <c:pt idx="3">
                  <c:v>1.0719928888547079</c:v>
                </c:pt>
                <c:pt idx="4">
                  <c:v>1.2248429105209528</c:v>
                </c:pt>
                <c:pt idx="5">
                  <c:v>1.3631246888133424</c:v>
                </c:pt>
                <c:pt idx="6">
                  <c:v>1.4508441484118686</c:v>
                </c:pt>
                <c:pt idx="7">
                  <c:v>1.4385816859867175</c:v>
                </c:pt>
                <c:pt idx="8">
                  <c:v>1.296845801865907</c:v>
                </c:pt>
                <c:pt idx="9">
                  <c:v>1.0383897947869467</c:v>
                </c:pt>
                <c:pt idx="10">
                  <c:v>0.71405190558393539</c:v>
                </c:pt>
                <c:pt idx="11">
                  <c:v>0.38472591268623046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7-48BD-8CF4-A29E7B02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4064"/>
        <c:axId val="30148224"/>
      </c:lineChart>
      <c:catAx>
        <c:axId val="301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8224"/>
        <c:crosses val="autoZero"/>
        <c:auto val="1"/>
        <c:lblAlgn val="ctr"/>
        <c:lblOffset val="100"/>
        <c:noMultiLvlLbl val="0"/>
      </c:catAx>
      <c:valAx>
        <c:axId val="301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18</xdr:row>
      <xdr:rowOff>106680</xdr:rowOff>
    </xdr:from>
    <xdr:to>
      <xdr:col>10</xdr:col>
      <xdr:colOff>922020</xdr:colOff>
      <xdr:row>39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86523-B973-0383-6943-4B02AE3E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508000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CBA92-A11F-46DB-8567-FAE7C5104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682C-1B74-47DE-BB55-BB91D1497FB3}">
  <dimension ref="A1:U25"/>
  <sheetViews>
    <sheetView workbookViewId="0">
      <selection activeCell="D21" sqref="D21"/>
    </sheetView>
  </sheetViews>
  <sheetFormatPr defaultRowHeight="14.5" x14ac:dyDescent="0.35"/>
  <cols>
    <col min="1" max="1" width="5" bestFit="1" customWidth="1"/>
    <col min="2" max="2" width="6.453125" bestFit="1" customWidth="1"/>
    <col min="3" max="3" width="11.6328125" customWidth="1"/>
    <col min="4" max="4" width="8.453125" bestFit="1" customWidth="1"/>
    <col min="5" max="5" width="12.6328125" bestFit="1" customWidth="1"/>
    <col min="6" max="6" width="12.08984375" customWidth="1"/>
    <col min="7" max="7" width="16" customWidth="1"/>
    <col min="8" max="8" width="12.90625" customWidth="1"/>
    <col min="9" max="9" width="11" customWidth="1"/>
    <col min="10" max="10" width="9.453125" customWidth="1"/>
    <col min="11" max="11" width="12.1796875" customWidth="1"/>
    <col min="13" max="13" width="10.81640625" customWidth="1"/>
    <col min="14" max="14" width="12.453125" customWidth="1"/>
    <col min="15" max="15" width="16.6328125" customWidth="1"/>
    <col min="16" max="16" width="11.453125" customWidth="1"/>
    <col min="17" max="17" width="14.90625" customWidth="1"/>
    <col min="18" max="19" width="10.81640625" bestFit="1" customWidth="1"/>
    <col min="20" max="20" width="20.81640625" customWidth="1"/>
    <col min="21" max="21" width="11.90625" customWidth="1"/>
  </cols>
  <sheetData>
    <row r="1" spans="1:21" x14ac:dyDescent="0.35">
      <c r="A1" s="3"/>
      <c r="B1" s="3"/>
      <c r="C1" s="11" t="s">
        <v>62</v>
      </c>
      <c r="D1" s="11"/>
      <c r="E1" s="11"/>
      <c r="F1" s="11"/>
      <c r="G1" s="11"/>
      <c r="H1" s="11"/>
      <c r="I1" s="11"/>
      <c r="J1" s="11"/>
      <c r="K1" s="11"/>
      <c r="L1" s="11"/>
      <c r="M1" s="12" t="s">
        <v>24</v>
      </c>
      <c r="N1" s="12"/>
      <c r="O1" s="12"/>
      <c r="P1" s="12"/>
      <c r="Q1" s="12"/>
      <c r="R1" s="12"/>
      <c r="S1" s="12"/>
      <c r="T1" s="12"/>
      <c r="U1" s="12"/>
    </row>
    <row r="2" spans="1:21" ht="39.5" x14ac:dyDescent="0.35">
      <c r="A2" s="1" t="s">
        <v>25</v>
      </c>
      <c r="B2" s="1" t="s">
        <v>4</v>
      </c>
      <c r="C2" s="1" t="s">
        <v>26</v>
      </c>
      <c r="D2" s="1" t="s">
        <v>61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</row>
    <row r="3" spans="1:21" x14ac:dyDescent="0.35">
      <c r="A3" s="2">
        <v>2024</v>
      </c>
      <c r="B3" s="3" t="s">
        <v>44</v>
      </c>
      <c r="C3" s="2">
        <v>30</v>
      </c>
      <c r="D3" s="2">
        <v>175.77</v>
      </c>
      <c r="E3" s="2">
        <v>40.56</v>
      </c>
      <c r="F3" s="2">
        <v>1298</v>
      </c>
      <c r="G3" s="2">
        <v>180</v>
      </c>
      <c r="H3" s="2">
        <f>MAX(F3-G3, 0)</f>
        <v>1118</v>
      </c>
      <c r="I3" s="7">
        <f>MIN(G3/F3, 1)</f>
        <v>0.13867488443759629</v>
      </c>
      <c r="J3" s="7">
        <f>H3/F3</f>
        <v>0.86132511556240365</v>
      </c>
      <c r="K3" s="2">
        <v>0.08</v>
      </c>
      <c r="L3" s="7">
        <f>G3*K3</f>
        <v>14.4</v>
      </c>
      <c r="M3" s="2">
        <v>4.8600000000000003</v>
      </c>
      <c r="N3" s="2">
        <v>79.88</v>
      </c>
      <c r="O3" s="2">
        <v>6.08</v>
      </c>
      <c r="P3" s="2">
        <v>1.22</v>
      </c>
      <c r="Q3" s="2">
        <f>M3/N3</f>
        <v>6.0841261892839268E-2</v>
      </c>
      <c r="R3" s="7">
        <f>L3-M3</f>
        <v>9.5399999999999991</v>
      </c>
      <c r="S3" s="9">
        <f>R3</f>
        <v>9.5399999999999991</v>
      </c>
      <c r="T3" s="8">
        <f>N3*$U$21</f>
        <v>67.578479999999999</v>
      </c>
      <c r="U3" s="4">
        <f>T3/$U$22</f>
        <v>0.50696534133533377</v>
      </c>
    </row>
    <row r="4" spans="1:21" x14ac:dyDescent="0.35">
      <c r="A4" s="2">
        <v>2024</v>
      </c>
      <c r="B4" s="3" t="s">
        <v>45</v>
      </c>
      <c r="C4" s="2">
        <v>36</v>
      </c>
      <c r="D4" s="2">
        <v>121.41</v>
      </c>
      <c r="E4" s="2">
        <v>38.65</v>
      </c>
      <c r="F4" s="2">
        <v>1198</v>
      </c>
      <c r="G4" s="2">
        <v>303</v>
      </c>
      <c r="H4" s="2">
        <f t="shared" ref="H4:H19" si="0">MAX(F4-G4, 0)</f>
        <v>895</v>
      </c>
      <c r="I4" s="7">
        <f t="shared" ref="I4:I19" si="1">MIN(G4/F4, 1)</f>
        <v>0.25292153589315525</v>
      </c>
      <c r="J4" s="7">
        <f t="shared" ref="J4:J19" si="2">H4/F4</f>
        <v>0.74707846410684475</v>
      </c>
      <c r="K4" s="2">
        <v>8.1959580000000004E-2</v>
      </c>
      <c r="L4" s="7">
        <f t="shared" ref="L4:L19" si="3">G4*K4</f>
        <v>24.833752740000001</v>
      </c>
      <c r="M4" s="2">
        <v>18.78</v>
      </c>
      <c r="N4" s="2">
        <v>307.33</v>
      </c>
      <c r="O4" s="2">
        <v>23.47</v>
      </c>
      <c r="P4" s="2">
        <v>4.6900000000000004</v>
      </c>
      <c r="Q4" s="2">
        <f t="shared" ref="Q4:Q19" si="4">M4/N4</f>
        <v>6.1106953437672869E-2</v>
      </c>
      <c r="R4" s="7">
        <f t="shared" ref="R4:R19" si="5">L4-M4</f>
        <v>6.0537527400000002</v>
      </c>
      <c r="S4" s="9">
        <f>S3+R4</f>
        <v>15.593752739999999</v>
      </c>
      <c r="T4" s="8">
        <f>T3+N4*$U$21</f>
        <v>327.57965999999999</v>
      </c>
      <c r="U4" s="4">
        <f t="shared" ref="U4:U19" si="6">T4/$U$22</f>
        <v>2.457461815453863</v>
      </c>
    </row>
    <row r="5" spans="1:21" x14ac:dyDescent="0.35">
      <c r="A5" s="2">
        <v>2024</v>
      </c>
      <c r="B5" s="3" t="s">
        <v>46</v>
      </c>
      <c r="C5" s="2">
        <v>47</v>
      </c>
      <c r="D5" s="2">
        <v>50.88</v>
      </c>
      <c r="E5" s="2">
        <v>21.69</v>
      </c>
      <c r="F5" s="2">
        <v>629</v>
      </c>
      <c r="G5" s="2">
        <v>427</v>
      </c>
      <c r="H5" s="2">
        <f t="shared" si="0"/>
        <v>202</v>
      </c>
      <c r="I5" s="7">
        <f t="shared" si="1"/>
        <v>0.67885532591414943</v>
      </c>
      <c r="J5" s="7">
        <f t="shared" si="2"/>
        <v>0.32114467408585057</v>
      </c>
      <c r="K5" s="2">
        <v>8.3406800000000003E-2</v>
      </c>
      <c r="L5" s="7">
        <f t="shared" si="3"/>
        <v>35.614703599999999</v>
      </c>
      <c r="M5" s="2">
        <v>13.38</v>
      </c>
      <c r="N5" s="2">
        <v>219.34</v>
      </c>
      <c r="O5" s="2">
        <v>16.72</v>
      </c>
      <c r="P5" s="2">
        <v>3.34</v>
      </c>
      <c r="Q5" s="2">
        <f t="shared" si="4"/>
        <v>6.1001185374304732E-2</v>
      </c>
      <c r="R5" s="7">
        <f t="shared" si="5"/>
        <v>22.234703599999996</v>
      </c>
      <c r="S5" s="9">
        <f>S4+R5</f>
        <v>37.828456339999995</v>
      </c>
      <c r="T5" s="8">
        <f t="shared" ref="T5:T19" si="7">T4+N5*$U$21</f>
        <v>513.1413</v>
      </c>
      <c r="U5" s="4">
        <f t="shared" si="6"/>
        <v>3.849522130532633</v>
      </c>
    </row>
    <row r="6" spans="1:21" x14ac:dyDescent="0.35">
      <c r="A6" s="2">
        <v>2024</v>
      </c>
      <c r="B6" s="3" t="s">
        <v>47</v>
      </c>
      <c r="C6" s="2">
        <v>52</v>
      </c>
      <c r="D6" s="2">
        <v>29.68</v>
      </c>
      <c r="E6" s="2">
        <v>17.53</v>
      </c>
      <c r="F6" s="2">
        <v>526</v>
      </c>
      <c r="G6" s="2">
        <v>399</v>
      </c>
      <c r="H6" s="2">
        <f t="shared" si="0"/>
        <v>127</v>
      </c>
      <c r="I6" s="7">
        <f t="shared" si="1"/>
        <v>0.7585551330798479</v>
      </c>
      <c r="J6" s="7">
        <f t="shared" si="2"/>
        <v>0.2414448669201521</v>
      </c>
      <c r="K6" s="2">
        <v>8.4231239999999999E-2</v>
      </c>
      <c r="L6" s="7">
        <f t="shared" si="3"/>
        <v>33.608264759999997</v>
      </c>
      <c r="M6" s="2">
        <v>11.52</v>
      </c>
      <c r="N6" s="2">
        <v>179.75</v>
      </c>
      <c r="O6" s="2">
        <v>14.4</v>
      </c>
      <c r="P6" s="2">
        <v>2.88</v>
      </c>
      <c r="Q6" s="2">
        <f t="shared" si="4"/>
        <v>6.408901251738526E-2</v>
      </c>
      <c r="R6" s="7">
        <f t="shared" si="5"/>
        <v>22.088264759999998</v>
      </c>
      <c r="S6" s="9">
        <f t="shared" ref="S6:S19" si="8">S5+R6</f>
        <v>59.91672109999999</v>
      </c>
      <c r="T6" s="8">
        <f t="shared" si="7"/>
        <v>665.20979999999997</v>
      </c>
      <c r="U6" s="4">
        <f t="shared" si="6"/>
        <v>4.9903210802700668</v>
      </c>
    </row>
    <row r="7" spans="1:21" x14ac:dyDescent="0.35">
      <c r="A7" s="2">
        <v>2024</v>
      </c>
      <c r="B7" s="3" t="s">
        <v>48</v>
      </c>
      <c r="C7" s="2">
        <v>62</v>
      </c>
      <c r="D7" s="2">
        <v>13.21</v>
      </c>
      <c r="E7" s="2">
        <v>9.69</v>
      </c>
      <c r="F7" s="2">
        <v>281</v>
      </c>
      <c r="G7" s="2">
        <v>502</v>
      </c>
      <c r="H7" s="2">
        <f t="shared" si="0"/>
        <v>0</v>
      </c>
      <c r="I7" s="7">
        <f t="shared" si="1"/>
        <v>1</v>
      </c>
      <c r="J7" s="7">
        <f t="shared" si="2"/>
        <v>0</v>
      </c>
      <c r="K7" s="2">
        <v>8.4308519999999998E-2</v>
      </c>
      <c r="L7" s="7">
        <f t="shared" si="3"/>
        <v>42.322877040000002</v>
      </c>
      <c r="M7" s="2">
        <v>19.86</v>
      </c>
      <c r="N7" s="2">
        <v>302.91000000000003</v>
      </c>
      <c r="O7" s="2">
        <v>24.83</v>
      </c>
      <c r="P7" s="2">
        <v>4.97</v>
      </c>
      <c r="Q7" s="2">
        <f t="shared" si="4"/>
        <v>6.5564028919481029E-2</v>
      </c>
      <c r="R7" s="7">
        <f t="shared" si="5"/>
        <v>22.462877040000002</v>
      </c>
      <c r="S7" s="9">
        <f t="shared" si="8"/>
        <v>82.379598139999985</v>
      </c>
      <c r="T7" s="8">
        <f t="shared" si="7"/>
        <v>921.47165999999993</v>
      </c>
      <c r="U7" s="4">
        <f t="shared" si="6"/>
        <v>6.9127656414103518</v>
      </c>
    </row>
    <row r="8" spans="1:21" x14ac:dyDescent="0.35">
      <c r="A8" s="2">
        <v>2024</v>
      </c>
      <c r="B8" s="3" t="s">
        <v>49</v>
      </c>
      <c r="C8" s="2">
        <v>72</v>
      </c>
      <c r="D8" s="2">
        <v>54.46</v>
      </c>
      <c r="E8" s="2">
        <v>20.190000000000001</v>
      </c>
      <c r="F8" s="2">
        <v>646</v>
      </c>
      <c r="G8" s="2">
        <v>657</v>
      </c>
      <c r="H8" s="2">
        <f t="shared" si="0"/>
        <v>0</v>
      </c>
      <c r="I8" s="7">
        <f t="shared" si="1"/>
        <v>1</v>
      </c>
      <c r="J8" s="7">
        <f t="shared" si="2"/>
        <v>0</v>
      </c>
      <c r="K8" s="2">
        <v>8.1547850000000005E-2</v>
      </c>
      <c r="L8" s="7">
        <f t="shared" si="3"/>
        <v>53.576937450000003</v>
      </c>
      <c r="M8" s="2">
        <v>28.49</v>
      </c>
      <c r="N8" s="2">
        <v>427.47</v>
      </c>
      <c r="O8" s="2">
        <v>35.61</v>
      </c>
      <c r="P8" s="2">
        <v>7.12</v>
      </c>
      <c r="Q8" s="2">
        <f t="shared" si="4"/>
        <v>6.6647951903057515E-2</v>
      </c>
      <c r="R8" s="7">
        <f t="shared" si="5"/>
        <v>25.086937450000004</v>
      </c>
      <c r="S8" s="9">
        <f t="shared" si="8"/>
        <v>107.46653558999999</v>
      </c>
      <c r="T8" s="8">
        <f t="shared" si="7"/>
        <v>1283.1112800000001</v>
      </c>
      <c r="U8" s="4">
        <f t="shared" si="6"/>
        <v>9.6257410352588142</v>
      </c>
    </row>
    <row r="9" spans="1:21" x14ac:dyDescent="0.35">
      <c r="A9" s="2">
        <v>2024</v>
      </c>
      <c r="B9" s="3" t="s">
        <v>50</v>
      </c>
      <c r="C9" s="2">
        <v>76</v>
      </c>
      <c r="D9" s="2">
        <v>106.41</v>
      </c>
      <c r="E9" s="2">
        <v>25.58</v>
      </c>
      <c r="F9" s="2">
        <v>793</v>
      </c>
      <c r="G9" s="2">
        <v>596</v>
      </c>
      <c r="H9" s="2">
        <f t="shared" si="0"/>
        <v>197</v>
      </c>
      <c r="I9" s="7">
        <f t="shared" si="1"/>
        <v>0.75157629255989911</v>
      </c>
      <c r="J9" s="7">
        <f t="shared" si="2"/>
        <v>0.24842370744010089</v>
      </c>
      <c r="K9" s="2">
        <v>8.0069260000000003E-2</v>
      </c>
      <c r="L9" s="7">
        <f t="shared" si="3"/>
        <v>47.721278959999999</v>
      </c>
      <c r="M9" s="2">
        <v>26.89</v>
      </c>
      <c r="N9" s="2">
        <v>399.33</v>
      </c>
      <c r="O9" s="2">
        <v>33.61</v>
      </c>
      <c r="P9" s="2">
        <v>6.72</v>
      </c>
      <c r="Q9" s="2">
        <f t="shared" si="4"/>
        <v>6.733779079958932E-2</v>
      </c>
      <c r="R9" s="7">
        <f t="shared" si="5"/>
        <v>20.831278959999999</v>
      </c>
      <c r="S9" s="9">
        <f t="shared" si="8"/>
        <v>128.29781455</v>
      </c>
      <c r="T9" s="8">
        <f t="shared" si="7"/>
        <v>1620.9444600000002</v>
      </c>
      <c r="U9" s="4">
        <f t="shared" si="6"/>
        <v>12.160123480870217</v>
      </c>
    </row>
    <row r="10" spans="1:21" x14ac:dyDescent="0.35">
      <c r="A10" s="2">
        <v>2024</v>
      </c>
      <c r="B10" s="3" t="s">
        <v>51</v>
      </c>
      <c r="C10" s="2">
        <v>74</v>
      </c>
      <c r="D10" s="2">
        <v>113</v>
      </c>
      <c r="E10" s="2">
        <v>27.48</v>
      </c>
      <c r="F10" s="2">
        <v>852</v>
      </c>
      <c r="G10" s="2">
        <v>555</v>
      </c>
      <c r="H10" s="2">
        <f t="shared" si="0"/>
        <v>297</v>
      </c>
      <c r="I10" s="7">
        <f t="shared" si="1"/>
        <v>0.65140845070422537</v>
      </c>
      <c r="J10" s="7">
        <f t="shared" si="2"/>
        <v>0.34859154929577463</v>
      </c>
      <c r="K10" s="2">
        <v>8.0054749999999994E-2</v>
      </c>
      <c r="L10" s="7">
        <f t="shared" si="3"/>
        <v>44.430386249999998</v>
      </c>
      <c r="M10" s="2">
        <v>33.86</v>
      </c>
      <c r="N10" s="2">
        <v>501.84</v>
      </c>
      <c r="O10" s="2">
        <v>42.32</v>
      </c>
      <c r="P10" s="2">
        <v>8.4600000000000009</v>
      </c>
      <c r="Q10" s="2">
        <f t="shared" si="4"/>
        <v>6.7471704128806001E-2</v>
      </c>
      <c r="R10" s="7">
        <f t="shared" si="5"/>
        <v>10.570386249999999</v>
      </c>
      <c r="S10" s="9">
        <f t="shared" si="8"/>
        <v>138.86820080000001</v>
      </c>
      <c r="T10" s="8">
        <f t="shared" si="7"/>
        <v>2045.5011000000002</v>
      </c>
      <c r="U10" s="4">
        <f t="shared" si="6"/>
        <v>15.345094523630907</v>
      </c>
    </row>
    <row r="11" spans="1:21" x14ac:dyDescent="0.35">
      <c r="A11" s="2">
        <v>2024</v>
      </c>
      <c r="B11" s="3" t="s">
        <v>52</v>
      </c>
      <c r="C11" s="2">
        <v>71</v>
      </c>
      <c r="D11" s="2">
        <v>86.83</v>
      </c>
      <c r="E11" s="2">
        <v>25.27</v>
      </c>
      <c r="F11" s="2">
        <v>758</v>
      </c>
      <c r="G11" s="2">
        <v>587</v>
      </c>
      <c r="H11" s="2">
        <f t="shared" si="0"/>
        <v>171</v>
      </c>
      <c r="I11" s="7">
        <f t="shared" si="1"/>
        <v>0.77440633245382584</v>
      </c>
      <c r="J11" s="7">
        <f t="shared" si="2"/>
        <v>0.22559366754617413</v>
      </c>
      <c r="K11" s="2">
        <v>8.0280909999999997E-2</v>
      </c>
      <c r="L11" s="7">
        <f t="shared" si="3"/>
        <v>47.124894169999997</v>
      </c>
      <c r="M11" s="2">
        <v>42.86</v>
      </c>
      <c r="N11" s="2">
        <v>656.71</v>
      </c>
      <c r="O11" s="2">
        <v>53.57</v>
      </c>
      <c r="P11" s="2">
        <v>10.71</v>
      </c>
      <c r="Q11" s="2">
        <f t="shared" si="4"/>
        <v>6.5264728723485252E-2</v>
      </c>
      <c r="R11" s="7">
        <f t="shared" si="5"/>
        <v>4.264894169999998</v>
      </c>
      <c r="S11" s="9">
        <f t="shared" si="8"/>
        <v>143.13309497</v>
      </c>
      <c r="T11" s="8">
        <f t="shared" si="7"/>
        <v>2601.0777600000001</v>
      </c>
      <c r="U11" s="4">
        <f t="shared" si="6"/>
        <v>19.51296144036009</v>
      </c>
    </row>
    <row r="12" spans="1:21" x14ac:dyDescent="0.35">
      <c r="A12" s="2">
        <v>2024</v>
      </c>
      <c r="B12" s="3" t="s">
        <v>53</v>
      </c>
      <c r="C12" s="2">
        <v>63</v>
      </c>
      <c r="D12" s="2">
        <v>52.22</v>
      </c>
      <c r="E12" s="2">
        <v>15.97</v>
      </c>
      <c r="F12" s="2">
        <v>463</v>
      </c>
      <c r="G12" s="2">
        <v>437</v>
      </c>
      <c r="H12" s="2">
        <f t="shared" si="0"/>
        <v>26</v>
      </c>
      <c r="I12" s="7">
        <f t="shared" si="1"/>
        <v>0.94384449244060475</v>
      </c>
      <c r="J12" s="7">
        <f t="shared" si="2"/>
        <v>5.6155507559395246E-2</v>
      </c>
      <c r="K12" s="2">
        <v>7.9938079999999995E-2</v>
      </c>
      <c r="L12" s="7">
        <f t="shared" si="3"/>
        <v>34.932940959999996</v>
      </c>
      <c r="M12" s="2">
        <v>38.18</v>
      </c>
      <c r="N12" s="2">
        <v>596.25</v>
      </c>
      <c r="O12" s="2">
        <v>47.72</v>
      </c>
      <c r="P12" s="2">
        <v>9.5399999999999991</v>
      </c>
      <c r="Q12" s="2">
        <f t="shared" si="4"/>
        <v>6.4033542976939209E-2</v>
      </c>
      <c r="R12" s="7">
        <f t="shared" si="5"/>
        <v>-3.2470590400000034</v>
      </c>
      <c r="S12" s="9">
        <f t="shared" si="8"/>
        <v>139.88603592999999</v>
      </c>
      <c r="T12" s="8">
        <f t="shared" si="7"/>
        <v>3105.5052599999999</v>
      </c>
      <c r="U12" s="4">
        <f t="shared" si="6"/>
        <v>23.297113728432105</v>
      </c>
    </row>
    <row r="13" spans="1:21" x14ac:dyDescent="0.35">
      <c r="A13" s="2">
        <v>2024</v>
      </c>
      <c r="B13" s="3" t="s">
        <v>54</v>
      </c>
      <c r="C13" s="2">
        <v>54</v>
      </c>
      <c r="D13" s="2">
        <v>45.83</v>
      </c>
      <c r="E13" s="2">
        <v>12.47</v>
      </c>
      <c r="F13" s="2">
        <v>399</v>
      </c>
      <c r="G13" s="2">
        <v>302</v>
      </c>
      <c r="H13" s="2">
        <f t="shared" si="0"/>
        <v>97</v>
      </c>
      <c r="I13" s="7">
        <f t="shared" si="1"/>
        <v>0.75689223057644106</v>
      </c>
      <c r="J13" s="7">
        <f t="shared" si="2"/>
        <v>0.24310776942355888</v>
      </c>
      <c r="K13" s="2">
        <v>7.9552499999999998E-2</v>
      </c>
      <c r="L13" s="7">
        <f t="shared" si="3"/>
        <v>24.024854999999999</v>
      </c>
      <c r="M13" s="2">
        <v>35.54</v>
      </c>
      <c r="N13" s="2">
        <v>554.85</v>
      </c>
      <c r="O13" s="2">
        <v>44.43</v>
      </c>
      <c r="P13" s="2">
        <v>8.89</v>
      </c>
      <c r="Q13" s="2">
        <f t="shared" si="4"/>
        <v>6.405334775164459E-2</v>
      </c>
      <c r="R13" s="7">
        <f t="shared" si="5"/>
        <v>-11.515145</v>
      </c>
      <c r="S13" s="9">
        <f t="shared" si="8"/>
        <v>128.37089093</v>
      </c>
      <c r="T13" s="8">
        <f t="shared" si="7"/>
        <v>3574.9083599999999</v>
      </c>
      <c r="U13" s="4">
        <f t="shared" si="6"/>
        <v>26.81851732933233</v>
      </c>
    </row>
    <row r="14" spans="1:21" x14ac:dyDescent="0.35">
      <c r="A14" s="2">
        <v>2024</v>
      </c>
      <c r="B14" s="3" t="s">
        <v>55</v>
      </c>
      <c r="C14" s="2">
        <v>34</v>
      </c>
      <c r="D14" s="2">
        <v>123.07</v>
      </c>
      <c r="E14" s="2">
        <v>31.87</v>
      </c>
      <c r="F14" s="2">
        <v>956</v>
      </c>
      <c r="G14" s="2">
        <v>167</v>
      </c>
      <c r="H14" s="2">
        <f t="shared" si="0"/>
        <v>789</v>
      </c>
      <c r="I14" s="7">
        <f t="shared" si="1"/>
        <v>0.17468619246861924</v>
      </c>
      <c r="J14" s="7">
        <f t="shared" si="2"/>
        <v>0.82531380753138073</v>
      </c>
      <c r="K14" s="2">
        <v>8.0552250000000006E-2</v>
      </c>
      <c r="L14" s="7">
        <f t="shared" si="3"/>
        <v>13.45222575</v>
      </c>
      <c r="M14" s="2">
        <v>37.700000000000003</v>
      </c>
      <c r="N14" s="2">
        <v>586.73</v>
      </c>
      <c r="O14" s="2">
        <v>47.12</v>
      </c>
      <c r="P14" s="2">
        <v>9.42</v>
      </c>
      <c r="Q14" s="2">
        <f t="shared" si="4"/>
        <v>6.4254427078894893E-2</v>
      </c>
      <c r="R14" s="7">
        <f t="shared" si="5"/>
        <v>-24.247774250000003</v>
      </c>
      <c r="S14" s="9">
        <f t="shared" si="8"/>
        <v>104.12311668</v>
      </c>
      <c r="T14" s="8">
        <f t="shared" si="7"/>
        <v>4071.2819399999998</v>
      </c>
      <c r="U14" s="4">
        <f t="shared" si="6"/>
        <v>30.54225011252813</v>
      </c>
    </row>
    <row r="15" spans="1:21" x14ac:dyDescent="0.35">
      <c r="A15" s="2">
        <v>2025</v>
      </c>
      <c r="B15" s="3" t="s">
        <v>44</v>
      </c>
      <c r="C15" s="2">
        <v>27</v>
      </c>
      <c r="D15" s="2">
        <v>209.62</v>
      </c>
      <c r="E15" s="2">
        <v>38.85</v>
      </c>
      <c r="F15" s="2">
        <v>1321</v>
      </c>
      <c r="G15" s="2">
        <v>242</v>
      </c>
      <c r="H15" s="2">
        <f t="shared" si="0"/>
        <v>1079</v>
      </c>
      <c r="I15" s="7">
        <f t="shared" si="1"/>
        <v>0.18319454958364875</v>
      </c>
      <c r="J15" s="7">
        <f t="shared" si="2"/>
        <v>0.81680545041635122</v>
      </c>
      <c r="K15" s="2">
        <v>8.1725790000000006E-2</v>
      </c>
      <c r="L15" s="7">
        <f t="shared" si="3"/>
        <v>19.77764118</v>
      </c>
      <c r="M15" s="2">
        <v>27.94</v>
      </c>
      <c r="N15" s="2">
        <v>436.67</v>
      </c>
      <c r="O15" s="2">
        <v>34.93</v>
      </c>
      <c r="P15" s="2">
        <v>6.99</v>
      </c>
      <c r="Q15" s="2">
        <f t="shared" si="4"/>
        <v>6.398424439508095E-2</v>
      </c>
      <c r="R15" s="7">
        <f t="shared" si="5"/>
        <v>-8.1623588200000015</v>
      </c>
      <c r="S15" s="7">
        <f t="shared" si="8"/>
        <v>95.960757860000001</v>
      </c>
      <c r="T15" s="8">
        <f t="shared" si="7"/>
        <v>4440.7047599999996</v>
      </c>
      <c r="U15" s="4">
        <f t="shared" si="6"/>
        <v>33.313614103525879</v>
      </c>
    </row>
    <row r="16" spans="1:21" x14ac:dyDescent="0.35">
      <c r="A16" s="2">
        <v>2025</v>
      </c>
      <c r="B16" s="3" t="s">
        <v>45</v>
      </c>
      <c r="C16" s="2">
        <v>28</v>
      </c>
      <c r="D16" s="2">
        <v>179.45</v>
      </c>
      <c r="E16" s="2">
        <v>44.97</v>
      </c>
      <c r="F16" s="2">
        <v>1304</v>
      </c>
      <c r="G16" s="2">
        <v>281</v>
      </c>
      <c r="H16" s="2">
        <f t="shared" si="0"/>
        <v>1023</v>
      </c>
      <c r="I16" s="7">
        <f t="shared" si="1"/>
        <v>0.21549079754601227</v>
      </c>
      <c r="J16" s="7">
        <f t="shared" si="2"/>
        <v>0.7845092024539877</v>
      </c>
      <c r="K16" s="2">
        <v>8.0322669999999999E-2</v>
      </c>
      <c r="L16" s="7">
        <f t="shared" si="3"/>
        <v>22.570670270000001</v>
      </c>
      <c r="M16" s="2">
        <v>19.22</v>
      </c>
      <c r="N16" s="2">
        <v>302</v>
      </c>
      <c r="O16" s="2">
        <v>24.02</v>
      </c>
      <c r="P16" s="2">
        <v>4.8</v>
      </c>
      <c r="Q16" s="2">
        <f t="shared" si="4"/>
        <v>6.3642384105960265E-2</v>
      </c>
      <c r="R16" s="7">
        <f t="shared" si="5"/>
        <v>3.3506702700000019</v>
      </c>
      <c r="S16" s="7">
        <f t="shared" si="8"/>
        <v>99.311428129999996</v>
      </c>
      <c r="T16" s="8">
        <f t="shared" si="7"/>
        <v>4696.1967599999998</v>
      </c>
      <c r="U16" s="4">
        <f t="shared" si="6"/>
        <v>35.230283270817701</v>
      </c>
    </row>
    <row r="17" spans="1:21" x14ac:dyDescent="0.35">
      <c r="A17" s="2">
        <v>2025</v>
      </c>
      <c r="B17" s="3" t="s">
        <v>46</v>
      </c>
      <c r="C17" s="2">
        <v>45</v>
      </c>
      <c r="D17" s="2">
        <v>89.02</v>
      </c>
      <c r="E17" s="2">
        <v>23.34</v>
      </c>
      <c r="F17" s="2">
        <v>677</v>
      </c>
      <c r="G17" s="2">
        <v>365</v>
      </c>
      <c r="H17" s="2">
        <f t="shared" si="0"/>
        <v>312</v>
      </c>
      <c r="I17" s="7">
        <f t="shared" si="1"/>
        <v>0.53914327917282123</v>
      </c>
      <c r="J17" s="7">
        <f t="shared" si="2"/>
        <v>0.46085672082717871</v>
      </c>
      <c r="K17" s="2">
        <v>8.0107499999999998E-2</v>
      </c>
      <c r="L17" s="7">
        <f t="shared" si="3"/>
        <v>29.239237499999998</v>
      </c>
      <c r="M17" s="2">
        <v>10.76</v>
      </c>
      <c r="N17" s="2">
        <v>167</v>
      </c>
      <c r="O17" s="2">
        <v>13.45</v>
      </c>
      <c r="P17" s="2">
        <v>2.69</v>
      </c>
      <c r="Q17" s="2">
        <f t="shared" si="4"/>
        <v>6.4431137724550891E-2</v>
      </c>
      <c r="R17" s="7">
        <f t="shared" si="5"/>
        <v>18.479237499999996</v>
      </c>
      <c r="S17" s="7">
        <f t="shared" si="8"/>
        <v>117.79066562999999</v>
      </c>
      <c r="T17" s="8">
        <f t="shared" si="7"/>
        <v>4837.47876</v>
      </c>
      <c r="U17" s="4">
        <f t="shared" si="6"/>
        <v>36.290163240810202</v>
      </c>
    </row>
    <row r="18" spans="1:21" x14ac:dyDescent="0.35">
      <c r="A18" s="2">
        <v>2025</v>
      </c>
      <c r="B18" s="3" t="s">
        <v>47</v>
      </c>
      <c r="C18" s="2">
        <v>51</v>
      </c>
      <c r="D18" s="2">
        <v>84.71</v>
      </c>
      <c r="E18" s="2">
        <v>23.17</v>
      </c>
      <c r="F18" s="2">
        <v>672</v>
      </c>
      <c r="G18" s="2">
        <v>401</v>
      </c>
      <c r="H18" s="2">
        <f t="shared" si="0"/>
        <v>271</v>
      </c>
      <c r="I18" s="7">
        <f t="shared" si="1"/>
        <v>0.59672619047619047</v>
      </c>
      <c r="J18" s="7">
        <f t="shared" si="2"/>
        <v>0.40327380952380953</v>
      </c>
      <c r="K18" s="2">
        <v>7.961232E-2</v>
      </c>
      <c r="L18" s="7">
        <f t="shared" si="3"/>
        <v>31.924540319999998</v>
      </c>
      <c r="M18" s="2">
        <v>15.82</v>
      </c>
      <c r="N18" s="2">
        <v>241.6</v>
      </c>
      <c r="O18" s="2">
        <v>19.78</v>
      </c>
      <c r="P18" s="2">
        <v>3.96</v>
      </c>
      <c r="Q18" s="2">
        <f t="shared" si="4"/>
        <v>6.548013245033113E-2</v>
      </c>
      <c r="R18" s="7">
        <f t="shared" si="5"/>
        <v>16.104540319999998</v>
      </c>
      <c r="S18" s="7">
        <f t="shared" si="8"/>
        <v>133.89520594999999</v>
      </c>
      <c r="T18" s="8">
        <f t="shared" si="7"/>
        <v>5041.8723600000003</v>
      </c>
      <c r="U18" s="4">
        <f t="shared" si="6"/>
        <v>37.823498574643658</v>
      </c>
    </row>
    <row r="19" spans="1:21" x14ac:dyDescent="0.35">
      <c r="A19" s="2">
        <v>2025</v>
      </c>
      <c r="B19" s="3" t="s">
        <v>48</v>
      </c>
      <c r="C19" s="2">
        <v>63</v>
      </c>
      <c r="D19" s="2">
        <v>22.25</v>
      </c>
      <c r="E19" s="2">
        <v>10.81</v>
      </c>
      <c r="F19" s="2">
        <v>335</v>
      </c>
      <c r="G19" s="2">
        <v>544</v>
      </c>
      <c r="H19" s="2">
        <f t="shared" si="0"/>
        <v>0</v>
      </c>
      <c r="I19" s="7">
        <f t="shared" si="1"/>
        <v>1</v>
      </c>
      <c r="J19" s="7">
        <f t="shared" si="2"/>
        <v>0</v>
      </c>
      <c r="K19" s="2">
        <v>7.9407649999999996E-2</v>
      </c>
      <c r="L19" s="7">
        <f t="shared" si="3"/>
        <v>43.1977616</v>
      </c>
      <c r="M19" s="2">
        <v>18.059999999999999</v>
      </c>
      <c r="N19" s="2">
        <v>281.19</v>
      </c>
      <c r="O19" s="2">
        <v>22.57</v>
      </c>
      <c r="P19" s="2">
        <v>4.51</v>
      </c>
      <c r="Q19" s="2">
        <f t="shared" si="4"/>
        <v>6.4227035100821506E-2</v>
      </c>
      <c r="R19" s="7">
        <f t="shared" si="5"/>
        <v>25.137761600000001</v>
      </c>
      <c r="S19" s="7">
        <f t="shared" si="8"/>
        <v>159.03296755</v>
      </c>
      <c r="T19" s="8">
        <f t="shared" si="7"/>
        <v>5279.7591000000002</v>
      </c>
      <c r="U19" s="4">
        <f t="shared" si="6"/>
        <v>39.608095273818456</v>
      </c>
    </row>
    <row r="20" spans="1:21" x14ac:dyDescent="0.35">
      <c r="A20" s="3"/>
      <c r="B20" s="3"/>
      <c r="C20" s="3"/>
      <c r="D20" s="3"/>
      <c r="E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26" x14ac:dyDescent="0.35">
      <c r="A21" s="3"/>
      <c r="B21" s="3"/>
      <c r="C21" s="3"/>
      <c r="D21" s="10">
        <f>SUM(D3:D14)-S12</f>
        <v>832.88396407000005</v>
      </c>
      <c r="E21" s="3"/>
      <c r="F21" s="3">
        <f>SUM(F3:F14)</f>
        <v>8799</v>
      </c>
      <c r="G21" s="3">
        <f>G7-F7</f>
        <v>221</v>
      </c>
      <c r="H21" s="3" t="s">
        <v>63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56</v>
      </c>
      <c r="U21" s="2">
        <v>0.84599999999999997</v>
      </c>
    </row>
    <row r="22" spans="1:2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57</v>
      </c>
      <c r="U22" s="2">
        <v>133.30000000000001</v>
      </c>
    </row>
    <row r="23" spans="1:2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58</v>
      </c>
      <c r="U23" s="2">
        <v>19.600000000000001</v>
      </c>
    </row>
    <row r="24" spans="1:2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59</v>
      </c>
      <c r="U24" s="2">
        <v>58.04</v>
      </c>
    </row>
    <row r="25" spans="1:2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 t="s">
        <v>60</v>
      </c>
      <c r="U25" s="2">
        <v>952.24</v>
      </c>
    </row>
  </sheetData>
  <mergeCells count="2">
    <mergeCell ref="C1:L1"/>
    <mergeCell ref="M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4A8D-235C-486F-BC11-822EA48DB910}">
  <dimension ref="A1:O16"/>
  <sheetViews>
    <sheetView workbookViewId="0">
      <selection activeCell="G3" sqref="G3"/>
    </sheetView>
  </sheetViews>
  <sheetFormatPr defaultRowHeight="14.5" x14ac:dyDescent="0.35"/>
  <cols>
    <col min="1" max="1" width="6.453125" bestFit="1" customWidth="1"/>
    <col min="2" max="2" width="21.36328125" customWidth="1"/>
    <col min="3" max="3" width="10.6328125" bestFit="1" customWidth="1"/>
    <col min="4" max="4" width="6.453125" bestFit="1" customWidth="1"/>
    <col min="5" max="5" width="10.1796875" bestFit="1" customWidth="1"/>
    <col min="6" max="6" width="15.6328125" bestFit="1" customWidth="1"/>
    <col min="7" max="8" width="11" bestFit="1" customWidth="1"/>
    <col min="9" max="9" width="6.54296875" bestFit="1" customWidth="1"/>
    <col min="10" max="10" width="11" bestFit="1" customWidth="1"/>
    <col min="11" max="11" width="21.90625" bestFit="1" customWidth="1"/>
    <col min="12" max="12" width="10.54296875" bestFit="1" customWidth="1"/>
  </cols>
  <sheetData>
    <row r="1" spans="1:15" x14ac:dyDescent="0.35">
      <c r="C1" s="5" t="s">
        <v>18</v>
      </c>
      <c r="H1" s="5" t="s">
        <v>19</v>
      </c>
    </row>
    <row r="2" spans="1:15" s="5" customFormat="1" ht="26.5" x14ac:dyDescent="0.35">
      <c r="A2" s="1" t="s">
        <v>4</v>
      </c>
      <c r="B2" s="1" t="s">
        <v>14</v>
      </c>
      <c r="C2" s="5" t="s">
        <v>20</v>
      </c>
      <c r="D2" s="5" t="s">
        <v>21</v>
      </c>
      <c r="E2" s="5" t="s">
        <v>22</v>
      </c>
      <c r="F2" s="5" t="s">
        <v>16</v>
      </c>
      <c r="G2" s="1" t="s">
        <v>23</v>
      </c>
      <c r="H2" s="5" t="s">
        <v>20</v>
      </c>
      <c r="I2" s="5" t="s">
        <v>21</v>
      </c>
      <c r="J2" s="5" t="s">
        <v>22</v>
      </c>
      <c r="K2" s="1" t="s">
        <v>13</v>
      </c>
      <c r="L2" s="1" t="s">
        <v>23</v>
      </c>
    </row>
    <row r="3" spans="1:15" x14ac:dyDescent="0.35">
      <c r="A3" s="2">
        <v>1</v>
      </c>
      <c r="B3" s="2">
        <v>180</v>
      </c>
      <c r="C3" t="s">
        <v>0</v>
      </c>
      <c r="D3" s="4">
        <v>370.82067005710064</v>
      </c>
      <c r="E3" s="2">
        <v>0</v>
      </c>
      <c r="F3" s="4">
        <f t="shared" ref="F3:F14" si="0">$D$3*SIN($D$4*(A3-$D$5))+$D$6</f>
        <v>163.19496144153473</v>
      </c>
      <c r="G3" s="6">
        <f t="shared" ref="G3:G14" si="1">(B3-F3)^2</f>
        <v>282.40932095150447</v>
      </c>
      <c r="H3" s="3" t="s">
        <v>5</v>
      </c>
      <c r="I3" s="4">
        <v>36.204226079281185</v>
      </c>
      <c r="J3" s="2">
        <v>0</v>
      </c>
      <c r="K3" s="4">
        <f t="shared" ref="K3:K14" si="2">$I$3*SIN($I$4*(A3-$I$5))+$I$6 + $I$7*SIN($I$8*(A3-$I$9)) + $I$10</f>
        <v>175.96945611112133</v>
      </c>
      <c r="L3" s="4">
        <f t="shared" ref="L3:L14" si="3">(K3-B3)^2</f>
        <v>16.245284040177179</v>
      </c>
    </row>
    <row r="4" spans="1:15" x14ac:dyDescent="0.35">
      <c r="A4" s="2">
        <v>2</v>
      </c>
      <c r="B4" s="2">
        <v>303</v>
      </c>
      <c r="C4" t="s">
        <v>1</v>
      </c>
      <c r="D4" s="6">
        <v>0.31137076981991252</v>
      </c>
      <c r="E4">
        <v>0</v>
      </c>
      <c r="F4" s="4">
        <f t="shared" si="0"/>
        <v>278.09403873939505</v>
      </c>
      <c r="G4" s="6">
        <f t="shared" si="1"/>
        <v>620.30690631475477</v>
      </c>
      <c r="H4" s="3" t="s">
        <v>6</v>
      </c>
      <c r="I4" s="6">
        <v>0.85450714768395197</v>
      </c>
      <c r="J4">
        <v>0</v>
      </c>
      <c r="K4" s="4">
        <f t="shared" si="2"/>
        <v>296.03869422889102</v>
      </c>
      <c r="L4" s="4">
        <f t="shared" si="3"/>
        <v>48.459778038875221</v>
      </c>
    </row>
    <row r="5" spans="1:15" x14ac:dyDescent="0.35">
      <c r="A5" s="2">
        <v>3</v>
      </c>
      <c r="B5" s="2">
        <v>427</v>
      </c>
      <c r="C5" t="s">
        <v>2</v>
      </c>
      <c r="D5" s="4">
        <v>1.6324462931217567</v>
      </c>
      <c r="E5" s="2"/>
      <c r="F5" s="4">
        <f t="shared" si="0"/>
        <v>388.92064354059448</v>
      </c>
      <c r="G5" s="6">
        <f t="shared" si="1"/>
        <v>1450.0373883624686</v>
      </c>
      <c r="H5" s="3" t="s">
        <v>7</v>
      </c>
      <c r="I5" s="4">
        <v>6.5292270108695405</v>
      </c>
      <c r="J5" s="2"/>
      <c r="K5" s="4">
        <f t="shared" si="2"/>
        <v>384.7658958153001</v>
      </c>
      <c r="L5" s="4">
        <f t="shared" si="3"/>
        <v>1783.7195562840857</v>
      </c>
    </row>
    <row r="6" spans="1:15" x14ac:dyDescent="0.35">
      <c r="A6" s="2">
        <v>4</v>
      </c>
      <c r="B6" s="2">
        <v>399</v>
      </c>
      <c r="C6" t="s">
        <v>17</v>
      </c>
      <c r="D6" s="4">
        <v>235.74787041459103</v>
      </c>
      <c r="E6" s="2">
        <v>0</v>
      </c>
      <c r="F6" s="4">
        <f t="shared" si="0"/>
        <v>485.01647267849614</v>
      </c>
      <c r="G6" s="6">
        <f t="shared" si="1"/>
        <v>7398.8335720504738</v>
      </c>
      <c r="H6" s="3" t="s">
        <v>8</v>
      </c>
      <c r="I6" s="4">
        <v>2.7154044643667428E-3</v>
      </c>
      <c r="J6" s="2">
        <v>0</v>
      </c>
      <c r="K6" s="4">
        <f t="shared" si="2"/>
        <v>455.44756782882797</v>
      </c>
      <c r="L6" s="4">
        <f t="shared" si="3"/>
        <v>3186.3279137901345</v>
      </c>
    </row>
    <row r="7" spans="1:15" x14ac:dyDescent="0.35">
      <c r="A7" s="2">
        <v>5</v>
      </c>
      <c r="B7" s="2">
        <v>502</v>
      </c>
      <c r="F7" s="4">
        <f t="shared" si="0"/>
        <v>557.13989611455202</v>
      </c>
      <c r="G7" s="6">
        <f t="shared" si="1"/>
        <v>3040.4081435235885</v>
      </c>
      <c r="H7" s="3" t="s">
        <v>9</v>
      </c>
      <c r="I7" s="4">
        <v>603.50608389490969</v>
      </c>
      <c r="J7" s="2">
        <v>0</v>
      </c>
      <c r="K7" s="4">
        <f t="shared" si="2"/>
        <v>520.3875234332445</v>
      </c>
      <c r="L7" s="4">
        <f t="shared" si="3"/>
        <v>338.10101800811549</v>
      </c>
    </row>
    <row r="8" spans="1:15" x14ac:dyDescent="0.35">
      <c r="A8" s="2">
        <v>6</v>
      </c>
      <c r="B8" s="2">
        <v>657</v>
      </c>
      <c r="F8" s="4">
        <f t="shared" si="0"/>
        <v>598.35473355364127</v>
      </c>
      <c r="G8" s="6">
        <f t="shared" si="1"/>
        <v>3439.2672765644093</v>
      </c>
      <c r="H8" s="3" t="s">
        <v>10</v>
      </c>
      <c r="I8" s="6">
        <v>0.23370523190105114</v>
      </c>
      <c r="J8" s="2">
        <v>0</v>
      </c>
      <c r="K8" s="4">
        <f t="shared" si="2"/>
        <v>579.13800606527059</v>
      </c>
      <c r="L8" s="4">
        <f t="shared" si="3"/>
        <v>6062.4900994918398</v>
      </c>
    </row>
    <row r="9" spans="1:15" x14ac:dyDescent="0.35">
      <c r="A9" s="2">
        <v>7</v>
      </c>
      <c r="B9" s="2">
        <v>596</v>
      </c>
      <c r="F9" s="4">
        <f t="shared" si="0"/>
        <v>604.69731369880924</v>
      </c>
      <c r="G9" s="6">
        <f t="shared" si="1"/>
        <v>75.643265575494851</v>
      </c>
      <c r="H9" s="3" t="s">
        <v>11</v>
      </c>
      <c r="I9" s="4">
        <v>0</v>
      </c>
      <c r="J9" s="2"/>
      <c r="K9" s="4">
        <f t="shared" si="2"/>
        <v>616.40655041922741</v>
      </c>
      <c r="L9" s="4">
        <f t="shared" si="3"/>
        <v>416.4273000124706</v>
      </c>
    </row>
    <row r="10" spans="1:15" x14ac:dyDescent="0.35">
      <c r="A10" s="2">
        <v>8</v>
      </c>
      <c r="B10" s="2">
        <v>555</v>
      </c>
      <c r="F10" s="4">
        <f t="shared" si="0"/>
        <v>575.55766440332127</v>
      </c>
      <c r="G10" s="6">
        <f t="shared" si="1"/>
        <v>422.61756571958244</v>
      </c>
      <c r="H10" s="3" t="s">
        <v>12</v>
      </c>
      <c r="I10" s="4">
        <v>3.1691162026992003E-3</v>
      </c>
      <c r="J10" s="2">
        <v>0</v>
      </c>
      <c r="K10" s="4">
        <f t="shared" si="2"/>
        <v>611.19671297982586</v>
      </c>
      <c r="L10" s="4">
        <f t="shared" si="3"/>
        <v>3158.0705497369286</v>
      </c>
    </row>
    <row r="11" spans="1:15" x14ac:dyDescent="0.35">
      <c r="A11" s="2">
        <v>9</v>
      </c>
      <c r="B11" s="2">
        <v>587</v>
      </c>
      <c r="F11" s="4">
        <f t="shared" si="0"/>
        <v>513.73817428963787</v>
      </c>
      <c r="G11" s="6">
        <f t="shared" si="1"/>
        <v>5367.2951064154777</v>
      </c>
      <c r="K11" s="4">
        <f t="shared" si="2"/>
        <v>550.97871678970284</v>
      </c>
      <c r="L11" s="4">
        <f t="shared" si="3"/>
        <v>1297.5328441164359</v>
      </c>
      <c r="M11" s="3"/>
      <c r="N11" s="3"/>
      <c r="O11" s="3"/>
    </row>
    <row r="12" spans="1:15" x14ac:dyDescent="0.35">
      <c r="A12" s="2">
        <v>10</v>
      </c>
      <c r="B12" s="2">
        <v>437</v>
      </c>
      <c r="F12" s="4">
        <f t="shared" si="0"/>
        <v>425.18408428993791</v>
      </c>
      <c r="G12" s="6">
        <f t="shared" si="1"/>
        <v>139.61586406729202</v>
      </c>
      <c r="K12" s="4">
        <f t="shared" si="2"/>
        <v>441.17093631027751</v>
      </c>
      <c r="L12" s="4">
        <f t="shared" si="3"/>
        <v>17.39670970439138</v>
      </c>
      <c r="M12" s="3"/>
      <c r="N12" s="3"/>
      <c r="O12" s="3"/>
    </row>
    <row r="13" spans="1:15" x14ac:dyDescent="0.35">
      <c r="A13" s="2">
        <v>11</v>
      </c>
      <c r="B13" s="2">
        <v>302</v>
      </c>
      <c r="F13" s="4">
        <f t="shared" si="0"/>
        <v>318.41172800079346</v>
      </c>
      <c r="G13" s="6">
        <f t="shared" si="1"/>
        <v>269.34481597202807</v>
      </c>
      <c r="K13" s="4">
        <f t="shared" si="2"/>
        <v>303.37253827233263</v>
      </c>
      <c r="L13" s="4">
        <f t="shared" si="3"/>
        <v>1.88386130901785</v>
      </c>
      <c r="M13" s="3"/>
      <c r="N13" s="3"/>
      <c r="O13" s="3"/>
    </row>
    <row r="14" spans="1:15" x14ac:dyDescent="0.35">
      <c r="A14" s="2">
        <v>12</v>
      </c>
      <c r="B14" s="2">
        <v>167</v>
      </c>
      <c r="F14" s="4">
        <f t="shared" si="0"/>
        <v>203.68950753726699</v>
      </c>
      <c r="G14" s="6">
        <f t="shared" si="1"/>
        <v>1346.1199633271713</v>
      </c>
      <c r="K14" s="4">
        <f t="shared" si="2"/>
        <v>163.45489138540211</v>
      </c>
      <c r="L14" s="4">
        <f t="shared" si="3"/>
        <v>12.567795089296196</v>
      </c>
      <c r="M14" s="3"/>
      <c r="N14" s="3"/>
      <c r="O14" s="3"/>
    </row>
    <row r="15" spans="1:15" ht="26.5" x14ac:dyDescent="0.35">
      <c r="F15" s="1" t="s">
        <v>3</v>
      </c>
      <c r="G15" s="4">
        <f>AVERAGE(G3:G14)</f>
        <v>1987.6582657370202</v>
      </c>
      <c r="L15" s="4">
        <f>AVERAGE(L3:L14)</f>
        <v>1361.6018924684806</v>
      </c>
      <c r="M15" s="3"/>
      <c r="N15" s="3"/>
      <c r="O15" s="3"/>
    </row>
    <row r="16" spans="1:15" x14ac:dyDescent="0.35">
      <c r="F16" s="5" t="s">
        <v>15</v>
      </c>
      <c r="G16" s="7">
        <f>RSQ(B3:B14,F3:F14)</f>
        <v>0.91762481630684667</v>
      </c>
      <c r="L16" s="7">
        <f>RSQ(B3:B14,K3:K14)</f>
        <v>0.94402269294954477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DF79-AC74-4BFE-A2D0-9B098B912D3D}">
  <dimension ref="A1:T22"/>
  <sheetViews>
    <sheetView tabSelected="1" topLeftCell="A19" workbookViewId="0">
      <selection activeCell="P28" sqref="P28"/>
    </sheetView>
  </sheetViews>
  <sheetFormatPr defaultRowHeight="14.5" x14ac:dyDescent="0.35"/>
  <cols>
    <col min="2" max="2" width="14.54296875" bestFit="1" customWidth="1"/>
  </cols>
  <sheetData>
    <row r="1" spans="1:20" x14ac:dyDescent="0.35">
      <c r="A1" s="5" t="s">
        <v>64</v>
      </c>
    </row>
    <row r="3" spans="1:20" x14ac:dyDescent="0.35">
      <c r="A3" t="s">
        <v>65</v>
      </c>
      <c r="B3" s="13">
        <v>45891</v>
      </c>
    </row>
    <row r="5" spans="1:20" x14ac:dyDescent="0.35">
      <c r="A5" t="s">
        <v>89</v>
      </c>
    </row>
    <row r="7" spans="1:20" x14ac:dyDescent="0.35">
      <c r="A7" t="s">
        <v>4</v>
      </c>
      <c r="B7" t="s">
        <v>66</v>
      </c>
      <c r="C7" t="s">
        <v>68</v>
      </c>
      <c r="E7" t="s">
        <v>82</v>
      </c>
      <c r="K7" t="s">
        <v>88</v>
      </c>
      <c r="P7" t="s">
        <v>4</v>
      </c>
      <c r="Q7" t="s">
        <v>66</v>
      </c>
      <c r="R7" t="s">
        <v>68</v>
      </c>
    </row>
    <row r="8" spans="1:20" x14ac:dyDescent="0.35">
      <c r="B8" t="s">
        <v>67</v>
      </c>
      <c r="C8" t="s">
        <v>69</v>
      </c>
      <c r="E8" t="s">
        <v>83</v>
      </c>
      <c r="F8" t="s">
        <v>85</v>
      </c>
      <c r="G8" t="s">
        <v>86</v>
      </c>
      <c r="H8" t="s">
        <v>87</v>
      </c>
      <c r="K8" t="str">
        <f>E8</f>
        <v>Nexamp</v>
      </c>
      <c r="L8" t="str">
        <f t="shared" ref="L8:N8" si="0">F8</f>
        <v>PVWatts</v>
      </c>
      <c r="M8" t="str">
        <f t="shared" si="0"/>
        <v>Curve1</v>
      </c>
      <c r="N8" t="str">
        <f t="shared" si="0"/>
        <v>Curve2</v>
      </c>
      <c r="Q8" t="s">
        <v>67</v>
      </c>
      <c r="R8" t="s">
        <v>69</v>
      </c>
    </row>
    <row r="9" spans="1:20" x14ac:dyDescent="0.35">
      <c r="A9" t="s">
        <v>70</v>
      </c>
      <c r="B9">
        <v>2.79</v>
      </c>
      <c r="C9">
        <v>75</v>
      </c>
      <c r="E9">
        <f>Optimization!B3</f>
        <v>180</v>
      </c>
      <c r="F9">
        <f>C9</f>
        <v>75</v>
      </c>
      <c r="G9" s="15">
        <f>Optimization!F3</f>
        <v>163.19496144153473</v>
      </c>
      <c r="H9" s="15">
        <f>Optimization!K3</f>
        <v>175.96945611112133</v>
      </c>
      <c r="J9" t="s">
        <v>44</v>
      </c>
      <c r="K9" s="16">
        <f>E9/E$22</f>
        <v>0.42253521126760563</v>
      </c>
      <c r="L9" s="16">
        <f>S9</f>
        <v>0.66225165562913912</v>
      </c>
      <c r="M9" s="16">
        <f t="shared" ref="L9:N20" si="1">G9/G$22</f>
        <v>0.38308682252777593</v>
      </c>
      <c r="N9" s="16">
        <f t="shared" si="1"/>
        <v>0.41418160712991003</v>
      </c>
      <c r="P9" t="str">
        <f>J9</f>
        <v>Jan</v>
      </c>
      <c r="Q9">
        <v>3.4</v>
      </c>
      <c r="R9">
        <v>90</v>
      </c>
      <c r="S9" s="16">
        <f>C9/$R$22</f>
        <v>0.66225165562913912</v>
      </c>
      <c r="T9" s="16">
        <f>L9</f>
        <v>0.66225165562913912</v>
      </c>
    </row>
    <row r="10" spans="1:20" x14ac:dyDescent="0.35">
      <c r="A10" t="s">
        <v>71</v>
      </c>
      <c r="B10">
        <v>3.65</v>
      </c>
      <c r="C10">
        <v>87</v>
      </c>
      <c r="E10">
        <f>Optimization!B4</f>
        <v>303</v>
      </c>
      <c r="F10">
        <f t="shared" ref="F10:F20" si="2">C10</f>
        <v>87</v>
      </c>
      <c r="G10" s="15">
        <f>Optimization!F4</f>
        <v>278.09403873939505</v>
      </c>
      <c r="H10" s="15">
        <f>Optimization!K4</f>
        <v>296.03869422889102</v>
      </c>
      <c r="J10" t="s">
        <v>45</v>
      </c>
      <c r="K10" s="16">
        <f t="shared" ref="K10:K20" si="3">E10/E$22</f>
        <v>0.71126760563380287</v>
      </c>
      <c r="L10" s="16">
        <f t="shared" ref="L10:L20" si="4">S10</f>
        <v>0.76821192052980136</v>
      </c>
      <c r="M10" s="16">
        <f t="shared" si="1"/>
        <v>0.65280300766367327</v>
      </c>
      <c r="N10" s="16">
        <f t="shared" si="1"/>
        <v>0.6967901410738796</v>
      </c>
      <c r="P10" t="str">
        <f t="shared" ref="P10:P20" si="5">J10</f>
        <v>Feb</v>
      </c>
      <c r="Q10">
        <v>4.1500000000000004</v>
      </c>
      <c r="R10">
        <v>98</v>
      </c>
      <c r="S10" s="16">
        <f>C10/$R$22</f>
        <v>0.76821192052980136</v>
      </c>
      <c r="T10" s="16">
        <f t="shared" ref="T10:T20" si="6">L10</f>
        <v>0.76821192052980136</v>
      </c>
    </row>
    <row r="11" spans="1:20" x14ac:dyDescent="0.35">
      <c r="A11" t="s">
        <v>72</v>
      </c>
      <c r="B11">
        <v>4.3899999999999997</v>
      </c>
      <c r="C11">
        <v>112</v>
      </c>
      <c r="E11">
        <f>Optimization!B5</f>
        <v>427</v>
      </c>
      <c r="F11">
        <f t="shared" si="2"/>
        <v>112</v>
      </c>
      <c r="G11" s="15">
        <f>Optimization!F5</f>
        <v>388.92064354059448</v>
      </c>
      <c r="H11" s="15">
        <f>Optimization!K5</f>
        <v>384.7658958153001</v>
      </c>
      <c r="J11" t="s">
        <v>46</v>
      </c>
      <c r="K11" s="16">
        <f t="shared" si="3"/>
        <v>1.0023474178403755</v>
      </c>
      <c r="L11" s="16">
        <f t="shared" si="4"/>
        <v>0.98896247240618107</v>
      </c>
      <c r="M11" s="16">
        <f t="shared" si="1"/>
        <v>0.91295939674461413</v>
      </c>
      <c r="N11" s="16">
        <f t="shared" si="1"/>
        <v>0.90562851428560354</v>
      </c>
      <c r="P11" t="str">
        <f t="shared" si="5"/>
        <v>Mar</v>
      </c>
      <c r="Q11">
        <v>4.53</v>
      </c>
      <c r="R11">
        <v>116</v>
      </c>
      <c r="S11" s="16">
        <f>C11/$R$22</f>
        <v>0.98896247240618107</v>
      </c>
      <c r="T11" s="16">
        <f t="shared" si="6"/>
        <v>0.98896247240618107</v>
      </c>
    </row>
    <row r="12" spans="1:20" x14ac:dyDescent="0.35">
      <c r="A12" t="s">
        <v>73</v>
      </c>
      <c r="B12">
        <v>5.22</v>
      </c>
      <c r="C12">
        <v>126</v>
      </c>
      <c r="E12">
        <f>Optimization!B6</f>
        <v>399</v>
      </c>
      <c r="F12">
        <f t="shared" si="2"/>
        <v>126</v>
      </c>
      <c r="G12" s="15">
        <f>Optimization!F6</f>
        <v>485.01647267849614</v>
      </c>
      <c r="H12" s="15">
        <f>Optimization!K6</f>
        <v>455.44756782882797</v>
      </c>
      <c r="J12" t="s">
        <v>47</v>
      </c>
      <c r="K12" s="16">
        <f t="shared" si="3"/>
        <v>0.93661971830985913</v>
      </c>
      <c r="L12" s="16">
        <f t="shared" si="4"/>
        <v>1.1125827814569536</v>
      </c>
      <c r="M12" s="16">
        <f t="shared" si="1"/>
        <v>1.1385364949431958</v>
      </c>
      <c r="N12" s="16">
        <f t="shared" si="1"/>
        <v>1.0719928888547079</v>
      </c>
      <c r="P12" t="str">
        <f t="shared" si="5"/>
        <v>Apr</v>
      </c>
      <c r="Q12">
        <v>5.0199999999999996</v>
      </c>
      <c r="R12">
        <v>121</v>
      </c>
      <c r="S12" s="16">
        <f>C12/$R$22</f>
        <v>1.1125827814569536</v>
      </c>
      <c r="T12" s="16">
        <f t="shared" si="6"/>
        <v>1.1125827814569536</v>
      </c>
    </row>
    <row r="13" spans="1:20" x14ac:dyDescent="0.35">
      <c r="A13" t="s">
        <v>48</v>
      </c>
      <c r="B13">
        <v>5.8</v>
      </c>
      <c r="C13">
        <v>139</v>
      </c>
      <c r="E13">
        <f>Optimization!B7</f>
        <v>502</v>
      </c>
      <c r="F13">
        <f t="shared" si="2"/>
        <v>139</v>
      </c>
      <c r="G13" s="15">
        <f>Optimization!F7</f>
        <v>557.13989611455202</v>
      </c>
      <c r="H13" s="15">
        <f>Optimization!K7</f>
        <v>520.3875234332445</v>
      </c>
      <c r="J13" t="s">
        <v>48</v>
      </c>
      <c r="K13" s="16">
        <f t="shared" si="3"/>
        <v>1.1784037558685445</v>
      </c>
      <c r="L13" s="16">
        <f t="shared" si="4"/>
        <v>1.2273730684326711</v>
      </c>
      <c r="M13" s="16">
        <f t="shared" si="1"/>
        <v>1.3078403317154013</v>
      </c>
      <c r="N13" s="16">
        <f t="shared" si="1"/>
        <v>1.2248429105209528</v>
      </c>
      <c r="P13" t="str">
        <f t="shared" si="5"/>
        <v>May</v>
      </c>
      <c r="Q13">
        <v>5.24</v>
      </c>
      <c r="R13">
        <v>126</v>
      </c>
      <c r="S13" s="16">
        <f>C13/$R$22</f>
        <v>1.2273730684326711</v>
      </c>
      <c r="T13" s="16">
        <f t="shared" si="6"/>
        <v>1.2273730684326711</v>
      </c>
    </row>
    <row r="14" spans="1:20" x14ac:dyDescent="0.35">
      <c r="A14" t="s">
        <v>74</v>
      </c>
      <c r="B14">
        <v>6.26</v>
      </c>
      <c r="C14">
        <v>142</v>
      </c>
      <c r="E14">
        <f>Optimization!B8</f>
        <v>657</v>
      </c>
      <c r="F14">
        <f t="shared" si="2"/>
        <v>142</v>
      </c>
      <c r="G14" s="15">
        <f>Optimization!F8</f>
        <v>598.35473355364127</v>
      </c>
      <c r="H14" s="15">
        <f>Optimization!K8</f>
        <v>579.13800606527059</v>
      </c>
      <c r="J14" t="s">
        <v>49</v>
      </c>
      <c r="K14" s="16">
        <f t="shared" si="3"/>
        <v>1.5422535211267605</v>
      </c>
      <c r="L14" s="16">
        <f t="shared" si="4"/>
        <v>1.2538631346578366</v>
      </c>
      <c r="M14" s="16">
        <f t="shared" si="1"/>
        <v>1.4045887912025892</v>
      </c>
      <c r="N14" s="16">
        <f t="shared" si="1"/>
        <v>1.3631246888133424</v>
      </c>
      <c r="P14" t="str">
        <f t="shared" si="5"/>
        <v>Jun</v>
      </c>
      <c r="Q14">
        <v>5.48</v>
      </c>
      <c r="R14">
        <v>124</v>
      </c>
      <c r="S14" s="16">
        <f>C14/$R$22</f>
        <v>1.2538631346578366</v>
      </c>
      <c r="T14" s="16">
        <f t="shared" si="6"/>
        <v>1.2538631346578366</v>
      </c>
    </row>
    <row r="15" spans="1:20" x14ac:dyDescent="0.35">
      <c r="A15" t="s">
        <v>75</v>
      </c>
      <c r="B15">
        <v>6.86</v>
      </c>
      <c r="C15">
        <v>158</v>
      </c>
      <c r="E15">
        <f>Optimization!B9</f>
        <v>596</v>
      </c>
      <c r="F15">
        <f t="shared" si="2"/>
        <v>158</v>
      </c>
      <c r="G15" s="15">
        <f>Optimization!F9</f>
        <v>604.69731369880924</v>
      </c>
      <c r="H15" s="15">
        <f>Optimization!K9</f>
        <v>616.40655041922741</v>
      </c>
      <c r="J15" t="s">
        <v>50</v>
      </c>
      <c r="K15" s="16">
        <f t="shared" si="3"/>
        <v>1.3990610328638498</v>
      </c>
      <c r="L15" s="16">
        <f t="shared" si="4"/>
        <v>1.3951434878587197</v>
      </c>
      <c r="M15" s="16">
        <f t="shared" si="1"/>
        <v>1.4194774792661029</v>
      </c>
      <c r="N15" s="16">
        <f t="shared" si="1"/>
        <v>1.4508441484118686</v>
      </c>
      <c r="P15" t="str">
        <f t="shared" si="5"/>
        <v>Jul</v>
      </c>
      <c r="Q15">
        <v>6.14</v>
      </c>
      <c r="R15">
        <v>141</v>
      </c>
      <c r="S15" s="16">
        <f>C15/$R$22</f>
        <v>1.3951434878587197</v>
      </c>
      <c r="T15" s="16">
        <f t="shared" si="6"/>
        <v>1.3951434878587197</v>
      </c>
    </row>
    <row r="16" spans="1:20" x14ac:dyDescent="0.35">
      <c r="A16" t="s">
        <v>76</v>
      </c>
      <c r="B16">
        <v>6.27</v>
      </c>
      <c r="C16">
        <v>144</v>
      </c>
      <c r="E16">
        <f>Optimization!B10</f>
        <v>555</v>
      </c>
      <c r="F16">
        <f t="shared" si="2"/>
        <v>144</v>
      </c>
      <c r="G16" s="15">
        <f>Optimization!F10</f>
        <v>575.55766440332127</v>
      </c>
      <c r="H16" s="15">
        <f>Optimization!K10</f>
        <v>611.19671297982586</v>
      </c>
      <c r="J16" t="s">
        <v>51</v>
      </c>
      <c r="K16" s="16">
        <f t="shared" si="3"/>
        <v>1.3028169014084507</v>
      </c>
      <c r="L16" s="16">
        <f t="shared" si="4"/>
        <v>1.2715231788079471</v>
      </c>
      <c r="M16" s="16">
        <f t="shared" si="1"/>
        <v>1.3510745361876095</v>
      </c>
      <c r="N16" s="16">
        <f t="shared" si="1"/>
        <v>1.4385816859867175</v>
      </c>
      <c r="P16" t="str">
        <f t="shared" si="5"/>
        <v>Aug</v>
      </c>
      <c r="Q16">
        <v>5.92</v>
      </c>
      <c r="R16">
        <v>136</v>
      </c>
      <c r="S16" s="16">
        <f>C16/$R$22</f>
        <v>1.2715231788079471</v>
      </c>
      <c r="T16" s="16">
        <f t="shared" si="6"/>
        <v>1.2715231788079471</v>
      </c>
    </row>
    <row r="17" spans="1:20" x14ac:dyDescent="0.35">
      <c r="A17" t="s">
        <v>77</v>
      </c>
      <c r="B17">
        <v>5.45</v>
      </c>
      <c r="C17">
        <v>126</v>
      </c>
      <c r="E17">
        <f>Optimization!B11</f>
        <v>587</v>
      </c>
      <c r="F17">
        <f t="shared" si="2"/>
        <v>126</v>
      </c>
      <c r="G17" s="15">
        <f>Optimization!F11</f>
        <v>513.73817428963787</v>
      </c>
      <c r="H17" s="15">
        <f>Optimization!K11</f>
        <v>550.97871678970284</v>
      </c>
      <c r="J17" t="s">
        <v>52</v>
      </c>
      <c r="K17" s="16">
        <f t="shared" si="3"/>
        <v>1.3779342723004695</v>
      </c>
      <c r="L17" s="16">
        <f t="shared" si="4"/>
        <v>1.1125827814569536</v>
      </c>
      <c r="M17" s="16">
        <f t="shared" si="1"/>
        <v>1.2059583400210845</v>
      </c>
      <c r="N17" s="16">
        <f t="shared" si="1"/>
        <v>1.296845801865907</v>
      </c>
      <c r="P17" t="str">
        <f t="shared" si="5"/>
        <v>Sep</v>
      </c>
      <c r="Q17">
        <v>5.56</v>
      </c>
      <c r="R17">
        <v>129</v>
      </c>
      <c r="S17" s="16">
        <f>C17/$R$22</f>
        <v>1.1125827814569536</v>
      </c>
      <c r="T17" s="16">
        <f t="shared" si="6"/>
        <v>1.1125827814569536</v>
      </c>
    </row>
    <row r="18" spans="1:20" x14ac:dyDescent="0.35">
      <c r="A18" t="s">
        <v>78</v>
      </c>
      <c r="B18">
        <v>4.21</v>
      </c>
      <c r="C18">
        <v>104</v>
      </c>
      <c r="E18">
        <f>Optimization!B12</f>
        <v>437</v>
      </c>
      <c r="F18">
        <f t="shared" si="2"/>
        <v>104</v>
      </c>
      <c r="G18" s="15">
        <f>Optimization!F12</f>
        <v>425.18408428993791</v>
      </c>
      <c r="H18" s="15">
        <f>Optimization!K12</f>
        <v>441.17093631027751</v>
      </c>
      <c r="J18" t="s">
        <v>53</v>
      </c>
      <c r="K18" s="16">
        <f t="shared" si="3"/>
        <v>1.0258215962441315</v>
      </c>
      <c r="L18" s="16">
        <f t="shared" si="4"/>
        <v>0.91832229580573954</v>
      </c>
      <c r="M18" s="16">
        <f t="shared" si="1"/>
        <v>0.9980848575301613</v>
      </c>
      <c r="N18" s="16">
        <f t="shared" si="1"/>
        <v>1.0383897947869467</v>
      </c>
      <c r="P18" t="str">
        <f t="shared" si="5"/>
        <v>Oct</v>
      </c>
      <c r="Q18">
        <v>4.67</v>
      </c>
      <c r="R18">
        <v>116</v>
      </c>
      <c r="S18" s="16">
        <f>C18/$R$22</f>
        <v>0.91832229580573954</v>
      </c>
      <c r="T18" s="16">
        <f t="shared" si="6"/>
        <v>0.91832229580573954</v>
      </c>
    </row>
    <row r="19" spans="1:20" x14ac:dyDescent="0.35">
      <c r="A19" t="s">
        <v>79</v>
      </c>
      <c r="B19">
        <v>3.2</v>
      </c>
      <c r="C19">
        <v>80</v>
      </c>
      <c r="E19">
        <f>Optimization!B13</f>
        <v>302</v>
      </c>
      <c r="F19">
        <f t="shared" si="2"/>
        <v>80</v>
      </c>
      <c r="G19" s="15">
        <f>Optimization!F13</f>
        <v>318.41172800079346</v>
      </c>
      <c r="H19" s="15">
        <f>Optimization!K13</f>
        <v>303.37253827233263</v>
      </c>
      <c r="J19" t="s">
        <v>54</v>
      </c>
      <c r="K19" s="16">
        <f t="shared" si="3"/>
        <v>0.70892018779342725</v>
      </c>
      <c r="L19" s="16">
        <f t="shared" si="4"/>
        <v>0.70640176600441507</v>
      </c>
      <c r="M19" s="16">
        <f t="shared" si="1"/>
        <v>0.7474454851910487</v>
      </c>
      <c r="N19" s="16">
        <f t="shared" si="1"/>
        <v>0.71405190558393539</v>
      </c>
      <c r="P19" t="str">
        <f t="shared" si="5"/>
        <v>Nov</v>
      </c>
      <c r="Q19">
        <v>3.81</v>
      </c>
      <c r="R19">
        <v>96</v>
      </c>
      <c r="S19" s="16">
        <f>C19/$R$22</f>
        <v>0.70640176600441507</v>
      </c>
      <c r="T19" s="16">
        <f t="shared" si="6"/>
        <v>0.70640176600441507</v>
      </c>
    </row>
    <row r="20" spans="1:20" x14ac:dyDescent="0.35">
      <c r="A20" t="s">
        <v>80</v>
      </c>
      <c r="B20">
        <v>2.4700000000000002</v>
      </c>
      <c r="C20">
        <v>66</v>
      </c>
      <c r="E20">
        <f>Optimization!B14</f>
        <v>167</v>
      </c>
      <c r="F20">
        <f t="shared" si="2"/>
        <v>66</v>
      </c>
      <c r="G20" s="15">
        <f>Optimization!F14</f>
        <v>203.68950753726699</v>
      </c>
      <c r="H20" s="15">
        <f>Optimization!K14</f>
        <v>163.45489138540211</v>
      </c>
      <c r="J20" t="s">
        <v>55</v>
      </c>
      <c r="K20" s="16">
        <f t="shared" si="3"/>
        <v>0.392018779342723</v>
      </c>
      <c r="L20" s="16">
        <f t="shared" si="4"/>
        <v>0.58278145695364236</v>
      </c>
      <c r="M20" s="16">
        <f t="shared" si="1"/>
        <v>0.47814445700674352</v>
      </c>
      <c r="N20" s="16">
        <f t="shared" si="1"/>
        <v>0.38472591268623046</v>
      </c>
      <c r="P20" t="str">
        <f t="shared" si="5"/>
        <v>Dec</v>
      </c>
      <c r="Q20">
        <v>3.04</v>
      </c>
      <c r="R20">
        <v>81</v>
      </c>
      <c r="S20" s="16">
        <f>C20/$R$22</f>
        <v>0.58278145695364236</v>
      </c>
      <c r="T20" s="16">
        <f t="shared" si="6"/>
        <v>0.58278145695364236</v>
      </c>
    </row>
    <row r="21" spans="1:20" x14ac:dyDescent="0.35">
      <c r="A21" t="s">
        <v>81</v>
      </c>
      <c r="B21">
        <v>4.71</v>
      </c>
      <c r="C21" s="14">
        <v>1359</v>
      </c>
      <c r="E21">
        <f>SUM(E9:E20)</f>
        <v>5112</v>
      </c>
      <c r="F21">
        <f>C21</f>
        <v>1359</v>
      </c>
      <c r="G21" s="15">
        <f>SUM(G9:G20)</f>
        <v>5111.9992182879805</v>
      </c>
      <c r="H21" s="15">
        <f>SUM(H9:H20)</f>
        <v>5098.3274896394232</v>
      </c>
      <c r="P21" t="s">
        <v>90</v>
      </c>
      <c r="Q21">
        <v>4.75</v>
      </c>
      <c r="R21" s="14">
        <v>1374</v>
      </c>
    </row>
    <row r="22" spans="1:20" x14ac:dyDescent="0.35">
      <c r="D22" t="s">
        <v>84</v>
      </c>
      <c r="E22" s="6">
        <f>E21/12</f>
        <v>426</v>
      </c>
      <c r="F22" s="6">
        <f t="shared" ref="F22:H22" si="7">F21/12</f>
        <v>113.25</v>
      </c>
      <c r="G22" s="6">
        <f t="shared" si="7"/>
        <v>425.99993485733171</v>
      </c>
      <c r="H22" s="6">
        <f t="shared" si="7"/>
        <v>424.86062413661858</v>
      </c>
      <c r="R22" s="15">
        <f>C21/12</f>
        <v>113.25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Savings estimate</vt:lpstr>
      <vt:lpstr>Optimization</vt:lpstr>
      <vt:lpstr>PVWatts-Compare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Marie Peterson</dc:creator>
  <cp:lastModifiedBy>Francis M. Vanek</cp:lastModifiedBy>
  <dcterms:created xsi:type="dcterms:W3CDTF">2024-12-27T00:38:18Z</dcterms:created>
  <dcterms:modified xsi:type="dcterms:W3CDTF">2025-08-22T19:29:35Z</dcterms:modified>
</cp:coreProperties>
</file>