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amily\Desktop\David\UPC\7mo Ciclo\Finanzas E Ingenieria Economica\EXAMEN FINAL\"/>
    </mc:Choice>
  </mc:AlternateContent>
  <bookViews>
    <workbookView xWindow="0" yWindow="0" windowWidth="23016" windowHeight="9324" firstSheet="3" activeTab="7"/>
  </bookViews>
  <sheets>
    <sheet name="FONDO ACUMULADO" sheetId="1" r:id="rId1"/>
    <sheet name="FONDO ACUMULADO (Por decisión)" sheetId="6" r:id="rId2"/>
    <sheet name="FONDOS PASADOS" sheetId="5" r:id="rId3"/>
    <sheet name="TREA" sheetId="3" r:id="rId4"/>
    <sheet name="VAN 1" sheetId="4" r:id="rId5"/>
    <sheet name="VAN  2" sheetId="8" r:id="rId6"/>
    <sheet name="VAC Y CAUE " sheetId="9" r:id="rId7"/>
    <sheet name="OTROS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J23" i="4"/>
  <c r="J20" i="4"/>
  <c r="J17" i="4"/>
  <c r="G14" i="9" l="1"/>
  <c r="C15" i="9"/>
  <c r="I46" i="9"/>
  <c r="C34" i="9"/>
  <c r="G32" i="9"/>
  <c r="J16" i="9"/>
  <c r="C14" i="9"/>
  <c r="G10" i="9"/>
  <c r="J26" i="9" s="1"/>
  <c r="J32" i="9"/>
  <c r="G30" i="9" s="1"/>
  <c r="G22" i="9"/>
  <c r="J18" i="9"/>
  <c r="G16" i="9" s="1"/>
  <c r="G25" i="9"/>
  <c r="C16" i="9"/>
  <c r="K6" i="4"/>
  <c r="K12" i="8"/>
  <c r="K11" i="8"/>
  <c r="J17" i="8" s="1"/>
  <c r="K10" i="8"/>
  <c r="K9" i="8"/>
  <c r="K8" i="8"/>
  <c r="K7" i="8"/>
  <c r="K6" i="8"/>
  <c r="D6" i="8"/>
  <c r="D7" i="8" s="1"/>
  <c r="K7" i="4"/>
  <c r="K12" i="4"/>
  <c r="K11" i="4"/>
  <c r="K10" i="4"/>
  <c r="K9" i="4"/>
  <c r="K8" i="4"/>
  <c r="C23" i="9" l="1"/>
  <c r="C33" i="9"/>
  <c r="B40" i="9"/>
  <c r="B46" i="9" s="1"/>
  <c r="J31" i="9"/>
  <c r="J17" i="9"/>
  <c r="I40" i="9" s="1"/>
  <c r="E6" i="8"/>
  <c r="G6" i="8" s="1"/>
  <c r="E7" i="8"/>
  <c r="D8" i="8"/>
  <c r="D6" i="4"/>
  <c r="E6" i="4" s="1"/>
  <c r="G6" i="4" s="1"/>
  <c r="E24" i="6"/>
  <c r="E26" i="6" s="1"/>
  <c r="H7" i="6"/>
  <c r="H41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2" i="6"/>
  <c r="H43" i="6"/>
  <c r="H44" i="6"/>
  <c r="H45" i="6"/>
  <c r="H46" i="6"/>
  <c r="H47" i="6"/>
  <c r="H48" i="6"/>
  <c r="H49" i="6"/>
  <c r="H50" i="6"/>
  <c r="H51" i="6"/>
  <c r="H52" i="6"/>
  <c r="H53" i="6"/>
  <c r="E10" i="6"/>
  <c r="I10" i="5"/>
  <c r="J10" i="5"/>
  <c r="I11" i="5" s="1"/>
  <c r="J11" i="5" s="1"/>
  <c r="I12" i="5" s="1"/>
  <c r="J12" i="5" s="1"/>
  <c r="I7" i="6"/>
  <c r="J7" i="6" s="1"/>
  <c r="K7" i="6" s="1"/>
  <c r="L7" i="6" s="1"/>
  <c r="M7" i="6" s="1"/>
  <c r="N7" i="6" s="1"/>
  <c r="O7" i="6" s="1"/>
  <c r="P7" i="6" s="1"/>
  <c r="Q7" i="6" s="1"/>
  <c r="R7" i="6" s="1"/>
  <c r="E4" i="1"/>
  <c r="C5" i="3"/>
  <c r="C14" i="3"/>
  <c r="G7" i="8" l="1"/>
  <c r="D9" i="8"/>
  <c r="E8" i="8"/>
  <c r="D7" i="4"/>
  <c r="E7" i="4" s="1"/>
  <c r="G7" i="4" s="1"/>
  <c r="S7" i="6"/>
  <c r="T7" i="6" s="1"/>
  <c r="G8" i="8" l="1"/>
  <c r="E9" i="8"/>
  <c r="D10" i="8"/>
  <c r="D8" i="4"/>
  <c r="E8" i="4" s="1"/>
  <c r="U7" i="6"/>
  <c r="V7" i="6" s="1"/>
  <c r="U8" i="6" s="1"/>
  <c r="V8" i="6" s="1"/>
  <c r="U9" i="6" s="1"/>
  <c r="V9" i="6" s="1"/>
  <c r="U10" i="6" s="1"/>
  <c r="V10" i="6" s="1"/>
  <c r="U11" i="6" s="1"/>
  <c r="V11" i="6" s="1"/>
  <c r="U12" i="6" s="1"/>
  <c r="V12" i="6" s="1"/>
  <c r="U13" i="6" s="1"/>
  <c r="V13" i="6" s="1"/>
  <c r="U14" i="6" s="1"/>
  <c r="V14" i="6" s="1"/>
  <c r="U15" i="6" s="1"/>
  <c r="V15" i="6" s="1"/>
  <c r="U16" i="6" s="1"/>
  <c r="V16" i="6" s="1"/>
  <c r="U17" i="6" s="1"/>
  <c r="V17" i="6" s="1"/>
  <c r="U18" i="6" s="1"/>
  <c r="V18" i="6" s="1"/>
  <c r="U19" i="6" s="1"/>
  <c r="V19" i="6" s="1"/>
  <c r="U20" i="6" s="1"/>
  <c r="V20" i="6" s="1"/>
  <c r="U21" i="6" s="1"/>
  <c r="V21" i="6" s="1"/>
  <c r="U22" i="6" s="1"/>
  <c r="V22" i="6" s="1"/>
  <c r="U23" i="6" s="1"/>
  <c r="V23" i="6" s="1"/>
  <c r="U24" i="6" s="1"/>
  <c r="V24" i="6" s="1"/>
  <c r="U25" i="6" s="1"/>
  <c r="V25" i="6" s="1"/>
  <c r="U26" i="6" s="1"/>
  <c r="V26" i="6" s="1"/>
  <c r="U27" i="6" s="1"/>
  <c r="V27" i="6" s="1"/>
  <c r="U28" i="6" s="1"/>
  <c r="V28" i="6" s="1"/>
  <c r="U29" i="6" s="1"/>
  <c r="V29" i="6" s="1"/>
  <c r="U30" i="6" s="1"/>
  <c r="V30" i="6" s="1"/>
  <c r="U31" i="6" s="1"/>
  <c r="V31" i="6" s="1"/>
  <c r="U32" i="6" s="1"/>
  <c r="V32" i="6" s="1"/>
  <c r="U33" i="6" s="1"/>
  <c r="V33" i="6" s="1"/>
  <c r="U34" i="6" s="1"/>
  <c r="V34" i="6" s="1"/>
  <c r="U35" i="6" s="1"/>
  <c r="V35" i="6" s="1"/>
  <c r="U36" i="6" s="1"/>
  <c r="V36" i="6" s="1"/>
  <c r="U37" i="6" s="1"/>
  <c r="V37" i="6" s="1"/>
  <c r="U38" i="6" s="1"/>
  <c r="V38" i="6" s="1"/>
  <c r="U39" i="6" s="1"/>
  <c r="V39" i="6" s="1"/>
  <c r="U40" i="6" s="1"/>
  <c r="V40" i="6" s="1"/>
  <c r="U41" i="6" s="1"/>
  <c r="V41" i="6" s="1"/>
  <c r="U42" i="6" s="1"/>
  <c r="V42" i="6" s="1"/>
  <c r="U43" i="6" s="1"/>
  <c r="V43" i="6" s="1"/>
  <c r="U44" i="6" s="1"/>
  <c r="V44" i="6" s="1"/>
  <c r="U45" i="6" s="1"/>
  <c r="V45" i="6" s="1"/>
  <c r="U46" i="6" s="1"/>
  <c r="V46" i="6" s="1"/>
  <c r="U47" i="6" s="1"/>
  <c r="V47" i="6" s="1"/>
  <c r="U48" i="6" s="1"/>
  <c r="V48" i="6" s="1"/>
  <c r="U49" i="6" s="1"/>
  <c r="V49" i="6" s="1"/>
  <c r="U50" i="6" s="1"/>
  <c r="V50" i="6" s="1"/>
  <c r="U51" i="6" s="1"/>
  <c r="V51" i="6" s="1"/>
  <c r="U52" i="6" s="1"/>
  <c r="V52" i="6" s="1"/>
  <c r="U53" i="6" s="1"/>
  <c r="V53" i="6" s="1"/>
  <c r="T54" i="6"/>
  <c r="G9" i="8" l="1"/>
  <c r="J12" i="8" s="1"/>
  <c r="J23" i="8" s="1"/>
  <c r="D11" i="8"/>
  <c r="E10" i="8"/>
  <c r="G8" i="4"/>
  <c r="D9" i="4"/>
  <c r="D10" i="4" s="1"/>
  <c r="G10" i="8" l="1"/>
  <c r="E11" i="8"/>
  <c r="D12" i="8"/>
  <c r="E9" i="4"/>
  <c r="G9" i="4" s="1"/>
  <c r="D11" i="4"/>
  <c r="E10" i="4"/>
  <c r="G11" i="8" l="1"/>
  <c r="D13" i="8"/>
  <c r="E12" i="8"/>
  <c r="G10" i="4"/>
  <c r="D12" i="4"/>
  <c r="E12" i="4" s="1"/>
  <c r="E11" i="4"/>
  <c r="G12" i="8" l="1"/>
  <c r="J20" i="8"/>
  <c r="E13" i="8"/>
  <c r="D14" i="8"/>
  <c r="G11" i="4"/>
  <c r="D13" i="4"/>
  <c r="F4" i="1"/>
  <c r="G13" i="8" l="1"/>
  <c r="D15" i="8"/>
  <c r="E14" i="8"/>
  <c r="G12" i="4"/>
  <c r="D14" i="4"/>
  <c r="D15" i="4" s="1"/>
  <c r="E13" i="4"/>
  <c r="G14" i="8" l="1"/>
  <c r="G15" i="8" s="1"/>
  <c r="D16" i="8"/>
  <c r="E15" i="8"/>
  <c r="G13" i="4"/>
  <c r="E14" i="4"/>
  <c r="D16" i="4"/>
  <c r="E15" i="4"/>
  <c r="G16" i="8" l="1"/>
  <c r="E16" i="8"/>
  <c r="D17" i="8"/>
  <c r="G14" i="4"/>
  <c r="G15" i="4" s="1"/>
  <c r="E16" i="4"/>
  <c r="D17" i="4"/>
  <c r="D18" i="8" l="1"/>
  <c r="E17" i="8"/>
  <c r="G17" i="8" s="1"/>
  <c r="G16" i="4"/>
  <c r="D18" i="4"/>
  <c r="E17" i="4"/>
  <c r="E18" i="8" l="1"/>
  <c r="G18" i="8" s="1"/>
  <c r="D19" i="8"/>
  <c r="G17" i="4"/>
  <c r="E18" i="4"/>
  <c r="D19" i="4"/>
  <c r="E19" i="8" l="1"/>
  <c r="G19" i="8" s="1"/>
  <c r="D20" i="8"/>
  <c r="G18" i="4"/>
  <c r="D20" i="4"/>
  <c r="E19" i="4"/>
  <c r="D21" i="8" l="1"/>
  <c r="E20" i="8"/>
  <c r="G20" i="8" s="1"/>
  <c r="G19" i="4"/>
  <c r="D21" i="4"/>
  <c r="E20" i="4"/>
  <c r="D22" i="8" l="1"/>
  <c r="E21" i="8"/>
  <c r="G21" i="8" s="1"/>
  <c r="G20" i="4"/>
  <c r="D22" i="4"/>
  <c r="E21" i="4"/>
  <c r="D23" i="8" l="1"/>
  <c r="E22" i="8"/>
  <c r="G22" i="8" s="1"/>
  <c r="G21" i="4"/>
  <c r="D23" i="4"/>
  <c r="E22" i="4"/>
  <c r="E23" i="8" l="1"/>
  <c r="G23" i="8" s="1"/>
  <c r="D24" i="8"/>
  <c r="G22" i="4"/>
  <c r="D24" i="4"/>
  <c r="E23" i="4"/>
  <c r="D25" i="8" l="1"/>
  <c r="E24" i="8"/>
  <c r="G24" i="8" s="1"/>
  <c r="G23" i="4"/>
  <c r="D25" i="4"/>
  <c r="E24" i="4"/>
  <c r="D26" i="8" l="1"/>
  <c r="E25" i="8"/>
  <c r="G25" i="8" s="1"/>
  <c r="G24" i="4"/>
  <c r="D26" i="4"/>
  <c r="E25" i="4"/>
  <c r="D27" i="8" l="1"/>
  <c r="E26" i="8"/>
  <c r="G26" i="8" s="1"/>
  <c r="G25" i="4"/>
  <c r="D27" i="4"/>
  <c r="E26" i="4"/>
  <c r="D28" i="8" l="1"/>
  <c r="E28" i="8" s="1"/>
  <c r="E27" i="8"/>
  <c r="G27" i="8" s="1"/>
  <c r="G26" i="4"/>
  <c r="E27" i="4"/>
  <c r="D28" i="4"/>
  <c r="E28" i="4" s="1"/>
  <c r="G28" i="8" l="1"/>
  <c r="G27" i="4"/>
  <c r="G28" i="4" s="1"/>
  <c r="C10" i="1" l="1"/>
  <c r="G4" i="1"/>
  <c r="H4" i="1" s="1"/>
  <c r="I4" i="1" s="1"/>
  <c r="C7" i="1"/>
  <c r="E12" i="1" l="1"/>
  <c r="E20" i="1"/>
  <c r="E28" i="1"/>
  <c r="E36" i="1"/>
  <c r="E44" i="1"/>
  <c r="E46" i="1"/>
  <c r="E39" i="1"/>
  <c r="E49" i="1"/>
  <c r="E50" i="1"/>
  <c r="E43" i="1"/>
  <c r="E5" i="1"/>
  <c r="E13" i="1"/>
  <c r="E21" i="1"/>
  <c r="E29" i="1"/>
  <c r="E37" i="1"/>
  <c r="E45" i="1"/>
  <c r="E30" i="1"/>
  <c r="E31" i="1"/>
  <c r="E33" i="1"/>
  <c r="E26" i="1"/>
  <c r="E11" i="1"/>
  <c r="E6" i="1"/>
  <c r="E14" i="1"/>
  <c r="E22" i="1"/>
  <c r="E38" i="1"/>
  <c r="E47" i="1"/>
  <c r="E10" i="1"/>
  <c r="E42" i="1"/>
  <c r="E35" i="1"/>
  <c r="E7" i="1"/>
  <c r="E15" i="1"/>
  <c r="E23" i="1"/>
  <c r="E18" i="1"/>
  <c r="E19" i="1"/>
  <c r="E8" i="1"/>
  <c r="E16" i="1"/>
  <c r="E24" i="1"/>
  <c r="E32" i="1"/>
  <c r="E40" i="1"/>
  <c r="E48" i="1"/>
  <c r="E9" i="1"/>
  <c r="E25" i="1"/>
  <c r="E41" i="1"/>
  <c r="E34" i="1"/>
  <c r="E27" i="1"/>
  <c r="E17" i="1"/>
  <c r="C9" i="2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J4" i="1" l="1"/>
  <c r="K4" i="1" s="1"/>
  <c r="L4" i="1" s="1"/>
  <c r="M4" i="1" s="1"/>
  <c r="N4" i="1" s="1"/>
  <c r="O4" i="1" s="1"/>
  <c r="P4" i="1" s="1"/>
  <c r="Q4" i="1" s="1"/>
  <c r="Q51" i="1" s="1"/>
  <c r="R4" i="1" l="1"/>
  <c r="S4" i="1" s="1"/>
  <c r="R5" i="1" s="1"/>
  <c r="S5" i="1" s="1"/>
  <c r="R6" i="1" s="1"/>
  <c r="S6" i="1" s="1"/>
  <c r="R7" i="1" s="1"/>
  <c r="S7" i="1" s="1"/>
  <c r="R8" i="1" s="1"/>
  <c r="S8" i="1" s="1"/>
  <c r="R9" i="1" s="1"/>
  <c r="S9" i="1" s="1"/>
  <c r="R10" i="1" s="1"/>
  <c r="S10" i="1" s="1"/>
  <c r="R11" i="1" s="1"/>
  <c r="S11" i="1" s="1"/>
  <c r="R12" i="1" s="1"/>
  <c r="S12" i="1" s="1"/>
  <c r="R13" i="1" s="1"/>
  <c r="S13" i="1" s="1"/>
  <c r="R14" i="1" s="1"/>
  <c r="S14" i="1" s="1"/>
  <c r="R15" i="1" s="1"/>
  <c r="S15" i="1" s="1"/>
  <c r="R16" i="1" s="1"/>
  <c r="S16" i="1" s="1"/>
  <c r="R17" i="1" s="1"/>
  <c r="S17" i="1" s="1"/>
  <c r="R18" i="1" s="1"/>
  <c r="S18" i="1" s="1"/>
  <c r="R19" i="1" s="1"/>
  <c r="S19" i="1" s="1"/>
  <c r="R20" i="1" s="1"/>
  <c r="S20" i="1" s="1"/>
  <c r="R21" i="1" s="1"/>
  <c r="S21" i="1" s="1"/>
  <c r="R22" i="1" s="1"/>
  <c r="S22" i="1" s="1"/>
  <c r="R23" i="1" s="1"/>
  <c r="S23" i="1" s="1"/>
  <c r="R24" i="1" s="1"/>
  <c r="S24" i="1" s="1"/>
  <c r="R25" i="1" s="1"/>
  <c r="S25" i="1" s="1"/>
  <c r="R26" i="1" s="1"/>
  <c r="S26" i="1" s="1"/>
  <c r="R27" i="1" s="1"/>
  <c r="S27" i="1" s="1"/>
  <c r="R28" i="1" s="1"/>
  <c r="S28" i="1" s="1"/>
  <c r="R29" i="1" s="1"/>
  <c r="S29" i="1" s="1"/>
  <c r="R30" i="1" s="1"/>
  <c r="S30" i="1" s="1"/>
  <c r="R31" i="1" s="1"/>
  <c r="S31" i="1" s="1"/>
  <c r="R32" i="1" s="1"/>
  <c r="S32" i="1" s="1"/>
  <c r="R33" i="1" s="1"/>
  <c r="S33" i="1" s="1"/>
  <c r="R34" i="1" s="1"/>
  <c r="S34" i="1" s="1"/>
  <c r="R35" i="1" s="1"/>
  <c r="S35" i="1" s="1"/>
  <c r="R36" i="1" s="1"/>
  <c r="S36" i="1" s="1"/>
  <c r="R37" i="1" s="1"/>
  <c r="S37" i="1" s="1"/>
  <c r="R38" i="1" s="1"/>
  <c r="S38" i="1" s="1"/>
  <c r="R39" i="1" s="1"/>
  <c r="S39" i="1" s="1"/>
  <c r="R40" i="1" s="1"/>
  <c r="S40" i="1" s="1"/>
  <c r="R41" i="1" s="1"/>
  <c r="S41" i="1" s="1"/>
  <c r="R42" i="1" l="1"/>
  <c r="S42" i="1" s="1"/>
  <c r="R43" i="1" s="1"/>
  <c r="S43" i="1" s="1"/>
  <c r="R44" i="1" s="1"/>
  <c r="S44" i="1" s="1"/>
  <c r="R45" i="1" s="1"/>
  <c r="S45" i="1" s="1"/>
  <c r="R46" i="1" s="1"/>
  <c r="S46" i="1" s="1"/>
  <c r="R47" i="1" s="1"/>
  <c r="S47" i="1" s="1"/>
  <c r="R48" i="1" s="1"/>
  <c r="S48" i="1" s="1"/>
  <c r="R49" i="1" s="1"/>
  <c r="S49" i="1" s="1"/>
  <c r="R50" i="1" s="1"/>
  <c r="S50" i="1" s="1"/>
</calcChain>
</file>

<file path=xl/comments1.xml><?xml version="1.0" encoding="utf-8"?>
<comments xmlns="http://schemas.openxmlformats.org/spreadsheetml/2006/main">
  <authors>
    <author>Family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 xml:space="preserve">S/C ^ (360/Ndias) -1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Puede ser Fondo pagado</t>
        </r>
      </text>
    </comment>
  </commentList>
</comments>
</file>

<file path=xl/comments2.xml><?xml version="1.0" encoding="utf-8"?>
<comments xmlns="http://schemas.openxmlformats.org/spreadsheetml/2006/main">
  <authors>
    <author>Family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* Puede ser año o mes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* Todos los valores deben ser positivos (+)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* ROJO = NEGATIVO
* VERDE = POSITIVO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* Este es el periodo cero (0)
* Dejarlo en Negativo (-)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* Puede ser por año o mes
* Si por ejemplo tu periodo es 6, aca colocar 6 + 1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* Colocar el porcentaje completo (con todos los decimales)
* Recordar poner el porcentaje según el periodo (mes, año, etc.)</t>
        </r>
      </text>
    </comment>
    <comment ref="I12" authorId="0" shapeId="0">
      <text>
        <r>
          <rPr>
            <b/>
            <sz val="8"/>
            <color indexed="81"/>
            <rFont val="Tahoma"/>
            <family val="2"/>
          </rPr>
          <t>* SI SALE EL VALOR COMO "#!VALOR!", Tienes que modificar el rango de la formula hasta que agarre todos los vans</t>
        </r>
      </text>
    </comment>
    <comment ref="I17" authorId="0" shapeId="0">
      <text>
        <r>
          <rPr>
            <b/>
            <sz val="8"/>
            <color indexed="81"/>
            <rFont val="Tahoma"/>
            <family val="2"/>
          </rPr>
          <t>* Esta formula se basa del cuadro de la derecha, donde se ve un reflejo del todos los flujos de caja
* Igual que el VAN, deberan agarrar bien el rango de la formula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 xml:space="preserve">* SIN NECESIDAD DE MODIFICAR
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 xml:space="preserve">* Formula:
#Periodo + (-flujo de caja de ese periodo / (J12-flujo de caja de ese periodo))
</t>
        </r>
      </text>
    </comment>
  </commentList>
</comments>
</file>

<file path=xl/comments3.xml><?xml version="1.0" encoding="utf-8"?>
<comments xmlns="http://schemas.openxmlformats.org/spreadsheetml/2006/main">
  <authors>
    <author>Family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AÑO CERO </t>
        </r>
      </text>
    </comment>
  </commentList>
</comments>
</file>

<file path=xl/sharedStrings.xml><?xml version="1.0" encoding="utf-8"?>
<sst xmlns="http://schemas.openxmlformats.org/spreadsheetml/2006/main" count="187" uniqueCount="77">
  <si>
    <t>TREA</t>
  </si>
  <si>
    <t>SUELDO MENSUAL</t>
  </si>
  <si>
    <t>CANTIDAD DE SUELDOS</t>
  </si>
  <si>
    <t>SUELDO ANUAL</t>
  </si>
  <si>
    <t>1er AÑO</t>
  </si>
  <si>
    <t>2do AÑO</t>
  </si>
  <si>
    <t>FONDO 2 (RENTABILIDAD)</t>
  </si>
  <si>
    <t>3er AÑO</t>
  </si>
  <si>
    <t>APORTE MENSUAL 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</si>
  <si>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</si>
  <si>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</si>
  <si>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</si>
  <si>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</si>
  <si>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</si>
  <si>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</si>
  <si>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</si>
  <si>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</si>
  <si>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</si>
  <si>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</si>
  <si>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</si>
  <si>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</si>
  <si>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FONDO ACTUAL</t>
  </si>
  <si>
    <t>FONDO FINAL</t>
  </si>
  <si>
    <t>FONDO DE INICIO</t>
  </si>
  <si>
    <t>FONDOS PASADOS</t>
  </si>
  <si>
    <t>DIGITAR</t>
  </si>
  <si>
    <t>*</t>
  </si>
  <si>
    <t>* =</t>
  </si>
  <si>
    <t>OBLIGATORIO</t>
  </si>
  <si>
    <t>FONDOS PASADOS (De hace 10 años)</t>
  </si>
  <si>
    <t>Edad</t>
  </si>
  <si>
    <t>TOTAL PAGADO</t>
  </si>
  <si>
    <t>Edad a Jubilar</t>
  </si>
  <si>
    <t>Años en fondo</t>
  </si>
  <si>
    <t>AÑOS</t>
  </si>
  <si>
    <t>MONTO INICIAL (C)</t>
  </si>
  <si>
    <t>MONTO FINAL (S)</t>
  </si>
  <si>
    <t>Años a trasladar</t>
  </si>
  <si>
    <t>Dias a trasladar</t>
  </si>
  <si>
    <t>http://www.e-financebook.com/aplicaciones/e-Book4/Anexos/Cap%2004%20-%20Tasa%20Efectiva%20-%20Solucionario%2032.pdf</t>
  </si>
  <si>
    <t>TREA: En Perú se le llama TREA (Tasa de Rendimiento Efectiva Anual) a la TEA que rinde una inversión en el plazo de un año</t>
  </si>
  <si>
    <t>Años depositando mensualmente</t>
  </si>
  <si>
    <t>Edad despues de termino del deposito</t>
  </si>
  <si>
    <t xml:space="preserve">Años faltantes para jubilar </t>
  </si>
  <si>
    <t xml:space="preserve">* </t>
  </si>
  <si>
    <t>Días depositanto y recibiendo rentabilidad</t>
  </si>
  <si>
    <t>Días de solo rentabilidad</t>
  </si>
  <si>
    <t>Año</t>
  </si>
  <si>
    <t>Flujos de caja</t>
  </si>
  <si>
    <t>%COK</t>
  </si>
  <si>
    <t>Inversión</t>
  </si>
  <si>
    <t>VAN (POR AÑO)</t>
  </si>
  <si>
    <t>VAN FINAL =</t>
  </si>
  <si>
    <t>http://practifinanzas.com/2012/04/calculadora-calcular-valor-futuro/</t>
  </si>
  <si>
    <t>TIR =</t>
  </si>
  <si>
    <t>Periodos</t>
  </si>
  <si>
    <t xml:space="preserve">B/C = </t>
  </si>
  <si>
    <t xml:space="preserve">PRD = </t>
  </si>
  <si>
    <t>INVERSION</t>
  </si>
  <si>
    <t>Valor</t>
  </si>
  <si>
    <t>Cantidad de ocurrencias</t>
  </si>
  <si>
    <t>TEA</t>
  </si>
  <si>
    <t>Aparece despues de "n" años o meses</t>
  </si>
  <si>
    <t>Tiempo vida util</t>
  </si>
  <si>
    <t>Tiempo de Prueba</t>
  </si>
  <si>
    <t>OJO : Si es un costo, dejarlo como esta. Si es un salvataje o ingreso, colocar el simbolo "-" al frente</t>
  </si>
  <si>
    <t>ITEM 1</t>
  </si>
  <si>
    <t>ITEM 2</t>
  </si>
  <si>
    <t xml:space="preserve">VAC 1 </t>
  </si>
  <si>
    <t>TEA (POR CASO)</t>
  </si>
  <si>
    <t xml:space="preserve">VAC 2 </t>
  </si>
  <si>
    <t>Proceso 1 (PV)</t>
  </si>
  <si>
    <t>Proceso 2 (Costo Operativo Anual)</t>
  </si>
  <si>
    <t xml:space="preserve">Proceso 3 (Salvataje) </t>
  </si>
  <si>
    <t>CAUE 1</t>
  </si>
  <si>
    <t>CAUE 2</t>
  </si>
  <si>
    <t>SOLO CUANDO EL TIEMPO UTIL EN CADA MAQUINA SON IGUALES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</si>
</sst>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S/.&quot;* #,##0.00_-;\-&quot;S/.&quot;* #,##0.00_-;_-&quot;S/.&quot;* &quot;-&quot;??_-;_-@_-"/>
    <numFmt numFmtId="165" formatCode="0.0%"/>
    <numFmt numFmtId="166" formatCode="_-[$S/.-280A]* #,##0.00_-;\-[$S/.-280A]* #,##0.00_-;_-[$S/.-280A]* &quot;-&quot;??_-;_-@_-"/>
    <numFmt numFmtId="167" formatCode="0.0000%"/>
    <numFmt numFmtId="168" formatCode="0.0000000000%"/>
    <numFmt numFmtId="169" formatCode="_-[$S/.-280A]* #,##0.0000_-;\-[$S/.-280A]* #,##0.0000_-;_-[$S/.-280A]* &quot;-&quot;??_-;_-@_-"/>
    <numFmt numFmtId="170" formatCode="_-[$S/.-280A]* #,##0.000000_-;\-[$S/.-280A]* #,##0.000000_-;_-[$S/.-280A]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rgb="FF9C6500"/>
      <name val="Calibri"/>
      <family val="2"/>
      <scheme val="minor"/>
    </font>
    <font>
      <sz val="2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7" borderId="3" applyNumberFormat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8" fillId="0" borderId="0" xfId="0" applyFont="1"/>
    <xf numFmtId="9" fontId="8" fillId="0" borderId="0" xfId="0" applyNumberFormat="1" applyFont="1"/>
    <xf numFmtId="0" fontId="0" fillId="0" borderId="4" xfId="0" applyBorder="1"/>
    <xf numFmtId="0" fontId="4" fillId="4" borderId="4" xfId="4" applyBorder="1"/>
    <xf numFmtId="0" fontId="0" fillId="0" borderId="4" xfId="0" applyBorder="1" applyAlignment="1">
      <alignment horizontal="center"/>
    </xf>
    <xf numFmtId="0" fontId="12" fillId="0" borderId="0" xfId="0" applyFont="1"/>
    <xf numFmtId="0" fontId="11" fillId="0" borderId="7" xfId="0" applyFont="1" applyBorder="1"/>
    <xf numFmtId="0" fontId="12" fillId="0" borderId="8" xfId="0" applyFont="1" applyBorder="1"/>
    <xf numFmtId="0" fontId="7" fillId="7" borderId="9" xfId="7" applyBorder="1"/>
    <xf numFmtId="0" fontId="8" fillId="0" borderId="10" xfId="0" applyFont="1" applyBorder="1"/>
    <xf numFmtId="0" fontId="8" fillId="0" borderId="8" xfId="0" applyFont="1" applyBorder="1"/>
    <xf numFmtId="0" fontId="9" fillId="10" borderId="4" xfId="1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11" fillId="0" borderId="0" xfId="0" applyFont="1" applyBorder="1"/>
    <xf numFmtId="0" fontId="14" fillId="5" borderId="4" xfId="5" applyFont="1" applyBorder="1" applyAlignment="1">
      <alignment horizontal="center" vertical="center"/>
    </xf>
    <xf numFmtId="0" fontId="13" fillId="5" borderId="4" xfId="5" applyFont="1" applyBorder="1" applyAlignment="1">
      <alignment horizontal="center" vertical="center"/>
    </xf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10" fontId="0" fillId="0" borderId="0" xfId="1" applyNumberFormat="1" applyFont="1" applyBorder="1"/>
    <xf numFmtId="0" fontId="0" fillId="0" borderId="17" xfId="0" applyBorder="1"/>
    <xf numFmtId="0" fontId="0" fillId="0" borderId="18" xfId="0" applyBorder="1"/>
    <xf numFmtId="0" fontId="12" fillId="0" borderId="15" xfId="0" applyFont="1" applyBorder="1"/>
    <xf numFmtId="0" fontId="8" fillId="0" borderId="0" xfId="0" applyFont="1" applyBorder="1"/>
    <xf numFmtId="0" fontId="18" fillId="3" borderId="0" xfId="3" applyFont="1"/>
    <xf numFmtId="166" fontId="8" fillId="0" borderId="4" xfId="0" applyNumberFormat="1" applyFont="1" applyBorder="1" applyAlignment="1">
      <alignment horizontal="center" vertical="center"/>
    </xf>
    <xf numFmtId="166" fontId="8" fillId="0" borderId="4" xfId="0" applyNumberFormat="1" applyFont="1" applyFill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6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11" borderId="4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9" borderId="4" xfId="9" applyBorder="1" applyAlignment="1">
      <alignment horizontal="center" vertical="center"/>
    </xf>
    <xf numFmtId="0" fontId="19" fillId="0" borderId="0" xfId="0" applyFont="1"/>
    <xf numFmtId="166" fontId="4" fillId="4" borderId="4" xfId="4" applyNumberFormat="1" applyBorder="1"/>
    <xf numFmtId="166" fontId="0" fillId="0" borderId="4" xfId="0" applyNumberFormat="1" applyBorder="1" applyAlignment="1">
      <alignment horizontal="center" vertical="center"/>
    </xf>
    <xf numFmtId="166" fontId="0" fillId="0" borderId="4" xfId="0" applyNumberFormat="1" applyBorder="1"/>
    <xf numFmtId="165" fontId="4" fillId="4" borderId="4" xfId="1" applyNumberFormat="1" applyFont="1" applyFill="1" applyBorder="1"/>
    <xf numFmtId="0" fontId="20" fillId="0" borderId="21" xfId="0" applyFont="1" applyBorder="1"/>
    <xf numFmtId="166" fontId="20" fillId="0" borderId="22" xfId="0" applyNumberFormat="1" applyFont="1" applyBorder="1"/>
    <xf numFmtId="0" fontId="21" fillId="0" borderId="7" xfId="0" applyFont="1" applyBorder="1"/>
    <xf numFmtId="0" fontId="21" fillId="0" borderId="8" xfId="0" applyFont="1" applyBorder="1"/>
    <xf numFmtId="166" fontId="0" fillId="0" borderId="5" xfId="0" applyNumberFormat="1" applyBorder="1" applyAlignment="1">
      <alignment horizontal="center" vertical="center"/>
    </xf>
    <xf numFmtId="0" fontId="9" fillId="8" borderId="0" xfId="8" applyBorder="1" applyAlignment="1">
      <alignment vertical="center"/>
    </xf>
    <xf numFmtId="0" fontId="0" fillId="0" borderId="5" xfId="0" applyNumberFormat="1" applyBorder="1" applyAlignment="1">
      <alignment horizontal="center" vertical="center"/>
    </xf>
    <xf numFmtId="0" fontId="20" fillId="0" borderId="7" xfId="0" applyFont="1" applyBorder="1"/>
    <xf numFmtId="168" fontId="24" fillId="0" borderId="8" xfId="0" applyNumberFormat="1" applyFont="1" applyBorder="1"/>
    <xf numFmtId="0" fontId="24" fillId="0" borderId="7" xfId="0" applyFont="1" applyBorder="1"/>
    <xf numFmtId="169" fontId="24" fillId="0" borderId="8" xfId="0" applyNumberFormat="1" applyFont="1" applyBorder="1"/>
    <xf numFmtId="0" fontId="23" fillId="0" borderId="7" xfId="0" applyFont="1" applyBorder="1"/>
    <xf numFmtId="170" fontId="22" fillId="0" borderId="8" xfId="0" applyNumberFormat="1" applyFont="1" applyBorder="1"/>
    <xf numFmtId="164" fontId="0" fillId="0" borderId="5" xfId="12" applyFont="1" applyBorder="1" applyAlignment="1">
      <alignment horizontal="center" vertical="center"/>
    </xf>
    <xf numFmtId="166" fontId="0" fillId="0" borderId="0" xfId="0" applyNumberFormat="1" applyBorder="1"/>
    <xf numFmtId="0" fontId="0" fillId="0" borderId="23" xfId="0" applyBorder="1"/>
    <xf numFmtId="0" fontId="8" fillId="0" borderId="15" xfId="0" applyFont="1" applyBorder="1"/>
    <xf numFmtId="0" fontId="0" fillId="0" borderId="25" xfId="0" applyBorder="1" applyAlignment="1">
      <alignment horizontal="center" vertical="center"/>
    </xf>
    <xf numFmtId="9" fontId="0" fillId="0" borderId="25" xfId="1" applyNumberFormat="1" applyFont="1" applyBorder="1" applyAlignment="1">
      <alignment horizontal="center" vertical="center"/>
    </xf>
    <xf numFmtId="164" fontId="0" fillId="0" borderId="0" xfId="12" applyFont="1" applyBorder="1"/>
    <xf numFmtId="167" fontId="4" fillId="4" borderId="25" xfId="4" applyNumberFormat="1" applyBorder="1" applyAlignment="1">
      <alignment horizontal="center" vertical="center"/>
    </xf>
    <xf numFmtId="167" fontId="2" fillId="2" borderId="25" xfId="2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0" borderId="0" xfId="12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29" fillId="0" borderId="15" xfId="0" applyFont="1" applyBorder="1" applyAlignment="1">
      <alignment horizontal="center" vertical="center"/>
    </xf>
    <xf numFmtId="0" fontId="6" fillId="6" borderId="2" xfId="6" applyAlignment="1">
      <alignment horizontal="center"/>
    </xf>
    <xf numFmtId="0" fontId="6" fillId="6" borderId="19" xfId="6" applyBorder="1" applyAlignment="1">
      <alignment horizontal="center"/>
    </xf>
    <xf numFmtId="0" fontId="6" fillId="6" borderId="20" xfId="6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6" borderId="4" xfId="6" applyBorder="1" applyAlignment="1">
      <alignment horizontal="center" vertical="center"/>
    </xf>
    <xf numFmtId="0" fontId="10" fillId="5" borderId="4" xfId="5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0" borderId="0" xfId="11" applyAlignment="1">
      <alignment horizontal="center" vertical="center" wrapText="1"/>
    </xf>
    <xf numFmtId="0" fontId="8" fillId="0" borderId="15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64" fontId="25" fillId="0" borderId="13" xfId="12" applyFont="1" applyBorder="1" applyAlignment="1">
      <alignment horizontal="center" vertical="center"/>
    </xf>
    <xf numFmtId="164" fontId="25" fillId="0" borderId="14" xfId="12" applyFont="1" applyBorder="1" applyAlignment="1">
      <alignment horizontal="center" vertical="center"/>
    </xf>
    <xf numFmtId="164" fontId="25" fillId="0" borderId="17" xfId="12" applyFont="1" applyBorder="1" applyAlignment="1">
      <alignment horizontal="center" vertical="center"/>
    </xf>
    <xf numFmtId="164" fontId="25" fillId="0" borderId="18" xfId="12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6" fontId="26" fillId="0" borderId="29" xfId="0" applyNumberFormat="1" applyFont="1" applyBorder="1" applyAlignment="1">
      <alignment horizontal="center" vertical="center"/>
    </xf>
    <xf numFmtId="166" fontId="26" fillId="0" borderId="13" xfId="0" applyNumberFormat="1" applyFont="1" applyBorder="1" applyAlignment="1">
      <alignment horizontal="center" vertical="center"/>
    </xf>
    <xf numFmtId="166" fontId="26" fillId="0" borderId="14" xfId="0" applyNumberFormat="1" applyFont="1" applyBorder="1" applyAlignment="1">
      <alignment horizontal="center" vertical="center"/>
    </xf>
    <xf numFmtId="166" fontId="26" fillId="0" borderId="28" xfId="0" applyNumberFormat="1" applyFont="1" applyBorder="1" applyAlignment="1">
      <alignment horizontal="center" vertical="center"/>
    </xf>
    <xf numFmtId="166" fontId="26" fillId="0" borderId="0" xfId="0" applyNumberFormat="1" applyFont="1" applyBorder="1" applyAlignment="1">
      <alignment horizontal="center" vertical="center"/>
    </xf>
    <xf numFmtId="166" fontId="26" fillId="0" borderId="16" xfId="0" applyNumberFormat="1" applyFont="1" applyBorder="1" applyAlignment="1">
      <alignment horizontal="center" vertical="center"/>
    </xf>
    <xf numFmtId="166" fontId="26" fillId="0" borderId="30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6" fontId="26" fillId="0" borderId="18" xfId="0" applyNumberFormat="1" applyFont="1" applyBorder="1" applyAlignment="1">
      <alignment horizontal="center" vertical="center"/>
    </xf>
    <xf numFmtId="0" fontId="28" fillId="2" borderId="7" xfId="2" applyFont="1" applyBorder="1" applyAlignment="1">
      <alignment horizontal="center"/>
    </xf>
    <xf numFmtId="0" fontId="28" fillId="2" borderId="10" xfId="2" applyFont="1" applyBorder="1" applyAlignment="1">
      <alignment horizontal="center"/>
    </xf>
    <xf numFmtId="0" fontId="28" fillId="2" borderId="8" xfId="2" applyFont="1" applyBorder="1" applyAlignment="1">
      <alignment horizontal="center"/>
    </xf>
    <xf numFmtId="0" fontId="2" fillId="2" borderId="24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27" fillId="4" borderId="7" xfId="4" applyFont="1" applyBorder="1" applyAlignment="1">
      <alignment horizontal="center"/>
    </xf>
    <xf numFmtId="0" fontId="27" fillId="4" borderId="10" xfId="4" applyFont="1" applyBorder="1" applyAlignment="1">
      <alignment horizontal="center"/>
    </xf>
    <xf numFmtId="0" fontId="27" fillId="4" borderId="8" xfId="4" applyFont="1" applyBorder="1" applyAlignment="1">
      <alignment horizontal="center"/>
    </xf>
    <xf numFmtId="0" fontId="4" fillId="4" borderId="24" xfId="4" applyBorder="1" applyAlignment="1">
      <alignment horizontal="center" vertical="center"/>
    </xf>
    <xf numFmtId="0" fontId="4" fillId="4" borderId="4" xfId="4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13">
    <cellStyle name="Buena" xfId="2" builtinId="26"/>
    <cellStyle name="Celda de comprobación" xfId="7" builtinId="23"/>
    <cellStyle name="Énfasis2" xfId="8" builtinId="33"/>
    <cellStyle name="Énfasis5" xfId="9" builtinId="45"/>
    <cellStyle name="Énfasis6" xfId="10" builtinId="49"/>
    <cellStyle name="Entrada" xfId="5" builtinId="20"/>
    <cellStyle name="Hipervínculo" xfId="11" builtinId="8"/>
    <cellStyle name="Incorrecto" xfId="3" builtinId="27"/>
    <cellStyle name="Moneda" xfId="12" builtinId="4"/>
    <cellStyle name="Neutral" xfId="4" builtinId="28"/>
    <cellStyle name="Normal" xfId="0" builtinId="0"/>
    <cellStyle name="Porcentaje" xfId="1" builtinId="5"/>
    <cellStyle name="Salida" xfId="6" builtinId="21"/>
  </cellStyles>
  <dxfs count="18">
    <dxf>
      <font>
        <color rgb="FFFF0000"/>
      </font>
      <fill>
        <patternFill patternType="solid">
          <bgColor theme="7" tint="0.59996337778862885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FF0000"/>
      </font>
      <fill>
        <patternFill patternType="solid"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e-financebook.com/aplicaciones/e-Book4/Anexos/Cap%2004%20-%20Tasa%20Efectiva%20-%20Solucionario%2032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S51"/>
  <sheetViews>
    <sheetView zoomScale="70" zoomScaleNormal="70" workbookViewId="0">
      <selection activeCell="S4" sqref="S4"/>
    </sheetView>
  </sheetViews>
  <sheetFormatPr baseColWidth="10" defaultRowHeight="14.4" x14ac:dyDescent="0.3"/>
  <cols>
    <col min="2" max="2" width="30.5546875" customWidth="1"/>
    <col min="3" max="3" width="17.109375" customWidth="1"/>
    <col min="4" max="4" width="15.44140625" hidden="1" customWidth="1"/>
    <col min="5" max="5" width="14.44140625" customWidth="1"/>
    <col min="6" max="6" width="14.77734375" customWidth="1"/>
    <col min="7" max="7" width="17.77734375" customWidth="1"/>
    <col min="8" max="8" width="15.33203125" customWidth="1"/>
    <col min="14" max="14" width="16" customWidth="1"/>
    <col min="15" max="15" width="15" customWidth="1"/>
    <col min="16" max="16" width="19.77734375" customWidth="1"/>
    <col min="17" max="17" width="13.88671875" customWidth="1"/>
    <col min="18" max="18" width="19.21875" customWidth="1"/>
    <col min="19" max="19" width="19.44140625" customWidth="1"/>
  </cols>
  <sheetData>
    <row r="2" spans="1:19" x14ac:dyDescent="0.3">
      <c r="B2" s="1"/>
      <c r="C2" s="1"/>
      <c r="D2" s="1"/>
      <c r="E2" s="73" t="s">
        <v>23</v>
      </c>
      <c r="F2" s="7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ht="18" x14ac:dyDescent="0.3">
      <c r="B3" s="32" t="s">
        <v>25</v>
      </c>
      <c r="C3" s="1"/>
      <c r="D3" s="1"/>
      <c r="E3" s="19" t="s">
        <v>34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14" t="s">
        <v>16</v>
      </c>
      <c r="N3" s="14" t="s">
        <v>17</v>
      </c>
      <c r="O3" s="14" t="s">
        <v>18</v>
      </c>
      <c r="P3" s="14" t="s">
        <v>19</v>
      </c>
      <c r="Q3" s="14" t="s">
        <v>20</v>
      </c>
      <c r="R3" s="12" t="s">
        <v>21</v>
      </c>
      <c r="S3" s="12" t="s">
        <v>22</v>
      </c>
    </row>
    <row r="4" spans="1:19" ht="18.600000000000001" thickBot="1" x14ac:dyDescent="0.35">
      <c r="B4" s="1"/>
      <c r="C4" s="1"/>
      <c r="D4" s="1">
        <v>1</v>
      </c>
      <c r="E4" s="18">
        <f>IF(D4&lt;=$C$10,D4,"")</f>
        <v>1</v>
      </c>
      <c r="F4" s="33">
        <f>$C$11*$C$5</f>
        <v>200</v>
      </c>
      <c r="G4" s="33">
        <f>F4+$C$11*$C$5</f>
        <v>400</v>
      </c>
      <c r="H4" s="33">
        <f t="shared" ref="H4:Q4" si="0">G4+$C$5*$C$11</f>
        <v>600</v>
      </c>
      <c r="I4" s="34">
        <f t="shared" si="0"/>
        <v>800</v>
      </c>
      <c r="J4" s="33">
        <f t="shared" si="0"/>
        <v>1000</v>
      </c>
      <c r="K4" s="33">
        <f t="shared" si="0"/>
        <v>1200</v>
      </c>
      <c r="L4" s="33">
        <f t="shared" si="0"/>
        <v>1400</v>
      </c>
      <c r="M4" s="33">
        <f t="shared" si="0"/>
        <v>1600</v>
      </c>
      <c r="N4" s="33">
        <f t="shared" si="0"/>
        <v>1800</v>
      </c>
      <c r="O4" s="33">
        <f t="shared" si="0"/>
        <v>2000</v>
      </c>
      <c r="P4" s="33">
        <f t="shared" si="0"/>
        <v>2200</v>
      </c>
      <c r="Q4" s="33">
        <f t="shared" si="0"/>
        <v>2400</v>
      </c>
      <c r="R4" s="33">
        <f>$Q$4</f>
        <v>2400</v>
      </c>
      <c r="S4" s="33">
        <f>R4+$C$12*R4</f>
        <v>2640</v>
      </c>
    </row>
    <row r="5" spans="1:19" ht="26.4" thickBot="1" x14ac:dyDescent="0.55000000000000004">
      <c r="A5" s="7" t="s">
        <v>26</v>
      </c>
      <c r="B5" s="10" t="s">
        <v>1</v>
      </c>
      <c r="C5" s="11">
        <v>2000</v>
      </c>
      <c r="D5" s="1">
        <v>2</v>
      </c>
      <c r="E5" s="18">
        <f t="shared" ref="E5:E50" si="1">IF(D5&lt;=$C$10,D5,"")</f>
        <v>2</v>
      </c>
      <c r="F5" s="33"/>
      <c r="G5" s="33"/>
      <c r="H5" s="33"/>
      <c r="I5" s="34"/>
      <c r="J5" s="33"/>
      <c r="K5" s="33"/>
      <c r="L5" s="33"/>
      <c r="M5" s="33"/>
      <c r="N5" s="33"/>
      <c r="O5" s="33"/>
      <c r="P5" s="33"/>
      <c r="Q5" s="33"/>
      <c r="R5" s="33">
        <f>S4+$Q$4</f>
        <v>5040</v>
      </c>
      <c r="S5" s="33">
        <f t="shared" ref="S5:S50" si="2">R5+R5*$C$12</f>
        <v>5544</v>
      </c>
    </row>
    <row r="6" spans="1:19" ht="18.600000000000001" thickBot="1" x14ac:dyDescent="0.35">
      <c r="B6" s="9" t="s">
        <v>2</v>
      </c>
      <c r="C6" s="9">
        <v>12</v>
      </c>
      <c r="D6" s="1">
        <v>3</v>
      </c>
      <c r="E6" s="18">
        <f t="shared" si="1"/>
        <v>3</v>
      </c>
      <c r="F6" s="33"/>
      <c r="G6" s="33"/>
      <c r="H6" s="33"/>
      <c r="I6" s="34"/>
      <c r="J6" s="33"/>
      <c r="K6" s="33"/>
      <c r="L6" s="33"/>
      <c r="M6" s="33"/>
      <c r="N6" s="33"/>
      <c r="O6" s="33"/>
      <c r="P6" s="33"/>
      <c r="Q6" s="33"/>
      <c r="R6" s="33">
        <f>S5+$Q$4</f>
        <v>7944</v>
      </c>
      <c r="S6" s="33">
        <f t="shared" si="2"/>
        <v>8738.4</v>
      </c>
    </row>
    <row r="7" spans="1:19" ht="19.2" thickTop="1" thickBot="1" x14ac:dyDescent="0.35">
      <c r="B7" s="1" t="s">
        <v>3</v>
      </c>
      <c r="C7" s="1">
        <f>C5*C6</f>
        <v>24000</v>
      </c>
      <c r="D7" s="1">
        <v>4</v>
      </c>
      <c r="E7" s="18">
        <f t="shared" si="1"/>
        <v>4</v>
      </c>
      <c r="F7" s="33"/>
      <c r="G7" s="33"/>
      <c r="H7" s="33"/>
      <c r="I7" s="34"/>
      <c r="J7" s="33"/>
      <c r="K7" s="33"/>
      <c r="L7" s="33"/>
      <c r="M7" s="33"/>
      <c r="N7" s="33"/>
      <c r="O7" s="33"/>
      <c r="P7" s="33"/>
      <c r="Q7" s="33"/>
      <c r="R7" s="33">
        <f>S6+$Q$4</f>
        <v>11138.4</v>
      </c>
      <c r="S7" s="33">
        <f t="shared" si="2"/>
        <v>12252.24</v>
      </c>
    </row>
    <row r="8" spans="1:19" ht="26.4" thickBot="1" x14ac:dyDescent="0.55000000000000004">
      <c r="A8" s="7" t="s">
        <v>26</v>
      </c>
      <c r="B8" s="10" t="s">
        <v>30</v>
      </c>
      <c r="C8" s="11">
        <v>30</v>
      </c>
      <c r="D8" s="1">
        <v>5</v>
      </c>
      <c r="E8" s="18">
        <f t="shared" si="1"/>
        <v>5</v>
      </c>
      <c r="F8" s="33"/>
      <c r="G8" s="33"/>
      <c r="H8" s="33"/>
      <c r="I8" s="34"/>
      <c r="J8" s="33"/>
      <c r="K8" s="33"/>
      <c r="L8" s="33"/>
      <c r="M8" s="33"/>
      <c r="N8" s="33"/>
      <c r="O8" s="33"/>
      <c r="P8" s="33"/>
      <c r="Q8" s="33"/>
      <c r="R8" s="33">
        <f t="shared" ref="R8:R50" si="3">S7+$Q$4</f>
        <v>14652.24</v>
      </c>
      <c r="S8" s="33">
        <f t="shared" si="2"/>
        <v>16117.464</v>
      </c>
    </row>
    <row r="9" spans="1:19" ht="18" x14ac:dyDescent="0.3">
      <c r="B9" s="16" t="s">
        <v>32</v>
      </c>
      <c r="C9" s="16">
        <v>65</v>
      </c>
      <c r="D9" s="1">
        <v>6</v>
      </c>
      <c r="E9" s="18">
        <f t="shared" si="1"/>
        <v>6</v>
      </c>
      <c r="F9" s="33"/>
      <c r="G9" s="33"/>
      <c r="H9" s="33"/>
      <c r="I9" s="34"/>
      <c r="J9" s="33"/>
      <c r="K9" s="33"/>
      <c r="L9" s="33"/>
      <c r="M9" s="33"/>
      <c r="N9" s="33"/>
      <c r="O9" s="33"/>
      <c r="P9" s="33"/>
      <c r="Q9" s="33"/>
      <c r="R9" s="33">
        <f t="shared" si="3"/>
        <v>18517.464</v>
      </c>
      <c r="S9" s="33">
        <f t="shared" si="2"/>
        <v>20369.2104</v>
      </c>
    </row>
    <row r="10" spans="1:19" ht="18" x14ac:dyDescent="0.3">
      <c r="B10" s="16" t="s">
        <v>33</v>
      </c>
      <c r="C10" s="1">
        <f>C9-C8</f>
        <v>35</v>
      </c>
      <c r="D10" s="1">
        <v>7</v>
      </c>
      <c r="E10" s="18">
        <f t="shared" si="1"/>
        <v>7</v>
      </c>
      <c r="F10" s="33"/>
      <c r="G10" s="33"/>
      <c r="H10" s="33"/>
      <c r="I10" s="34"/>
      <c r="J10" s="33"/>
      <c r="K10" s="33"/>
      <c r="L10" s="33"/>
      <c r="M10" s="33"/>
      <c r="N10" s="33"/>
      <c r="O10" s="33"/>
      <c r="P10" s="33"/>
      <c r="Q10" s="33"/>
      <c r="R10" s="33">
        <f t="shared" si="3"/>
        <v>22769.2104</v>
      </c>
      <c r="S10" s="33">
        <f t="shared" si="2"/>
        <v>25046.131440000001</v>
      </c>
    </row>
    <row r="11" spans="1:19" ht="18" x14ac:dyDescent="0.3">
      <c r="B11" s="1" t="s">
        <v>8</v>
      </c>
      <c r="C11" s="2">
        <v>0.1</v>
      </c>
      <c r="D11" s="1">
        <v>8</v>
      </c>
      <c r="E11" s="18">
        <f t="shared" si="1"/>
        <v>8</v>
      </c>
      <c r="F11" s="33"/>
      <c r="G11" s="33"/>
      <c r="H11" s="33"/>
      <c r="I11" s="34"/>
      <c r="J11" s="33"/>
      <c r="K11" s="33"/>
      <c r="L11" s="33"/>
      <c r="M11" s="33"/>
      <c r="N11" s="33"/>
      <c r="O11" s="33"/>
      <c r="P11" s="33"/>
      <c r="Q11" s="33"/>
      <c r="R11" s="33">
        <f t="shared" si="3"/>
        <v>27446.131440000001</v>
      </c>
      <c r="S11" s="33">
        <f t="shared" si="2"/>
        <v>30190.744584</v>
      </c>
    </row>
    <row r="12" spans="1:19" ht="18" x14ac:dyDescent="0.3">
      <c r="B12" s="1" t="s">
        <v>6</v>
      </c>
      <c r="C12" s="2">
        <v>0.1</v>
      </c>
      <c r="D12" s="1">
        <v>9</v>
      </c>
      <c r="E12" s="18">
        <f t="shared" si="1"/>
        <v>9</v>
      </c>
      <c r="F12" s="33"/>
      <c r="G12" s="33"/>
      <c r="H12" s="33"/>
      <c r="I12" s="34"/>
      <c r="J12" s="33"/>
      <c r="K12" s="33"/>
      <c r="L12" s="33"/>
      <c r="M12" s="33"/>
      <c r="N12" s="33"/>
      <c r="O12" s="33"/>
      <c r="P12" s="33"/>
      <c r="Q12" s="33"/>
      <c r="R12" s="33">
        <f t="shared" si="3"/>
        <v>32590.744584</v>
      </c>
      <c r="S12" s="33">
        <f t="shared" si="2"/>
        <v>35849.819042399999</v>
      </c>
    </row>
    <row r="13" spans="1:19" ht="18" x14ac:dyDescent="0.3">
      <c r="D13" s="1">
        <v>10</v>
      </c>
      <c r="E13" s="18">
        <f t="shared" si="1"/>
        <v>10</v>
      </c>
      <c r="F13" s="33"/>
      <c r="G13" s="33"/>
      <c r="H13" s="33"/>
      <c r="I13" s="34"/>
      <c r="J13" s="33"/>
      <c r="K13" s="33"/>
      <c r="L13" s="33"/>
      <c r="M13" s="33"/>
      <c r="N13" s="33"/>
      <c r="O13" s="33"/>
      <c r="P13" s="33"/>
      <c r="Q13" s="33"/>
      <c r="R13" s="33">
        <f t="shared" si="3"/>
        <v>38249.819042399999</v>
      </c>
      <c r="S13" s="33">
        <f t="shared" si="2"/>
        <v>42074.800946639996</v>
      </c>
    </row>
    <row r="14" spans="1:19" ht="18" x14ac:dyDescent="0.3">
      <c r="D14" s="1">
        <v>11</v>
      </c>
      <c r="E14" s="18">
        <f t="shared" si="1"/>
        <v>11</v>
      </c>
      <c r="F14" s="33"/>
      <c r="G14" s="33"/>
      <c r="H14" s="33"/>
      <c r="I14" s="34"/>
      <c r="J14" s="33"/>
      <c r="K14" s="33"/>
      <c r="L14" s="33"/>
      <c r="M14" s="33"/>
      <c r="N14" s="33"/>
      <c r="O14" s="33"/>
      <c r="P14" s="33"/>
      <c r="Q14" s="33"/>
      <c r="R14" s="33">
        <f t="shared" si="3"/>
        <v>44474.800946639996</v>
      </c>
      <c r="S14" s="33">
        <f t="shared" si="2"/>
        <v>48922.281041303999</v>
      </c>
    </row>
    <row r="15" spans="1:19" ht="18.600000000000001" thickBot="1" x14ac:dyDescent="0.35">
      <c r="D15" s="1">
        <v>12</v>
      </c>
      <c r="E15" s="18">
        <f t="shared" si="1"/>
        <v>12</v>
      </c>
      <c r="F15" s="33"/>
      <c r="G15" s="33"/>
      <c r="H15" s="33"/>
      <c r="I15" s="34"/>
      <c r="J15" s="33"/>
      <c r="K15" s="33"/>
      <c r="L15" s="33"/>
      <c r="M15" s="33"/>
      <c r="N15" s="33"/>
      <c r="O15" s="33"/>
      <c r="P15" s="33"/>
      <c r="Q15" s="33"/>
      <c r="R15" s="33">
        <f t="shared" si="3"/>
        <v>51322.281041303999</v>
      </c>
      <c r="S15" s="33">
        <f t="shared" si="2"/>
        <v>56454.5091454344</v>
      </c>
    </row>
    <row r="16" spans="1:19" ht="26.4" thickBot="1" x14ac:dyDescent="0.55000000000000004">
      <c r="A16" s="7" t="s">
        <v>27</v>
      </c>
      <c r="B16" s="8" t="s">
        <v>28</v>
      </c>
      <c r="D16" s="1">
        <v>13</v>
      </c>
      <c r="E16" s="18">
        <f t="shared" si="1"/>
        <v>13</v>
      </c>
      <c r="F16" s="33"/>
      <c r="G16" s="33"/>
      <c r="H16" s="33"/>
      <c r="I16" s="34"/>
      <c r="J16" s="33"/>
      <c r="K16" s="33"/>
      <c r="L16" s="33"/>
      <c r="M16" s="33"/>
      <c r="N16" s="33"/>
      <c r="O16" s="33"/>
      <c r="P16" s="33"/>
      <c r="Q16" s="33"/>
      <c r="R16" s="33">
        <f t="shared" si="3"/>
        <v>58854.5091454344</v>
      </c>
      <c r="S16" s="33">
        <f t="shared" si="2"/>
        <v>64739.960059977842</v>
      </c>
    </row>
    <row r="17" spans="2:19" ht="18" x14ac:dyDescent="0.3">
      <c r="D17" s="1">
        <v>14</v>
      </c>
      <c r="E17" s="18">
        <f t="shared" si="1"/>
        <v>14</v>
      </c>
      <c r="F17" s="33"/>
      <c r="G17" s="33"/>
      <c r="H17" s="33"/>
      <c r="I17" s="34"/>
      <c r="J17" s="33"/>
      <c r="K17" s="33"/>
      <c r="L17" s="33"/>
      <c r="M17" s="33"/>
      <c r="N17" s="33"/>
      <c r="O17" s="33"/>
      <c r="P17" s="33"/>
      <c r="Q17" s="33"/>
      <c r="R17" s="33">
        <f t="shared" si="3"/>
        <v>67139.960059977835</v>
      </c>
      <c r="S17" s="33">
        <f t="shared" si="2"/>
        <v>73853.956065975624</v>
      </c>
    </row>
    <row r="18" spans="2:19" ht="18" x14ac:dyDescent="0.3">
      <c r="D18" s="1">
        <v>15</v>
      </c>
      <c r="E18" s="18">
        <f t="shared" si="1"/>
        <v>15</v>
      </c>
      <c r="F18" s="33"/>
      <c r="G18" s="33"/>
      <c r="H18" s="33"/>
      <c r="I18" s="34"/>
      <c r="J18" s="33"/>
      <c r="K18" s="33"/>
      <c r="L18" s="33"/>
      <c r="M18" s="33"/>
      <c r="N18" s="33"/>
      <c r="O18" s="33"/>
      <c r="P18" s="33"/>
      <c r="Q18" s="33"/>
      <c r="R18" s="33">
        <f t="shared" si="3"/>
        <v>76253.956065975624</v>
      </c>
      <c r="S18" s="33">
        <f t="shared" si="2"/>
        <v>83879.35167257319</v>
      </c>
    </row>
    <row r="19" spans="2:19" ht="18" x14ac:dyDescent="0.3">
      <c r="D19" s="1">
        <v>16</v>
      </c>
      <c r="E19" s="18">
        <f t="shared" si="1"/>
        <v>16</v>
      </c>
      <c r="F19" s="33"/>
      <c r="G19" s="33"/>
      <c r="H19" s="33"/>
      <c r="I19" s="34"/>
      <c r="J19" s="33"/>
      <c r="K19" s="33"/>
      <c r="L19" s="33"/>
      <c r="M19" s="33"/>
      <c r="N19" s="33"/>
      <c r="O19" s="33"/>
      <c r="P19" s="33"/>
      <c r="Q19" s="33"/>
      <c r="R19" s="33">
        <f t="shared" si="3"/>
        <v>86279.35167257319</v>
      </c>
      <c r="S19" s="33">
        <f t="shared" si="2"/>
        <v>94907.286839830515</v>
      </c>
    </row>
    <row r="20" spans="2:19" ht="18" x14ac:dyDescent="0.3">
      <c r="D20" s="1">
        <v>17</v>
      </c>
      <c r="E20" s="18">
        <f t="shared" si="1"/>
        <v>17</v>
      </c>
      <c r="F20" s="33"/>
      <c r="G20" s="33"/>
      <c r="H20" s="33"/>
      <c r="I20" s="34"/>
      <c r="J20" s="33"/>
      <c r="K20" s="33"/>
      <c r="L20" s="33"/>
      <c r="M20" s="33"/>
      <c r="N20" s="33"/>
      <c r="O20" s="33"/>
      <c r="P20" s="33"/>
      <c r="Q20" s="33"/>
      <c r="R20" s="33">
        <f t="shared" si="3"/>
        <v>97307.286839830515</v>
      </c>
      <c r="S20" s="33">
        <f t="shared" si="2"/>
        <v>107038.01552381356</v>
      </c>
    </row>
    <row r="21" spans="2:19" ht="18" x14ac:dyDescent="0.3">
      <c r="D21" s="1">
        <v>18</v>
      </c>
      <c r="E21" s="18">
        <f t="shared" si="1"/>
        <v>18</v>
      </c>
      <c r="F21" s="33"/>
      <c r="G21" s="33"/>
      <c r="H21" s="33"/>
      <c r="I21" s="34"/>
      <c r="J21" s="33"/>
      <c r="K21" s="33"/>
      <c r="L21" s="33"/>
      <c r="M21" s="33"/>
      <c r="N21" s="33"/>
      <c r="O21" s="33"/>
      <c r="P21" s="33"/>
      <c r="Q21" s="33"/>
      <c r="R21" s="33">
        <f t="shared" si="3"/>
        <v>109438.01552381356</v>
      </c>
      <c r="S21" s="33">
        <f t="shared" si="2"/>
        <v>120381.81707619491</v>
      </c>
    </row>
    <row r="22" spans="2:19" ht="18" x14ac:dyDescent="0.3">
      <c r="D22" s="1">
        <v>19</v>
      </c>
      <c r="E22" s="18">
        <f t="shared" si="1"/>
        <v>19</v>
      </c>
      <c r="F22" s="33"/>
      <c r="G22" s="33"/>
      <c r="H22" s="33"/>
      <c r="I22" s="34"/>
      <c r="J22" s="33"/>
      <c r="K22" s="33"/>
      <c r="L22" s="33"/>
      <c r="M22" s="33"/>
      <c r="N22" s="33"/>
      <c r="O22" s="33"/>
      <c r="P22" s="33"/>
      <c r="Q22" s="33"/>
      <c r="R22" s="33">
        <f t="shared" si="3"/>
        <v>122781.81707619491</v>
      </c>
      <c r="S22" s="33">
        <f t="shared" si="2"/>
        <v>135059.9987838144</v>
      </c>
    </row>
    <row r="23" spans="2:19" ht="18" x14ac:dyDescent="0.3">
      <c r="D23" s="1">
        <v>20</v>
      </c>
      <c r="E23" s="18">
        <f t="shared" si="1"/>
        <v>20</v>
      </c>
      <c r="F23" s="33"/>
      <c r="G23" s="33"/>
      <c r="H23" s="33"/>
      <c r="I23" s="34"/>
      <c r="J23" s="33"/>
      <c r="K23" s="33"/>
      <c r="L23" s="33"/>
      <c r="M23" s="33"/>
      <c r="N23" s="33"/>
      <c r="O23" s="33"/>
      <c r="P23" s="33"/>
      <c r="Q23" s="33"/>
      <c r="R23" s="33">
        <f t="shared" si="3"/>
        <v>137459.9987838144</v>
      </c>
      <c r="S23" s="33">
        <f t="shared" si="2"/>
        <v>151205.99866219584</v>
      </c>
    </row>
    <row r="24" spans="2:19" ht="18" x14ac:dyDescent="0.3">
      <c r="D24" s="1">
        <v>21</v>
      </c>
      <c r="E24" s="18">
        <f t="shared" si="1"/>
        <v>21</v>
      </c>
      <c r="F24" s="33"/>
      <c r="G24" s="33"/>
      <c r="H24" s="33"/>
      <c r="I24" s="34"/>
      <c r="J24" s="33"/>
      <c r="K24" s="33"/>
      <c r="L24" s="33"/>
      <c r="M24" s="33"/>
      <c r="N24" s="33"/>
      <c r="O24" s="33"/>
      <c r="P24" s="33"/>
      <c r="Q24" s="33"/>
      <c r="R24" s="33">
        <f t="shared" si="3"/>
        <v>153605.99866219584</v>
      </c>
      <c r="S24" s="33">
        <f t="shared" si="2"/>
        <v>168966.59852841543</v>
      </c>
    </row>
    <row r="25" spans="2:19" ht="18" x14ac:dyDescent="0.3">
      <c r="D25" s="1">
        <v>22</v>
      </c>
      <c r="E25" s="18">
        <f t="shared" si="1"/>
        <v>22</v>
      </c>
      <c r="F25" s="33"/>
      <c r="G25" s="33"/>
      <c r="H25" s="33"/>
      <c r="I25" s="34"/>
      <c r="J25" s="33"/>
      <c r="K25" s="33"/>
      <c r="L25" s="33"/>
      <c r="M25" s="33"/>
      <c r="N25" s="33"/>
      <c r="O25" s="33"/>
      <c r="P25" s="33"/>
      <c r="Q25" s="33"/>
      <c r="R25" s="33">
        <f t="shared" si="3"/>
        <v>171366.59852841543</v>
      </c>
      <c r="S25" s="33">
        <f t="shared" si="2"/>
        <v>188503.25838125698</v>
      </c>
    </row>
    <row r="26" spans="2:19" ht="18" x14ac:dyDescent="0.3">
      <c r="B26" s="1"/>
      <c r="D26" s="1">
        <v>23</v>
      </c>
      <c r="E26" s="18">
        <f t="shared" si="1"/>
        <v>23</v>
      </c>
      <c r="F26" s="33"/>
      <c r="G26" s="33"/>
      <c r="H26" s="33"/>
      <c r="I26" s="34"/>
      <c r="J26" s="33"/>
      <c r="K26" s="33"/>
      <c r="L26" s="33"/>
      <c r="M26" s="33"/>
      <c r="N26" s="33"/>
      <c r="O26" s="33"/>
      <c r="P26" s="33"/>
      <c r="Q26" s="33"/>
      <c r="R26" s="33">
        <f t="shared" si="3"/>
        <v>190903.25838125698</v>
      </c>
      <c r="S26" s="33">
        <f t="shared" si="2"/>
        <v>209993.58421938267</v>
      </c>
    </row>
    <row r="27" spans="2:19" ht="18" x14ac:dyDescent="0.3">
      <c r="D27" s="1">
        <v>24</v>
      </c>
      <c r="E27" s="18">
        <f t="shared" si="1"/>
        <v>24</v>
      </c>
      <c r="F27" s="33"/>
      <c r="G27" s="33"/>
      <c r="H27" s="33"/>
      <c r="I27" s="34"/>
      <c r="J27" s="33"/>
      <c r="K27" s="33"/>
      <c r="L27" s="33"/>
      <c r="M27" s="33"/>
      <c r="N27" s="33"/>
      <c r="O27" s="33"/>
      <c r="P27" s="33"/>
      <c r="Q27" s="33"/>
      <c r="R27" s="33">
        <f t="shared" si="3"/>
        <v>212393.58421938267</v>
      </c>
      <c r="S27" s="33">
        <f t="shared" si="2"/>
        <v>233632.94264132093</v>
      </c>
    </row>
    <row r="28" spans="2:19" ht="18" x14ac:dyDescent="0.3">
      <c r="D28" s="1">
        <v>25</v>
      </c>
      <c r="E28" s="18">
        <f t="shared" si="1"/>
        <v>25</v>
      </c>
      <c r="F28" s="33"/>
      <c r="G28" s="33"/>
      <c r="H28" s="33"/>
      <c r="I28" s="34"/>
      <c r="J28" s="33"/>
      <c r="K28" s="33"/>
      <c r="L28" s="33"/>
      <c r="M28" s="33"/>
      <c r="N28" s="33"/>
      <c r="O28" s="33"/>
      <c r="P28" s="33"/>
      <c r="Q28" s="33"/>
      <c r="R28" s="33">
        <f t="shared" si="3"/>
        <v>236032.94264132093</v>
      </c>
      <c r="S28" s="33">
        <f t="shared" si="2"/>
        <v>259636.23690545303</v>
      </c>
    </row>
    <row r="29" spans="2:19" ht="18" x14ac:dyDescent="0.3">
      <c r="D29" s="1">
        <v>26</v>
      </c>
      <c r="E29" s="18">
        <f t="shared" si="1"/>
        <v>26</v>
      </c>
      <c r="F29" s="33"/>
      <c r="G29" s="33"/>
      <c r="H29" s="33"/>
      <c r="I29" s="34"/>
      <c r="J29" s="33"/>
      <c r="K29" s="33"/>
      <c r="L29" s="33"/>
      <c r="M29" s="33"/>
      <c r="N29" s="33"/>
      <c r="O29" s="33"/>
      <c r="P29" s="33"/>
      <c r="Q29" s="33"/>
      <c r="R29" s="33">
        <f t="shared" si="3"/>
        <v>262036.23690545303</v>
      </c>
      <c r="S29" s="33">
        <f t="shared" si="2"/>
        <v>288239.86059599835</v>
      </c>
    </row>
    <row r="30" spans="2:19" ht="18" x14ac:dyDescent="0.3">
      <c r="D30" s="1">
        <v>27</v>
      </c>
      <c r="E30" s="18">
        <f t="shared" si="1"/>
        <v>27</v>
      </c>
      <c r="F30" s="33"/>
      <c r="G30" s="33"/>
      <c r="H30" s="33"/>
      <c r="I30" s="34"/>
      <c r="J30" s="33"/>
      <c r="K30" s="33"/>
      <c r="L30" s="33"/>
      <c r="M30" s="33"/>
      <c r="N30" s="33"/>
      <c r="O30" s="33"/>
      <c r="P30" s="33"/>
      <c r="Q30" s="33"/>
      <c r="R30" s="33">
        <f t="shared" si="3"/>
        <v>290639.86059599835</v>
      </c>
      <c r="S30" s="33">
        <f t="shared" si="2"/>
        <v>319703.8466555982</v>
      </c>
    </row>
    <row r="31" spans="2:19" ht="18" x14ac:dyDescent="0.3">
      <c r="D31" s="1">
        <v>28</v>
      </c>
      <c r="E31" s="18">
        <f t="shared" si="1"/>
        <v>28</v>
      </c>
      <c r="F31" s="33"/>
      <c r="G31" s="33"/>
      <c r="H31" s="33"/>
      <c r="I31" s="34"/>
      <c r="J31" s="33"/>
      <c r="K31" s="33"/>
      <c r="L31" s="33"/>
      <c r="M31" s="33"/>
      <c r="N31" s="33"/>
      <c r="O31" s="33"/>
      <c r="P31" s="33"/>
      <c r="Q31" s="33"/>
      <c r="R31" s="33">
        <f t="shared" si="3"/>
        <v>322103.8466555982</v>
      </c>
      <c r="S31" s="33">
        <f t="shared" si="2"/>
        <v>354314.231321158</v>
      </c>
    </row>
    <row r="32" spans="2:19" ht="18" x14ac:dyDescent="0.3">
      <c r="D32" s="1">
        <v>29</v>
      </c>
      <c r="E32" s="18">
        <f t="shared" si="1"/>
        <v>29</v>
      </c>
      <c r="F32" s="33"/>
      <c r="G32" s="33"/>
      <c r="H32" s="33"/>
      <c r="I32" s="34"/>
      <c r="J32" s="33"/>
      <c r="K32" s="33"/>
      <c r="L32" s="33"/>
      <c r="M32" s="33"/>
      <c r="N32" s="33"/>
      <c r="O32" s="33"/>
      <c r="P32" s="33"/>
      <c r="Q32" s="33"/>
      <c r="R32" s="33">
        <f t="shared" si="3"/>
        <v>356714.231321158</v>
      </c>
      <c r="S32" s="33">
        <f t="shared" si="2"/>
        <v>392385.6544532738</v>
      </c>
    </row>
    <row r="33" spans="4:19" ht="18" x14ac:dyDescent="0.3">
      <c r="D33" s="1">
        <v>30</v>
      </c>
      <c r="E33" s="18">
        <f t="shared" si="1"/>
        <v>30</v>
      </c>
      <c r="F33" s="33"/>
      <c r="G33" s="33"/>
      <c r="H33" s="33"/>
      <c r="I33" s="34"/>
      <c r="J33" s="33"/>
      <c r="K33" s="33"/>
      <c r="L33" s="33"/>
      <c r="M33" s="33"/>
      <c r="N33" s="33"/>
      <c r="O33" s="33"/>
      <c r="P33" s="33"/>
      <c r="Q33" s="33"/>
      <c r="R33" s="33">
        <f t="shared" si="3"/>
        <v>394785.6544532738</v>
      </c>
      <c r="S33" s="33">
        <f t="shared" si="2"/>
        <v>434264.21989860118</v>
      </c>
    </row>
    <row r="34" spans="4:19" ht="18" x14ac:dyDescent="0.3">
      <c r="D34" s="1">
        <v>31</v>
      </c>
      <c r="E34" s="18">
        <f t="shared" si="1"/>
        <v>31</v>
      </c>
      <c r="F34" s="33"/>
      <c r="G34" s="33"/>
      <c r="H34" s="33"/>
      <c r="I34" s="34"/>
      <c r="J34" s="33"/>
      <c r="K34" s="33"/>
      <c r="L34" s="33"/>
      <c r="M34" s="33"/>
      <c r="N34" s="33"/>
      <c r="O34" s="33"/>
      <c r="P34" s="33"/>
      <c r="Q34" s="33"/>
      <c r="R34" s="33">
        <f t="shared" si="3"/>
        <v>436664.21989860118</v>
      </c>
      <c r="S34" s="33">
        <f t="shared" si="2"/>
        <v>480330.64188846131</v>
      </c>
    </row>
    <row r="35" spans="4:19" ht="18" x14ac:dyDescent="0.3">
      <c r="D35" s="1">
        <v>32</v>
      </c>
      <c r="E35" s="18">
        <f t="shared" si="1"/>
        <v>32</v>
      </c>
      <c r="F35" s="33"/>
      <c r="G35" s="33"/>
      <c r="H35" s="33"/>
      <c r="I35" s="34"/>
      <c r="J35" s="33"/>
      <c r="K35" s="33"/>
      <c r="L35" s="33"/>
      <c r="M35" s="33"/>
      <c r="N35" s="33"/>
      <c r="O35" s="33"/>
      <c r="P35" s="33"/>
      <c r="Q35" s="33"/>
      <c r="R35" s="33">
        <f t="shared" si="3"/>
        <v>482730.64188846131</v>
      </c>
      <c r="S35" s="33">
        <f t="shared" si="2"/>
        <v>531003.70607730746</v>
      </c>
    </row>
    <row r="36" spans="4:19" ht="18" x14ac:dyDescent="0.3">
      <c r="D36" s="1">
        <v>33</v>
      </c>
      <c r="E36" s="18">
        <f t="shared" si="1"/>
        <v>33</v>
      </c>
      <c r="F36" s="33"/>
      <c r="G36" s="33"/>
      <c r="H36" s="33"/>
      <c r="I36" s="34"/>
      <c r="J36" s="33"/>
      <c r="K36" s="33"/>
      <c r="L36" s="33"/>
      <c r="M36" s="33"/>
      <c r="N36" s="33"/>
      <c r="O36" s="33"/>
      <c r="P36" s="33"/>
      <c r="Q36" s="33"/>
      <c r="R36" s="33">
        <f t="shared" si="3"/>
        <v>533403.70607730746</v>
      </c>
      <c r="S36" s="33">
        <f t="shared" si="2"/>
        <v>586744.07668503816</v>
      </c>
    </row>
    <row r="37" spans="4:19" ht="18" x14ac:dyDescent="0.3">
      <c r="D37" s="1">
        <v>34</v>
      </c>
      <c r="E37" s="18">
        <f t="shared" si="1"/>
        <v>34</v>
      </c>
      <c r="F37" s="33"/>
      <c r="G37" s="33"/>
      <c r="H37" s="33"/>
      <c r="I37" s="34"/>
      <c r="J37" s="33"/>
      <c r="K37" s="33"/>
      <c r="L37" s="33"/>
      <c r="M37" s="33"/>
      <c r="N37" s="33"/>
      <c r="O37" s="33"/>
      <c r="P37" s="33"/>
      <c r="Q37" s="33"/>
      <c r="R37" s="33">
        <f t="shared" si="3"/>
        <v>589144.07668503816</v>
      </c>
      <c r="S37" s="33">
        <f t="shared" si="2"/>
        <v>648058.48435354198</v>
      </c>
    </row>
    <row r="38" spans="4:19" ht="18" x14ac:dyDescent="0.3">
      <c r="D38" s="1">
        <v>35</v>
      </c>
      <c r="E38" s="18">
        <f t="shared" si="1"/>
        <v>35</v>
      </c>
      <c r="F38" s="33"/>
      <c r="G38" s="33"/>
      <c r="H38" s="33"/>
      <c r="I38" s="34"/>
      <c r="J38" s="33"/>
      <c r="K38" s="33"/>
      <c r="L38" s="33"/>
      <c r="M38" s="33"/>
      <c r="N38" s="33"/>
      <c r="O38" s="33"/>
      <c r="P38" s="33"/>
      <c r="Q38" s="33"/>
      <c r="R38" s="33">
        <f t="shared" si="3"/>
        <v>650458.48435354198</v>
      </c>
      <c r="S38" s="33">
        <f t="shared" si="2"/>
        <v>715504.33278889616</v>
      </c>
    </row>
    <row r="39" spans="4:19" ht="18" x14ac:dyDescent="0.3">
      <c r="D39" s="1">
        <v>36</v>
      </c>
      <c r="E39" s="18" t="str">
        <f t="shared" si="1"/>
        <v/>
      </c>
      <c r="F39" s="33"/>
      <c r="G39" s="33"/>
      <c r="H39" s="33"/>
      <c r="I39" s="34"/>
      <c r="J39" s="33"/>
      <c r="K39" s="33"/>
      <c r="L39" s="33"/>
      <c r="M39" s="33"/>
      <c r="N39" s="33"/>
      <c r="O39" s="33"/>
      <c r="P39" s="33"/>
      <c r="Q39" s="33"/>
      <c r="R39" s="33">
        <f t="shared" si="3"/>
        <v>717904.33278889616</v>
      </c>
      <c r="S39" s="33">
        <f t="shared" si="2"/>
        <v>789694.76606778579</v>
      </c>
    </row>
    <row r="40" spans="4:19" ht="18" x14ac:dyDescent="0.3">
      <c r="D40" s="1">
        <v>37</v>
      </c>
      <c r="E40" s="18" t="str">
        <f t="shared" si="1"/>
        <v/>
      </c>
      <c r="F40" s="33"/>
      <c r="G40" s="33"/>
      <c r="H40" s="33"/>
      <c r="I40" s="34"/>
      <c r="J40" s="33"/>
      <c r="K40" s="33"/>
      <c r="L40" s="33"/>
      <c r="M40" s="33"/>
      <c r="N40" s="33"/>
      <c r="O40" s="33"/>
      <c r="P40" s="33"/>
      <c r="Q40" s="33"/>
      <c r="R40" s="33">
        <f t="shared" si="3"/>
        <v>792094.76606778579</v>
      </c>
      <c r="S40" s="33">
        <f t="shared" si="2"/>
        <v>871304.24267456436</v>
      </c>
    </row>
    <row r="41" spans="4:19" ht="18" x14ac:dyDescent="0.3">
      <c r="D41" s="1">
        <v>38</v>
      </c>
      <c r="E41" s="18" t="str">
        <f t="shared" si="1"/>
        <v/>
      </c>
      <c r="F41" s="33"/>
      <c r="G41" s="33"/>
      <c r="H41" s="33"/>
      <c r="I41" s="34"/>
      <c r="J41" s="33"/>
      <c r="K41" s="33"/>
      <c r="L41" s="33"/>
      <c r="M41" s="33"/>
      <c r="N41" s="33"/>
      <c r="O41" s="33"/>
      <c r="P41" s="33"/>
      <c r="Q41" s="33"/>
      <c r="R41" s="33">
        <f t="shared" si="3"/>
        <v>873704.24267456436</v>
      </c>
      <c r="S41" s="33">
        <f t="shared" si="2"/>
        <v>961074.66694202076</v>
      </c>
    </row>
    <row r="42" spans="4:19" ht="18" x14ac:dyDescent="0.3">
      <c r="D42" s="1">
        <v>39</v>
      </c>
      <c r="E42" s="18" t="str">
        <f t="shared" si="1"/>
        <v/>
      </c>
      <c r="F42" s="33"/>
      <c r="G42" s="33"/>
      <c r="H42" s="33"/>
      <c r="I42" s="34"/>
      <c r="J42" s="33"/>
      <c r="K42" s="33"/>
      <c r="L42" s="33"/>
      <c r="M42" s="33"/>
      <c r="N42" s="33"/>
      <c r="O42" s="33"/>
      <c r="P42" s="33"/>
      <c r="Q42" s="33"/>
      <c r="R42" s="33">
        <f>S41+$Q$4</f>
        <v>963474.66694202076</v>
      </c>
      <c r="S42" s="33">
        <f t="shared" si="2"/>
        <v>1059822.1336362229</v>
      </c>
    </row>
    <row r="43" spans="4:19" ht="18" x14ac:dyDescent="0.3">
      <c r="D43" s="1">
        <v>40</v>
      </c>
      <c r="E43" s="18" t="str">
        <f t="shared" si="1"/>
        <v/>
      </c>
      <c r="F43" s="33"/>
      <c r="G43" s="33"/>
      <c r="H43" s="33"/>
      <c r="I43" s="34"/>
      <c r="J43" s="33"/>
      <c r="K43" s="33"/>
      <c r="L43" s="33"/>
      <c r="M43" s="33"/>
      <c r="N43" s="33"/>
      <c r="O43" s="33"/>
      <c r="P43" s="33"/>
      <c r="Q43" s="33"/>
      <c r="R43" s="33">
        <f t="shared" si="3"/>
        <v>1062222.1336362229</v>
      </c>
      <c r="S43" s="33">
        <f t="shared" si="2"/>
        <v>1168444.3469998452</v>
      </c>
    </row>
    <row r="44" spans="4:19" ht="18" x14ac:dyDescent="0.3">
      <c r="D44" s="1">
        <v>41</v>
      </c>
      <c r="E44" s="18" t="str">
        <f t="shared" si="1"/>
        <v/>
      </c>
      <c r="F44" s="33"/>
      <c r="G44" s="33"/>
      <c r="H44" s="33"/>
      <c r="I44" s="34"/>
      <c r="J44" s="33"/>
      <c r="K44" s="33"/>
      <c r="L44" s="33"/>
      <c r="M44" s="33"/>
      <c r="N44" s="33"/>
      <c r="O44" s="33"/>
      <c r="P44" s="33"/>
      <c r="Q44" s="33"/>
      <c r="R44" s="33">
        <f t="shared" si="3"/>
        <v>1170844.3469998452</v>
      </c>
      <c r="S44" s="33">
        <f t="shared" si="2"/>
        <v>1287928.7816998297</v>
      </c>
    </row>
    <row r="45" spans="4:19" ht="18" x14ac:dyDescent="0.3">
      <c r="D45" s="1">
        <v>42</v>
      </c>
      <c r="E45" s="18" t="str">
        <f t="shared" si="1"/>
        <v/>
      </c>
      <c r="F45" s="33"/>
      <c r="G45" s="33"/>
      <c r="H45" s="33"/>
      <c r="I45" s="34"/>
      <c r="J45" s="33"/>
      <c r="K45" s="33"/>
      <c r="L45" s="33"/>
      <c r="M45" s="33"/>
      <c r="N45" s="33"/>
      <c r="O45" s="33"/>
      <c r="P45" s="33"/>
      <c r="Q45" s="33"/>
      <c r="R45" s="33">
        <f t="shared" si="3"/>
        <v>1290328.7816998297</v>
      </c>
      <c r="S45" s="33">
        <f t="shared" si="2"/>
        <v>1419361.6598698127</v>
      </c>
    </row>
    <row r="46" spans="4:19" ht="18" x14ac:dyDescent="0.3">
      <c r="D46" s="1">
        <v>43</v>
      </c>
      <c r="E46" s="18" t="str">
        <f t="shared" si="1"/>
        <v/>
      </c>
      <c r="F46" s="33"/>
      <c r="G46" s="33"/>
      <c r="H46" s="33"/>
      <c r="I46" s="34"/>
      <c r="J46" s="33"/>
      <c r="K46" s="33"/>
      <c r="L46" s="33"/>
      <c r="M46" s="33"/>
      <c r="N46" s="33"/>
      <c r="O46" s="33"/>
      <c r="P46" s="33"/>
      <c r="Q46" s="33"/>
      <c r="R46" s="33">
        <f t="shared" si="3"/>
        <v>1421761.6598698127</v>
      </c>
      <c r="S46" s="33">
        <f t="shared" si="2"/>
        <v>1563937.8258567939</v>
      </c>
    </row>
    <row r="47" spans="4:19" ht="18" x14ac:dyDescent="0.3">
      <c r="D47" s="1">
        <v>44</v>
      </c>
      <c r="E47" s="18" t="str">
        <f t="shared" si="1"/>
        <v/>
      </c>
      <c r="F47" s="33"/>
      <c r="G47" s="33"/>
      <c r="H47" s="33"/>
      <c r="I47" s="34"/>
      <c r="J47" s="33"/>
      <c r="K47" s="33"/>
      <c r="L47" s="33"/>
      <c r="M47" s="33"/>
      <c r="N47" s="33"/>
      <c r="O47" s="33"/>
      <c r="P47" s="33"/>
      <c r="Q47" s="33"/>
      <c r="R47" s="33">
        <f t="shared" si="3"/>
        <v>1566337.8258567939</v>
      </c>
      <c r="S47" s="33">
        <f t="shared" si="2"/>
        <v>1722971.6084424732</v>
      </c>
    </row>
    <row r="48" spans="4:19" ht="18" x14ac:dyDescent="0.3">
      <c r="D48" s="1">
        <v>45</v>
      </c>
      <c r="E48" s="18" t="str">
        <f t="shared" si="1"/>
        <v/>
      </c>
      <c r="F48" s="33"/>
      <c r="G48" s="33"/>
      <c r="H48" s="33"/>
      <c r="I48" s="34"/>
      <c r="J48" s="33"/>
      <c r="K48" s="33"/>
      <c r="L48" s="33"/>
      <c r="M48" s="33"/>
      <c r="N48" s="33"/>
      <c r="O48" s="33"/>
      <c r="P48" s="33"/>
      <c r="Q48" s="33"/>
      <c r="R48" s="33">
        <f t="shared" si="3"/>
        <v>1725371.6084424732</v>
      </c>
      <c r="S48" s="33">
        <f t="shared" si="2"/>
        <v>1897908.7692867205</v>
      </c>
    </row>
    <row r="49" spans="4:19" ht="18" x14ac:dyDescent="0.3">
      <c r="D49" s="1">
        <v>46</v>
      </c>
      <c r="E49" s="18" t="str">
        <f t="shared" si="1"/>
        <v/>
      </c>
      <c r="F49" s="33"/>
      <c r="G49" s="33"/>
      <c r="H49" s="33"/>
      <c r="I49" s="34"/>
      <c r="J49" s="33"/>
      <c r="K49" s="33"/>
      <c r="L49" s="33"/>
      <c r="M49" s="33"/>
      <c r="N49" s="33"/>
      <c r="O49" s="33"/>
      <c r="P49" s="33"/>
      <c r="Q49" s="33"/>
      <c r="R49" s="33">
        <f t="shared" si="3"/>
        <v>1900308.7692867205</v>
      </c>
      <c r="S49" s="33">
        <f t="shared" si="2"/>
        <v>2090339.6462153927</v>
      </c>
    </row>
    <row r="50" spans="4:19" ht="18.600000000000001" thickBot="1" x14ac:dyDescent="0.35">
      <c r="D50" s="1">
        <v>47</v>
      </c>
      <c r="E50" s="18" t="str">
        <f t="shared" si="1"/>
        <v/>
      </c>
      <c r="F50" s="33"/>
      <c r="G50" s="33"/>
      <c r="H50" s="33"/>
      <c r="I50" s="34"/>
      <c r="J50" s="33"/>
      <c r="K50" s="33"/>
      <c r="L50" s="33"/>
      <c r="M50" s="33"/>
      <c r="N50" s="33"/>
      <c r="O50" s="33"/>
      <c r="P50" s="33"/>
      <c r="Q50" s="35"/>
      <c r="R50" s="33">
        <f t="shared" si="3"/>
        <v>2092739.6462153927</v>
      </c>
      <c r="S50" s="33">
        <f t="shared" si="2"/>
        <v>2302013.610836932</v>
      </c>
    </row>
    <row r="51" spans="4:19" ht="15" thickBot="1" x14ac:dyDescent="0.35">
      <c r="P51" s="6" t="s">
        <v>31</v>
      </c>
      <c r="Q51" s="15">
        <f>Q4*C10</f>
        <v>84000</v>
      </c>
    </row>
  </sheetData>
  <mergeCells count="1">
    <mergeCell ref="E2:F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V54"/>
  <sheetViews>
    <sheetView topLeftCell="B4" zoomScale="70" zoomScaleNormal="70" workbookViewId="0">
      <selection activeCell="E24" sqref="E24"/>
    </sheetView>
  </sheetViews>
  <sheetFormatPr baseColWidth="10" defaultRowHeight="14.4" x14ac:dyDescent="0.3"/>
  <cols>
    <col min="4" max="4" width="50.21875" customWidth="1"/>
    <col min="7" max="7" width="11.5546875" hidden="1" customWidth="1"/>
    <col min="8" max="8" width="22.109375" customWidth="1"/>
    <col min="9" max="12" width="11.6640625" bestFit="1" customWidth="1"/>
    <col min="13" max="13" width="13.5546875" customWidth="1"/>
    <col min="14" max="14" width="13.77734375" customWidth="1"/>
    <col min="15" max="15" width="14.88671875" customWidth="1"/>
    <col min="16" max="16" width="14.33203125" customWidth="1"/>
    <col min="17" max="17" width="16.77734375" customWidth="1"/>
    <col min="18" max="18" width="22.5546875" customWidth="1"/>
    <col min="19" max="19" width="17.44140625" customWidth="1"/>
    <col min="20" max="21" width="23.33203125" customWidth="1"/>
    <col min="22" max="22" width="20.33203125" customWidth="1"/>
  </cols>
  <sheetData>
    <row r="5" spans="3:22" x14ac:dyDescent="0.3">
      <c r="D5" s="1"/>
      <c r="E5" s="1"/>
      <c r="G5" s="1"/>
      <c r="H5" s="74" t="s">
        <v>23</v>
      </c>
      <c r="I5" s="7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2" ht="18" x14ac:dyDescent="0.3">
      <c r="D6" s="32" t="s">
        <v>25</v>
      </c>
      <c r="E6" s="1"/>
      <c r="G6" s="1"/>
      <c r="H6" s="19" t="s">
        <v>34</v>
      </c>
      <c r="I6" s="14" t="s">
        <v>9</v>
      </c>
      <c r="J6" s="14" t="s">
        <v>10</v>
      </c>
      <c r="K6" s="14" t="s">
        <v>11</v>
      </c>
      <c r="L6" s="14" t="s">
        <v>12</v>
      </c>
      <c r="M6" s="14" t="s">
        <v>13</v>
      </c>
      <c r="N6" s="14" t="s">
        <v>14</v>
      </c>
      <c r="O6" s="14" t="s">
        <v>15</v>
      </c>
      <c r="P6" s="14" t="s">
        <v>16</v>
      </c>
      <c r="Q6" s="14" t="s">
        <v>17</v>
      </c>
      <c r="R6" s="14" t="s">
        <v>18</v>
      </c>
      <c r="S6" s="14" t="s">
        <v>19</v>
      </c>
      <c r="T6" s="14" t="s">
        <v>20</v>
      </c>
      <c r="U6" s="12" t="s">
        <v>21</v>
      </c>
      <c r="V6" s="12" t="s">
        <v>22</v>
      </c>
    </row>
    <row r="7" spans="3:22" ht="18.600000000000001" thickBot="1" x14ac:dyDescent="0.35">
      <c r="D7" s="1"/>
      <c r="E7" s="1"/>
      <c r="G7" s="1">
        <v>1</v>
      </c>
      <c r="H7" s="18">
        <f>IF(G7&lt;=$E$23,G7,G7-$E$23)</f>
        <v>1</v>
      </c>
      <c r="I7" s="33">
        <f>$E$8*$E$14</f>
        <v>200</v>
      </c>
      <c r="J7" s="33">
        <f>I7+$E$8*$E$14</f>
        <v>400</v>
      </c>
      <c r="K7" s="33">
        <f t="shared" ref="K7:T7" si="0">J7+$E$8*$E$14</f>
        <v>600</v>
      </c>
      <c r="L7" s="33">
        <f t="shared" si="0"/>
        <v>800</v>
      </c>
      <c r="M7" s="33">
        <f t="shared" si="0"/>
        <v>1000</v>
      </c>
      <c r="N7" s="33">
        <f t="shared" si="0"/>
        <v>1200</v>
      </c>
      <c r="O7" s="33">
        <f t="shared" si="0"/>
        <v>1400</v>
      </c>
      <c r="P7" s="33">
        <f t="shared" si="0"/>
        <v>1600</v>
      </c>
      <c r="Q7" s="33">
        <f t="shared" si="0"/>
        <v>1800</v>
      </c>
      <c r="R7" s="33">
        <f t="shared" si="0"/>
        <v>2000</v>
      </c>
      <c r="S7" s="33">
        <f>R7+$E$8*$E$14</f>
        <v>2200</v>
      </c>
      <c r="T7" s="33">
        <f t="shared" si="0"/>
        <v>2400</v>
      </c>
      <c r="U7" s="33">
        <f>IF(G7&lt;$E$23,$T$7,U7)</f>
        <v>2400</v>
      </c>
      <c r="V7" s="33">
        <f>IF(G7&lt;=$E$23,U7+U7*$E$15,U7+U7*$E$15)</f>
        <v>2592</v>
      </c>
    </row>
    <row r="8" spans="3:22" ht="26.4" thickBot="1" x14ac:dyDescent="0.55000000000000004">
      <c r="C8" s="7" t="s">
        <v>26</v>
      </c>
      <c r="D8" s="10" t="s">
        <v>1</v>
      </c>
      <c r="E8" s="11">
        <v>2000</v>
      </c>
      <c r="G8" s="1">
        <v>2</v>
      </c>
      <c r="H8" s="18">
        <f>IF(G8&lt;=$E$23,G8,G8-$E$23)</f>
        <v>2</v>
      </c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>
        <f>IF(G7&lt;$E$23,$T$7+V7,V7)</f>
        <v>4992</v>
      </c>
      <c r="V8" s="33">
        <f>IF(G7&lt;=$E$23,U8+U8*$E$15,U8+U8*$E$15)</f>
        <v>5391.36</v>
      </c>
    </row>
    <row r="9" spans="3:22" ht="18.600000000000001" thickBot="1" x14ac:dyDescent="0.35">
      <c r="D9" s="9" t="s">
        <v>2</v>
      </c>
      <c r="E9" s="9">
        <v>12</v>
      </c>
      <c r="G9" s="1">
        <v>3</v>
      </c>
      <c r="H9" s="18">
        <f t="shared" ref="H9:H53" si="1">IF(G9&lt;=$E$23,G9,G9-$E$23)</f>
        <v>3</v>
      </c>
      <c r="I9" s="33"/>
      <c r="J9" s="33"/>
      <c r="K9" s="33"/>
      <c r="L9" s="34"/>
      <c r="M9" s="33"/>
      <c r="N9" s="33"/>
      <c r="O9" s="33"/>
      <c r="P9" s="33"/>
      <c r="Q9" s="33"/>
      <c r="R9" s="33"/>
      <c r="S9" s="33"/>
      <c r="T9" s="33"/>
      <c r="U9" s="33">
        <f t="shared" ref="U9:U53" si="2">IF(G8&lt;$E$23,$T$7+V8,V8)</f>
        <v>7791.36</v>
      </c>
      <c r="V9" s="33">
        <f t="shared" ref="V9:V53" si="3">IF(G8&lt;=$E$23,U9+U9*$E$15,U9+U9*$E$15)</f>
        <v>8414.6687999999995</v>
      </c>
    </row>
    <row r="10" spans="3:22" ht="19.2" thickTop="1" thickBot="1" x14ac:dyDescent="0.35">
      <c r="D10" s="1" t="s">
        <v>3</v>
      </c>
      <c r="E10" s="1">
        <f>E8*E9</f>
        <v>24000</v>
      </c>
      <c r="G10" s="1">
        <v>4</v>
      </c>
      <c r="H10" s="18">
        <f t="shared" si="1"/>
        <v>4</v>
      </c>
      <c r="I10" s="33"/>
      <c r="J10" s="33"/>
      <c r="K10" s="33"/>
      <c r="L10" s="34"/>
      <c r="M10" s="33"/>
      <c r="N10" s="33"/>
      <c r="O10" s="33"/>
      <c r="P10" s="33"/>
      <c r="Q10" s="33"/>
      <c r="R10" s="33"/>
      <c r="S10" s="33"/>
      <c r="T10" s="33"/>
      <c r="U10" s="33">
        <f t="shared" si="2"/>
        <v>10814.668799999999</v>
      </c>
      <c r="V10" s="33">
        <f t="shared" si="3"/>
        <v>11679.842304</v>
      </c>
    </row>
    <row r="11" spans="3:22" ht="26.4" thickBot="1" x14ac:dyDescent="0.55000000000000004">
      <c r="C11" s="7" t="s">
        <v>26</v>
      </c>
      <c r="D11" s="10" t="s">
        <v>30</v>
      </c>
      <c r="E11" s="11">
        <v>18</v>
      </c>
      <c r="G11" s="1">
        <v>5</v>
      </c>
      <c r="H11" s="18">
        <f t="shared" si="1"/>
        <v>5</v>
      </c>
      <c r="I11" s="33"/>
      <c r="J11" s="33"/>
      <c r="K11" s="33"/>
      <c r="L11" s="34"/>
      <c r="M11" s="33"/>
      <c r="N11" s="33"/>
      <c r="O11" s="33"/>
      <c r="P11" s="33"/>
      <c r="Q11" s="33"/>
      <c r="R11" s="33"/>
      <c r="S11" s="33"/>
      <c r="T11" s="33"/>
      <c r="U11" s="33">
        <f t="shared" si="2"/>
        <v>14079.842304</v>
      </c>
      <c r="V11" s="33">
        <f t="shared" si="3"/>
        <v>15206.22968832</v>
      </c>
    </row>
    <row r="12" spans="3:22" ht="18" x14ac:dyDescent="0.3">
      <c r="D12" s="16" t="s">
        <v>32</v>
      </c>
      <c r="E12" s="16">
        <v>65</v>
      </c>
      <c r="G12" s="1">
        <v>6</v>
      </c>
      <c r="H12" s="18">
        <f t="shared" si="1"/>
        <v>6</v>
      </c>
      <c r="I12" s="33"/>
      <c r="J12" s="33"/>
      <c r="K12" s="33"/>
      <c r="L12" s="34"/>
      <c r="M12" s="33"/>
      <c r="N12" s="33"/>
      <c r="O12" s="33"/>
      <c r="P12" s="33"/>
      <c r="Q12" s="33"/>
      <c r="R12" s="33"/>
      <c r="S12" s="33"/>
      <c r="T12" s="33"/>
      <c r="U12" s="33">
        <f t="shared" si="2"/>
        <v>17606.22968832</v>
      </c>
      <c r="V12" s="33">
        <f t="shared" si="3"/>
        <v>19014.728063385599</v>
      </c>
    </row>
    <row r="13" spans="3:22" ht="18" x14ac:dyDescent="0.3">
      <c r="D13" s="16"/>
      <c r="E13" s="1"/>
      <c r="G13" s="1">
        <v>7</v>
      </c>
      <c r="H13" s="18">
        <f t="shared" si="1"/>
        <v>7</v>
      </c>
      <c r="I13" s="33"/>
      <c r="J13" s="33"/>
      <c r="K13" s="33"/>
      <c r="L13" s="34"/>
      <c r="M13" s="33"/>
      <c r="N13" s="33"/>
      <c r="O13" s="33"/>
      <c r="P13" s="33"/>
      <c r="Q13" s="33"/>
      <c r="R13" s="33"/>
      <c r="S13" s="33"/>
      <c r="T13" s="33"/>
      <c r="U13" s="33">
        <f t="shared" si="2"/>
        <v>21414.728063385599</v>
      </c>
      <c r="V13" s="33">
        <f t="shared" si="3"/>
        <v>23127.906308456448</v>
      </c>
    </row>
    <row r="14" spans="3:22" ht="18" x14ac:dyDescent="0.3">
      <c r="D14" s="1" t="s">
        <v>8</v>
      </c>
      <c r="E14" s="2">
        <v>0.1</v>
      </c>
      <c r="G14" s="1">
        <v>8</v>
      </c>
      <c r="H14" s="18">
        <f t="shared" si="1"/>
        <v>8</v>
      </c>
      <c r="I14" s="33"/>
      <c r="J14" s="33"/>
      <c r="K14" s="33"/>
      <c r="L14" s="34"/>
      <c r="M14" s="33"/>
      <c r="N14" s="33"/>
      <c r="O14" s="33"/>
      <c r="P14" s="33"/>
      <c r="Q14" s="33"/>
      <c r="R14" s="33"/>
      <c r="S14" s="33"/>
      <c r="T14" s="33"/>
      <c r="U14" s="33">
        <f t="shared" si="2"/>
        <v>25527.906308456448</v>
      </c>
      <c r="V14" s="33">
        <f t="shared" si="3"/>
        <v>27570.138813132962</v>
      </c>
    </row>
    <row r="15" spans="3:22" ht="18" x14ac:dyDescent="0.3">
      <c r="D15" s="1" t="s">
        <v>6</v>
      </c>
      <c r="E15" s="2">
        <v>0.08</v>
      </c>
      <c r="G15" s="1">
        <v>9</v>
      </c>
      <c r="H15" s="18">
        <f t="shared" si="1"/>
        <v>9</v>
      </c>
      <c r="I15" s="33"/>
      <c r="J15" s="33"/>
      <c r="K15" s="33"/>
      <c r="L15" s="34"/>
      <c r="M15" s="33"/>
      <c r="N15" s="33"/>
      <c r="O15" s="33"/>
      <c r="P15" s="33"/>
      <c r="Q15" s="33"/>
      <c r="R15" s="33"/>
      <c r="S15" s="33"/>
      <c r="T15" s="33"/>
      <c r="U15" s="33">
        <f t="shared" si="2"/>
        <v>29970.138813132962</v>
      </c>
      <c r="V15" s="33">
        <f t="shared" si="3"/>
        <v>32367.749918183599</v>
      </c>
    </row>
    <row r="16" spans="3:22" ht="18" x14ac:dyDescent="0.3">
      <c r="G16" s="1">
        <v>10</v>
      </c>
      <c r="H16" s="18">
        <f t="shared" si="1"/>
        <v>10</v>
      </c>
      <c r="I16" s="33"/>
      <c r="J16" s="33"/>
      <c r="K16" s="33"/>
      <c r="L16" s="34"/>
      <c r="M16" s="33"/>
      <c r="N16" s="33"/>
      <c r="O16" s="33"/>
      <c r="P16" s="33"/>
      <c r="Q16" s="33"/>
      <c r="R16" s="33"/>
      <c r="S16" s="33"/>
      <c r="T16" s="33"/>
      <c r="U16" s="33">
        <f t="shared" si="2"/>
        <v>34767.749918183603</v>
      </c>
      <c r="V16" s="33">
        <f t="shared" si="3"/>
        <v>37549.169911638288</v>
      </c>
    </row>
    <row r="17" spans="2:22" ht="18" x14ac:dyDescent="0.3">
      <c r="G17" s="1">
        <v>11</v>
      </c>
      <c r="H17" s="18">
        <f t="shared" si="1"/>
        <v>11</v>
      </c>
      <c r="I17" s="33"/>
      <c r="J17" s="33"/>
      <c r="K17" s="33"/>
      <c r="L17" s="34"/>
      <c r="M17" s="33"/>
      <c r="N17" s="33"/>
      <c r="O17" s="33"/>
      <c r="P17" s="33"/>
      <c r="Q17" s="33"/>
      <c r="R17" s="33"/>
      <c r="S17" s="33"/>
      <c r="T17" s="33"/>
      <c r="U17" s="33">
        <f t="shared" si="2"/>
        <v>39949.169911638288</v>
      </c>
      <c r="V17" s="33">
        <f t="shared" si="3"/>
        <v>43145.10350456935</v>
      </c>
    </row>
    <row r="18" spans="2:22" ht="18.600000000000001" thickBot="1" x14ac:dyDescent="0.35">
      <c r="G18" s="1">
        <v>12</v>
      </c>
      <c r="H18" s="18">
        <f t="shared" si="1"/>
        <v>12</v>
      </c>
      <c r="I18" s="33"/>
      <c r="J18" s="33"/>
      <c r="K18" s="33"/>
      <c r="L18" s="34"/>
      <c r="M18" s="33"/>
      <c r="N18" s="33"/>
      <c r="O18" s="33"/>
      <c r="P18" s="33"/>
      <c r="Q18" s="33"/>
      <c r="R18" s="33"/>
      <c r="S18" s="33"/>
      <c r="T18" s="33"/>
      <c r="U18" s="33">
        <f t="shared" si="2"/>
        <v>45545.10350456935</v>
      </c>
      <c r="V18" s="33">
        <f t="shared" si="3"/>
        <v>49188.711784934902</v>
      </c>
    </row>
    <row r="19" spans="2:22" ht="26.4" thickBot="1" x14ac:dyDescent="0.55000000000000004">
      <c r="C19" s="7" t="s">
        <v>44</v>
      </c>
      <c r="D19" s="8" t="s">
        <v>28</v>
      </c>
      <c r="G19" s="1">
        <v>13</v>
      </c>
      <c r="H19" s="18">
        <f t="shared" si="1"/>
        <v>13</v>
      </c>
      <c r="I19" s="33"/>
      <c r="J19" s="33"/>
      <c r="K19" s="33"/>
      <c r="L19" s="34"/>
      <c r="M19" s="33"/>
      <c r="N19" s="33"/>
      <c r="O19" s="33"/>
      <c r="P19" s="33"/>
      <c r="Q19" s="33"/>
      <c r="R19" s="33"/>
      <c r="S19" s="33"/>
      <c r="T19" s="33"/>
      <c r="U19" s="33">
        <f t="shared" si="2"/>
        <v>51588.711784934902</v>
      </c>
      <c r="V19" s="33">
        <f t="shared" si="3"/>
        <v>55715.808727729695</v>
      </c>
    </row>
    <row r="20" spans="2:22" ht="18" x14ac:dyDescent="0.3">
      <c r="G20" s="1">
        <v>14</v>
      </c>
      <c r="H20" s="18">
        <f t="shared" si="1"/>
        <v>14</v>
      </c>
      <c r="I20" s="33"/>
      <c r="J20" s="33"/>
      <c r="K20" s="33"/>
      <c r="L20" s="34"/>
      <c r="M20" s="33"/>
      <c r="N20" s="33"/>
      <c r="O20" s="33"/>
      <c r="P20" s="33"/>
      <c r="Q20" s="33"/>
      <c r="R20" s="33"/>
      <c r="S20" s="33"/>
      <c r="T20" s="33"/>
      <c r="U20" s="33">
        <f t="shared" si="2"/>
        <v>58115.808727729695</v>
      </c>
      <c r="V20" s="33">
        <f t="shared" si="3"/>
        <v>62765.073425948067</v>
      </c>
    </row>
    <row r="21" spans="2:22" ht="18" x14ac:dyDescent="0.3">
      <c r="G21" s="1">
        <v>15</v>
      </c>
      <c r="H21" s="18">
        <f t="shared" si="1"/>
        <v>15</v>
      </c>
      <c r="I21" s="33"/>
      <c r="J21" s="33"/>
      <c r="K21" s="33"/>
      <c r="L21" s="34"/>
      <c r="M21" s="33"/>
      <c r="N21" s="33"/>
      <c r="O21" s="33"/>
      <c r="P21" s="33"/>
      <c r="Q21" s="33"/>
      <c r="R21" s="33"/>
      <c r="S21" s="33"/>
      <c r="T21" s="33"/>
      <c r="U21" s="33">
        <f t="shared" si="2"/>
        <v>65165.073425948067</v>
      </c>
      <c r="V21" s="33">
        <f t="shared" si="3"/>
        <v>70378.279300023918</v>
      </c>
    </row>
    <row r="22" spans="2:22" ht="18.600000000000001" thickBot="1" x14ac:dyDescent="0.35">
      <c r="B22" s="25"/>
      <c r="C22" s="25"/>
      <c r="D22" s="25"/>
      <c r="E22" s="25"/>
      <c r="G22" s="1">
        <v>16</v>
      </c>
      <c r="H22" s="18">
        <f>IF(G22&lt;=$E$23,G22,G22-$E$23)</f>
        <v>16</v>
      </c>
      <c r="I22" s="33"/>
      <c r="J22" s="33"/>
      <c r="K22" s="33"/>
      <c r="L22" s="34"/>
      <c r="M22" s="33"/>
      <c r="N22" s="33"/>
      <c r="O22" s="33"/>
      <c r="P22" s="33"/>
      <c r="Q22" s="33"/>
      <c r="R22" s="33"/>
      <c r="S22" s="33"/>
      <c r="T22" s="33"/>
      <c r="U22" s="33">
        <f t="shared" si="2"/>
        <v>72778.279300023918</v>
      </c>
      <c r="V22" s="33">
        <f t="shared" si="3"/>
        <v>78600.541644025827</v>
      </c>
    </row>
    <row r="23" spans="2:22" ht="26.4" thickBot="1" x14ac:dyDescent="0.55000000000000004">
      <c r="B23" s="25"/>
      <c r="C23" s="7" t="s">
        <v>26</v>
      </c>
      <c r="D23" s="10" t="s">
        <v>41</v>
      </c>
      <c r="E23" s="11">
        <v>30</v>
      </c>
      <c r="G23" s="1">
        <v>17</v>
      </c>
      <c r="H23" s="18">
        <f t="shared" si="1"/>
        <v>17</v>
      </c>
      <c r="I23" s="33"/>
      <c r="J23" s="33"/>
      <c r="K23" s="33"/>
      <c r="L23" s="34"/>
      <c r="M23" s="33"/>
      <c r="N23" s="33"/>
      <c r="O23" s="33"/>
      <c r="P23" s="33"/>
      <c r="Q23" s="33"/>
      <c r="R23" s="33"/>
      <c r="S23" s="33"/>
      <c r="T23" s="33"/>
      <c r="U23" s="33">
        <f t="shared" si="2"/>
        <v>81000.541644025827</v>
      </c>
      <c r="V23" s="33">
        <f t="shared" si="3"/>
        <v>87480.584975547899</v>
      </c>
    </row>
    <row r="24" spans="2:22" ht="25.8" x14ac:dyDescent="0.5">
      <c r="B24" s="25"/>
      <c r="C24" s="17"/>
      <c r="D24" s="31" t="s">
        <v>42</v>
      </c>
      <c r="E24" s="31">
        <f>E11+E23</f>
        <v>48</v>
      </c>
      <c r="G24" s="1">
        <v>18</v>
      </c>
      <c r="H24" s="18">
        <f t="shared" si="1"/>
        <v>18</v>
      </c>
      <c r="I24" s="33"/>
      <c r="J24" s="33"/>
      <c r="K24" s="33"/>
      <c r="L24" s="34"/>
      <c r="M24" s="33"/>
      <c r="N24" s="33"/>
      <c r="O24" s="33"/>
      <c r="P24" s="33"/>
      <c r="Q24" s="33"/>
      <c r="R24" s="33"/>
      <c r="S24" s="33"/>
      <c r="T24" s="33"/>
      <c r="U24" s="33">
        <f t="shared" si="2"/>
        <v>89880.584975547899</v>
      </c>
      <c r="V24" s="33">
        <f t="shared" si="3"/>
        <v>97071.031773591734</v>
      </c>
    </row>
    <row r="25" spans="2:22" ht="18" x14ac:dyDescent="0.3">
      <c r="B25" s="25"/>
      <c r="C25" s="25"/>
      <c r="D25" s="25"/>
      <c r="E25" s="25"/>
      <c r="G25" s="1">
        <v>19</v>
      </c>
      <c r="H25" s="18">
        <f t="shared" si="1"/>
        <v>19</v>
      </c>
      <c r="I25" s="33"/>
      <c r="J25" s="33"/>
      <c r="K25" s="33"/>
      <c r="L25" s="34"/>
      <c r="M25" s="33"/>
      <c r="N25" s="33"/>
      <c r="O25" s="33"/>
      <c r="P25" s="33"/>
      <c r="Q25" s="33"/>
      <c r="R25" s="33"/>
      <c r="S25" s="33"/>
      <c r="T25" s="33"/>
      <c r="U25" s="33">
        <f t="shared" si="2"/>
        <v>99471.031773591734</v>
      </c>
      <c r="V25" s="33">
        <f t="shared" si="3"/>
        <v>107428.71431547907</v>
      </c>
    </row>
    <row r="26" spans="2:22" ht="18" x14ac:dyDescent="0.3">
      <c r="B26" s="25"/>
      <c r="C26" s="25"/>
      <c r="D26" s="31" t="s">
        <v>43</v>
      </c>
      <c r="E26" s="31">
        <f>E12-E24</f>
        <v>17</v>
      </c>
      <c r="G26" s="1">
        <v>20</v>
      </c>
      <c r="H26" s="18">
        <f t="shared" si="1"/>
        <v>20</v>
      </c>
      <c r="I26" s="33"/>
      <c r="J26" s="33"/>
      <c r="K26" s="33"/>
      <c r="L26" s="34"/>
      <c r="M26" s="33"/>
      <c r="N26" s="33"/>
      <c r="O26" s="33"/>
      <c r="P26" s="33"/>
      <c r="Q26" s="33"/>
      <c r="R26" s="33"/>
      <c r="S26" s="33"/>
      <c r="T26" s="33"/>
      <c r="U26" s="33">
        <f t="shared" si="2"/>
        <v>109828.71431547907</v>
      </c>
      <c r="V26" s="33">
        <f t="shared" si="3"/>
        <v>118615.01146071739</v>
      </c>
    </row>
    <row r="27" spans="2:22" ht="18" x14ac:dyDescent="0.3">
      <c r="G27" s="1">
        <v>21</v>
      </c>
      <c r="H27" s="18">
        <f>IF(G27&lt;=$E$23,G27,G27-$E$23)</f>
        <v>21</v>
      </c>
      <c r="I27" s="33"/>
      <c r="J27" s="33"/>
      <c r="K27" s="33"/>
      <c r="L27" s="34"/>
      <c r="M27" s="33"/>
      <c r="N27" s="33"/>
      <c r="O27" s="33"/>
      <c r="P27" s="33"/>
      <c r="Q27" s="33"/>
      <c r="R27" s="33"/>
      <c r="S27" s="33"/>
      <c r="T27" s="33"/>
      <c r="U27" s="33">
        <f t="shared" si="2"/>
        <v>121015.01146071739</v>
      </c>
      <c r="V27" s="33">
        <f t="shared" si="3"/>
        <v>130696.21237757478</v>
      </c>
    </row>
    <row r="28" spans="2:22" ht="18" x14ac:dyDescent="0.3">
      <c r="G28" s="1">
        <v>22</v>
      </c>
      <c r="H28" s="18">
        <f t="shared" si="1"/>
        <v>22</v>
      </c>
      <c r="I28" s="33"/>
      <c r="J28" s="33"/>
      <c r="K28" s="33"/>
      <c r="L28" s="34"/>
      <c r="M28" s="33"/>
      <c r="N28" s="33"/>
      <c r="O28" s="33"/>
      <c r="P28" s="33"/>
      <c r="Q28" s="33"/>
      <c r="R28" s="33"/>
      <c r="S28" s="33"/>
      <c r="T28" s="33"/>
      <c r="U28" s="33">
        <f t="shared" si="2"/>
        <v>133096.21237757476</v>
      </c>
      <c r="V28" s="33">
        <f t="shared" si="3"/>
        <v>143743.90936778075</v>
      </c>
    </row>
    <row r="29" spans="2:22" ht="18" x14ac:dyDescent="0.3">
      <c r="C29" s="18"/>
      <c r="D29" s="1" t="s">
        <v>45</v>
      </c>
      <c r="G29" s="1">
        <v>23</v>
      </c>
      <c r="H29" s="18">
        <f t="shared" si="1"/>
        <v>23</v>
      </c>
      <c r="I29" s="33"/>
      <c r="J29" s="33"/>
      <c r="K29" s="33"/>
      <c r="L29" s="34"/>
      <c r="M29" s="33"/>
      <c r="N29" s="33"/>
      <c r="O29" s="33"/>
      <c r="P29" s="33"/>
      <c r="Q29" s="33"/>
      <c r="R29" s="33"/>
      <c r="S29" s="33"/>
      <c r="T29" s="33"/>
      <c r="U29" s="33">
        <f t="shared" si="2"/>
        <v>146143.90936778075</v>
      </c>
      <c r="V29" s="33">
        <f t="shared" si="3"/>
        <v>157835.42211720321</v>
      </c>
    </row>
    <row r="30" spans="2:22" ht="18" x14ac:dyDescent="0.3">
      <c r="C30" s="38"/>
      <c r="D30" s="1" t="s">
        <v>46</v>
      </c>
      <c r="G30" s="1">
        <v>24</v>
      </c>
      <c r="H30" s="18">
        <f t="shared" si="1"/>
        <v>24</v>
      </c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>
        <f t="shared" si="2"/>
        <v>160235.42211720321</v>
      </c>
      <c r="V30" s="33">
        <f t="shared" si="3"/>
        <v>173054.25588657946</v>
      </c>
    </row>
    <row r="31" spans="2:22" ht="18" x14ac:dyDescent="0.3">
      <c r="G31" s="1">
        <v>25</v>
      </c>
      <c r="H31" s="18">
        <f t="shared" si="1"/>
        <v>25</v>
      </c>
      <c r="I31" s="33"/>
      <c r="J31" s="33"/>
      <c r="K31" s="33"/>
      <c r="L31" s="34"/>
      <c r="M31" s="33"/>
      <c r="N31" s="33"/>
      <c r="O31" s="33"/>
      <c r="P31" s="33"/>
      <c r="Q31" s="33"/>
      <c r="R31" s="33"/>
      <c r="S31" s="33"/>
      <c r="T31" s="33"/>
      <c r="U31" s="33">
        <f t="shared" si="2"/>
        <v>175454.25588657946</v>
      </c>
      <c r="V31" s="33">
        <f t="shared" si="3"/>
        <v>189490.59635750583</v>
      </c>
    </row>
    <row r="32" spans="2:22" ht="18" x14ac:dyDescent="0.3">
      <c r="G32" s="1">
        <v>26</v>
      </c>
      <c r="H32" s="18">
        <f t="shared" si="1"/>
        <v>26</v>
      </c>
      <c r="I32" s="33"/>
      <c r="J32" s="33"/>
      <c r="K32" s="33"/>
      <c r="L32" s="34"/>
      <c r="M32" s="33"/>
      <c r="N32" s="33"/>
      <c r="O32" s="33"/>
      <c r="P32" s="33"/>
      <c r="Q32" s="33"/>
      <c r="R32" s="33"/>
      <c r="S32" s="33"/>
      <c r="T32" s="33"/>
      <c r="U32" s="33">
        <f t="shared" si="2"/>
        <v>191890.59635750583</v>
      </c>
      <c r="V32" s="33">
        <f t="shared" si="3"/>
        <v>207241.84406610631</v>
      </c>
    </row>
    <row r="33" spans="3:22" ht="18" x14ac:dyDescent="0.3">
      <c r="C33" s="76" t="s">
        <v>53</v>
      </c>
      <c r="D33" s="76"/>
      <c r="E33" s="76"/>
      <c r="G33" s="1">
        <v>27</v>
      </c>
      <c r="H33" s="18">
        <f t="shared" si="1"/>
        <v>27</v>
      </c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>
        <f t="shared" si="2"/>
        <v>209641.84406610631</v>
      </c>
      <c r="V33" s="33">
        <f t="shared" si="3"/>
        <v>226413.1915913948</v>
      </c>
    </row>
    <row r="34" spans="3:22" ht="18" x14ac:dyDescent="0.3">
      <c r="D34" s="37"/>
      <c r="G34" s="1">
        <v>28</v>
      </c>
      <c r="H34" s="18">
        <f t="shared" si="1"/>
        <v>28</v>
      </c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>
        <f t="shared" si="2"/>
        <v>228813.1915913948</v>
      </c>
      <c r="V34" s="33">
        <f t="shared" si="3"/>
        <v>247118.2469187064</v>
      </c>
    </row>
    <row r="35" spans="3:22" ht="18" x14ac:dyDescent="0.3">
      <c r="D35" s="37"/>
      <c r="G35" s="1">
        <v>29</v>
      </c>
      <c r="H35" s="18">
        <f t="shared" si="1"/>
        <v>29</v>
      </c>
      <c r="I35" s="33"/>
      <c r="J35" s="33"/>
      <c r="K35" s="33"/>
      <c r="L35" s="34"/>
      <c r="M35" s="33"/>
      <c r="N35" s="33"/>
      <c r="O35" s="33"/>
      <c r="P35" s="33"/>
      <c r="Q35" s="33"/>
      <c r="R35" s="33"/>
      <c r="S35" s="33"/>
      <c r="T35" s="33"/>
      <c r="U35" s="33">
        <f t="shared" si="2"/>
        <v>249518.2469187064</v>
      </c>
      <c r="V35" s="33">
        <f t="shared" si="3"/>
        <v>269479.70667220291</v>
      </c>
    </row>
    <row r="36" spans="3:22" ht="18" x14ac:dyDescent="0.3">
      <c r="D36" s="37"/>
      <c r="G36" s="1">
        <v>30</v>
      </c>
      <c r="H36" s="18">
        <f t="shared" si="1"/>
        <v>30</v>
      </c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>
        <f t="shared" si="2"/>
        <v>271879.70667220291</v>
      </c>
      <c r="V36" s="33">
        <f t="shared" si="3"/>
        <v>293630.08320597914</v>
      </c>
    </row>
    <row r="37" spans="3:22" ht="18" x14ac:dyDescent="0.3">
      <c r="D37" s="37"/>
      <c r="G37" s="1">
        <v>31</v>
      </c>
      <c r="H37" s="18">
        <f t="shared" si="1"/>
        <v>1</v>
      </c>
      <c r="I37" s="33"/>
      <c r="J37" s="33"/>
      <c r="K37" s="33"/>
      <c r="L37" s="34"/>
      <c r="M37" s="33"/>
      <c r="N37" s="33"/>
      <c r="O37" s="33"/>
      <c r="P37" s="33"/>
      <c r="Q37" s="33"/>
      <c r="R37" s="33"/>
      <c r="S37" s="33"/>
      <c r="T37" s="33"/>
      <c r="U37" s="33">
        <f t="shared" si="2"/>
        <v>293630.08320597914</v>
      </c>
      <c r="V37" s="33">
        <f t="shared" si="3"/>
        <v>317120.4898624575</v>
      </c>
    </row>
    <row r="38" spans="3:22" ht="18" x14ac:dyDescent="0.3">
      <c r="D38" s="37"/>
      <c r="G38" s="1">
        <v>32</v>
      </c>
      <c r="H38" s="18">
        <f t="shared" si="1"/>
        <v>2</v>
      </c>
      <c r="I38" s="33"/>
      <c r="J38" s="33"/>
      <c r="K38" s="33"/>
      <c r="L38" s="34"/>
      <c r="M38" s="33"/>
      <c r="N38" s="33"/>
      <c r="O38" s="33"/>
      <c r="P38" s="33"/>
      <c r="Q38" s="33"/>
      <c r="R38" s="33"/>
      <c r="S38" s="33"/>
      <c r="T38" s="33"/>
      <c r="U38" s="33">
        <f t="shared" si="2"/>
        <v>317120.4898624575</v>
      </c>
      <c r="V38" s="33">
        <f t="shared" si="3"/>
        <v>342490.12905145407</v>
      </c>
    </row>
    <row r="39" spans="3:22" ht="18" x14ac:dyDescent="0.3">
      <c r="D39" s="37"/>
      <c r="G39" s="1">
        <v>33</v>
      </c>
      <c r="H39" s="18">
        <f t="shared" si="1"/>
        <v>3</v>
      </c>
      <c r="I39" s="33"/>
      <c r="J39" s="33"/>
      <c r="K39" s="33"/>
      <c r="L39" s="34"/>
      <c r="M39" s="33"/>
      <c r="N39" s="33"/>
      <c r="O39" s="33"/>
      <c r="P39" s="33"/>
      <c r="Q39" s="33"/>
      <c r="R39" s="33"/>
      <c r="S39" s="33"/>
      <c r="T39" s="33"/>
      <c r="U39" s="33">
        <f t="shared" si="2"/>
        <v>342490.12905145407</v>
      </c>
      <c r="V39" s="33">
        <f t="shared" si="3"/>
        <v>369889.33937557042</v>
      </c>
    </row>
    <row r="40" spans="3:22" ht="18" x14ac:dyDescent="0.3">
      <c r="G40" s="1">
        <v>34</v>
      </c>
      <c r="H40" s="18">
        <f t="shared" si="1"/>
        <v>4</v>
      </c>
      <c r="I40" s="33"/>
      <c r="J40" s="33"/>
      <c r="K40" s="33"/>
      <c r="L40" s="34"/>
      <c r="M40" s="33"/>
      <c r="N40" s="33"/>
      <c r="O40" s="33"/>
      <c r="P40" s="33"/>
      <c r="Q40" s="33"/>
      <c r="R40" s="33"/>
      <c r="S40" s="33"/>
      <c r="T40" s="33"/>
      <c r="U40" s="33">
        <f t="shared" si="2"/>
        <v>369889.33937557042</v>
      </c>
      <c r="V40" s="33">
        <f t="shared" si="3"/>
        <v>399480.48652561603</v>
      </c>
    </row>
    <row r="41" spans="3:22" ht="18" x14ac:dyDescent="0.3">
      <c r="G41" s="1">
        <v>35</v>
      </c>
      <c r="H41" s="18">
        <f t="shared" si="1"/>
        <v>5</v>
      </c>
      <c r="I41" s="33"/>
      <c r="J41" s="33"/>
      <c r="K41" s="33"/>
      <c r="L41" s="34"/>
      <c r="M41" s="33"/>
      <c r="N41" s="33"/>
      <c r="O41" s="33"/>
      <c r="P41" s="33"/>
      <c r="Q41" s="33"/>
      <c r="R41" s="33"/>
      <c r="S41" s="33"/>
      <c r="T41" s="33"/>
      <c r="U41" s="33">
        <f t="shared" si="2"/>
        <v>399480.48652561603</v>
      </c>
      <c r="V41" s="33">
        <f t="shared" si="3"/>
        <v>431438.92544766533</v>
      </c>
    </row>
    <row r="42" spans="3:22" ht="18" x14ac:dyDescent="0.3">
      <c r="G42" s="1">
        <v>36</v>
      </c>
      <c r="H42" s="18">
        <f t="shared" si="1"/>
        <v>6</v>
      </c>
      <c r="I42" s="33"/>
      <c r="J42" s="33"/>
      <c r="K42" s="33"/>
      <c r="L42" s="34"/>
      <c r="M42" s="33"/>
      <c r="N42" s="33"/>
      <c r="O42" s="33"/>
      <c r="P42" s="33"/>
      <c r="Q42" s="33"/>
      <c r="R42" s="33"/>
      <c r="S42" s="33"/>
      <c r="T42" s="33"/>
      <c r="U42" s="33">
        <f t="shared" si="2"/>
        <v>431438.92544766533</v>
      </c>
      <c r="V42" s="33">
        <f t="shared" si="3"/>
        <v>465954.03948347853</v>
      </c>
    </row>
    <row r="43" spans="3:22" ht="18" x14ac:dyDescent="0.3">
      <c r="G43" s="1">
        <v>37</v>
      </c>
      <c r="H43" s="18">
        <f t="shared" si="1"/>
        <v>7</v>
      </c>
      <c r="I43" s="33"/>
      <c r="J43" s="33"/>
      <c r="K43" s="33"/>
      <c r="L43" s="34"/>
      <c r="M43" s="33"/>
      <c r="N43" s="33"/>
      <c r="O43" s="33"/>
      <c r="P43" s="33"/>
      <c r="Q43" s="33"/>
      <c r="R43" s="33"/>
      <c r="S43" s="33"/>
      <c r="T43" s="33"/>
      <c r="U43" s="33">
        <f t="shared" si="2"/>
        <v>465954.03948347853</v>
      </c>
      <c r="V43" s="33">
        <f t="shared" si="3"/>
        <v>503230.36264215683</v>
      </c>
    </row>
    <row r="44" spans="3:22" ht="18" x14ac:dyDescent="0.3">
      <c r="G44" s="1">
        <v>38</v>
      </c>
      <c r="H44" s="18">
        <f t="shared" si="1"/>
        <v>8</v>
      </c>
      <c r="I44" s="33"/>
      <c r="J44" s="33"/>
      <c r="K44" s="33"/>
      <c r="L44" s="34"/>
      <c r="M44" s="33"/>
      <c r="N44" s="33"/>
      <c r="O44" s="33"/>
      <c r="P44" s="33"/>
      <c r="Q44" s="33"/>
      <c r="R44" s="33"/>
      <c r="S44" s="33"/>
      <c r="T44" s="33"/>
      <c r="U44" s="33">
        <f t="shared" si="2"/>
        <v>503230.36264215683</v>
      </c>
      <c r="V44" s="33">
        <f t="shared" si="3"/>
        <v>543488.79165352939</v>
      </c>
    </row>
    <row r="45" spans="3:22" ht="18" x14ac:dyDescent="0.3">
      <c r="G45" s="1">
        <v>39</v>
      </c>
      <c r="H45" s="18">
        <f t="shared" si="1"/>
        <v>9</v>
      </c>
      <c r="I45" s="33"/>
      <c r="J45" s="33"/>
      <c r="K45" s="33"/>
      <c r="L45" s="34"/>
      <c r="M45" s="33"/>
      <c r="N45" s="33"/>
      <c r="O45" s="33"/>
      <c r="P45" s="33"/>
      <c r="Q45" s="33"/>
      <c r="R45" s="33"/>
      <c r="S45" s="33"/>
      <c r="T45" s="33"/>
      <c r="U45" s="33">
        <f t="shared" si="2"/>
        <v>543488.79165352939</v>
      </c>
      <c r="V45" s="33">
        <f t="shared" si="3"/>
        <v>586967.89498581178</v>
      </c>
    </row>
    <row r="46" spans="3:22" ht="18" x14ac:dyDescent="0.3">
      <c r="G46" s="1">
        <v>40</v>
      </c>
      <c r="H46" s="18">
        <f t="shared" si="1"/>
        <v>10</v>
      </c>
      <c r="I46" s="33"/>
      <c r="J46" s="33"/>
      <c r="K46" s="33"/>
      <c r="L46" s="34"/>
      <c r="M46" s="33"/>
      <c r="N46" s="33"/>
      <c r="O46" s="33"/>
      <c r="P46" s="33"/>
      <c r="Q46" s="33"/>
      <c r="R46" s="33"/>
      <c r="S46" s="33"/>
      <c r="T46" s="33"/>
      <c r="U46" s="33">
        <f t="shared" si="2"/>
        <v>586967.89498581178</v>
      </c>
      <c r="V46" s="33">
        <f t="shared" si="3"/>
        <v>633925.32658467675</v>
      </c>
    </row>
    <row r="47" spans="3:22" ht="18" x14ac:dyDescent="0.3">
      <c r="G47" s="1">
        <v>41</v>
      </c>
      <c r="H47" s="18">
        <f t="shared" si="1"/>
        <v>11</v>
      </c>
      <c r="I47" s="33"/>
      <c r="J47" s="33"/>
      <c r="K47" s="33"/>
      <c r="L47" s="34"/>
      <c r="M47" s="33"/>
      <c r="N47" s="33"/>
      <c r="O47" s="33"/>
      <c r="P47" s="33"/>
      <c r="Q47" s="33"/>
      <c r="R47" s="33"/>
      <c r="S47" s="33"/>
      <c r="T47" s="33"/>
      <c r="U47" s="33">
        <f t="shared" si="2"/>
        <v>633925.32658467675</v>
      </c>
      <c r="V47" s="33">
        <f t="shared" si="3"/>
        <v>684639.35271145089</v>
      </c>
    </row>
    <row r="48" spans="3:22" ht="18" x14ac:dyDescent="0.3">
      <c r="G48" s="1">
        <v>42</v>
      </c>
      <c r="H48" s="18">
        <f t="shared" si="1"/>
        <v>12</v>
      </c>
      <c r="I48" s="33"/>
      <c r="J48" s="33"/>
      <c r="K48" s="33"/>
      <c r="L48" s="34"/>
      <c r="M48" s="33"/>
      <c r="N48" s="33"/>
      <c r="O48" s="33"/>
      <c r="P48" s="33"/>
      <c r="Q48" s="33"/>
      <c r="R48" s="33"/>
      <c r="S48" s="33"/>
      <c r="T48" s="33"/>
      <c r="U48" s="33">
        <f t="shared" si="2"/>
        <v>684639.35271145089</v>
      </c>
      <c r="V48" s="33">
        <f t="shared" si="3"/>
        <v>739410.50092836702</v>
      </c>
    </row>
    <row r="49" spans="7:22" ht="18" x14ac:dyDescent="0.3">
      <c r="G49" s="1">
        <v>43</v>
      </c>
      <c r="H49" s="18">
        <f t="shared" si="1"/>
        <v>13</v>
      </c>
      <c r="I49" s="33"/>
      <c r="J49" s="33"/>
      <c r="K49" s="33"/>
      <c r="L49" s="34"/>
      <c r="M49" s="33"/>
      <c r="N49" s="33"/>
      <c r="O49" s="33"/>
      <c r="P49" s="33"/>
      <c r="Q49" s="33"/>
      <c r="R49" s="33"/>
      <c r="S49" s="33"/>
      <c r="T49" s="33"/>
      <c r="U49" s="33">
        <f t="shared" si="2"/>
        <v>739410.50092836702</v>
      </c>
      <c r="V49" s="33">
        <f t="shared" si="3"/>
        <v>798563.34100263636</v>
      </c>
    </row>
    <row r="50" spans="7:22" ht="18" x14ac:dyDescent="0.3">
      <c r="G50" s="1">
        <v>44</v>
      </c>
      <c r="H50" s="18">
        <f t="shared" si="1"/>
        <v>14</v>
      </c>
      <c r="I50" s="33"/>
      <c r="J50" s="33"/>
      <c r="K50" s="33"/>
      <c r="L50" s="34"/>
      <c r="M50" s="33"/>
      <c r="N50" s="33"/>
      <c r="O50" s="33"/>
      <c r="P50" s="33"/>
      <c r="Q50" s="33"/>
      <c r="R50" s="33"/>
      <c r="S50" s="33"/>
      <c r="T50" s="33"/>
      <c r="U50" s="33">
        <f t="shared" si="2"/>
        <v>798563.34100263636</v>
      </c>
      <c r="V50" s="33">
        <f t="shared" si="3"/>
        <v>862448.40828284726</v>
      </c>
    </row>
    <row r="51" spans="7:22" ht="18" x14ac:dyDescent="0.3">
      <c r="G51" s="1">
        <v>45</v>
      </c>
      <c r="H51" s="18">
        <f t="shared" si="1"/>
        <v>15</v>
      </c>
      <c r="I51" s="33"/>
      <c r="J51" s="33"/>
      <c r="K51" s="33"/>
      <c r="L51" s="34"/>
      <c r="M51" s="33"/>
      <c r="N51" s="33"/>
      <c r="O51" s="33"/>
      <c r="P51" s="33"/>
      <c r="Q51" s="33"/>
      <c r="R51" s="33"/>
      <c r="S51" s="33"/>
      <c r="T51" s="33"/>
      <c r="U51" s="33">
        <f t="shared" si="2"/>
        <v>862448.40828284726</v>
      </c>
      <c r="V51" s="33">
        <f t="shared" si="3"/>
        <v>931444.28094547498</v>
      </c>
    </row>
    <row r="52" spans="7:22" ht="18" x14ac:dyDescent="0.3">
      <c r="G52" s="1">
        <v>46</v>
      </c>
      <c r="H52" s="18">
        <f t="shared" si="1"/>
        <v>16</v>
      </c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3"/>
      <c r="U52" s="33">
        <f t="shared" si="2"/>
        <v>931444.28094547498</v>
      </c>
      <c r="V52" s="33">
        <f t="shared" si="3"/>
        <v>1005959.823421113</v>
      </c>
    </row>
    <row r="53" spans="7:22" ht="18.600000000000001" thickBot="1" x14ac:dyDescent="0.35">
      <c r="G53" s="1">
        <v>47</v>
      </c>
      <c r="H53" s="18">
        <f t="shared" si="1"/>
        <v>17</v>
      </c>
      <c r="I53" s="33"/>
      <c r="J53" s="33"/>
      <c r="K53" s="33"/>
      <c r="L53" s="34"/>
      <c r="M53" s="33"/>
      <c r="N53" s="33"/>
      <c r="O53" s="33"/>
      <c r="P53" s="33"/>
      <c r="Q53" s="33"/>
      <c r="R53" s="33"/>
      <c r="S53" s="33"/>
      <c r="T53" s="35"/>
      <c r="U53" s="33">
        <f t="shared" si="2"/>
        <v>1005959.823421113</v>
      </c>
      <c r="V53" s="33">
        <f t="shared" si="3"/>
        <v>1086436.609294802</v>
      </c>
    </row>
    <row r="54" spans="7:22" ht="15" thickBot="1" x14ac:dyDescent="0.35">
      <c r="S54" s="6" t="s">
        <v>31</v>
      </c>
      <c r="T54" s="36">
        <f>T7*E23</f>
        <v>72000</v>
      </c>
    </row>
  </sheetData>
  <mergeCells count="2">
    <mergeCell ref="H5:I5"/>
    <mergeCell ref="C33:E33"/>
  </mergeCells>
  <conditionalFormatting sqref="D34:D39 C30">
    <cfRule type="expression" dxfId="17" priority="6">
      <formula>C30&gt;TODAY()</formula>
    </cfRule>
    <cfRule type="expression" dxfId="16" priority="7">
      <formula>XFD1048575&gt;TODAY()</formula>
    </cfRule>
  </conditionalFormatting>
  <conditionalFormatting sqref="H7:H53">
    <cfRule type="expression" dxfId="15" priority="5">
      <formula>IF(G7&gt;$E$23,G7-$E$23,"")</formula>
    </cfRule>
  </conditionalFormatting>
  <conditionalFormatting sqref="C29">
    <cfRule type="expression" dxfId="14" priority="4">
      <formula>IF(B29&gt;$E$23,B29-$E$23,"")</formula>
    </cfRule>
  </conditionalFormatting>
  <conditionalFormatting sqref="C33">
    <cfRule type="expression" dxfId="13" priority="10">
      <formula>C33&gt;TODAY()</formula>
    </cfRule>
    <cfRule type="expression" dxfId="12" priority="11">
      <formula>A2&gt;TODAY()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12"/>
  <sheetViews>
    <sheetView workbookViewId="0">
      <selection activeCell="G30" sqref="G30"/>
    </sheetView>
  </sheetViews>
  <sheetFormatPr baseColWidth="10" defaultRowHeight="14.4" x14ac:dyDescent="0.3"/>
  <cols>
    <col min="3" max="3" width="20.33203125" customWidth="1"/>
    <col min="8" max="8" width="29.88671875" customWidth="1"/>
    <col min="9" max="9" width="17.77734375" customWidth="1"/>
    <col min="10" max="10" width="19.44140625" customWidth="1"/>
  </cols>
  <sheetData>
    <row r="8" spans="2:10" ht="15" thickBot="1" x14ac:dyDescent="0.35"/>
    <row r="9" spans="2:10" ht="26.4" thickBot="1" x14ac:dyDescent="0.55000000000000004">
      <c r="B9" s="7" t="s">
        <v>26</v>
      </c>
      <c r="C9" s="10" t="s">
        <v>24</v>
      </c>
      <c r="D9" s="11">
        <v>10000</v>
      </c>
      <c r="G9" s="77" t="s">
        <v>29</v>
      </c>
      <c r="H9" s="77"/>
      <c r="I9" s="14" t="s">
        <v>21</v>
      </c>
      <c r="J9" s="14" t="s">
        <v>22</v>
      </c>
    </row>
    <row r="10" spans="2:10" x14ac:dyDescent="0.3">
      <c r="G10" s="78" t="s">
        <v>4</v>
      </c>
      <c r="H10" s="78"/>
      <c r="I10" s="13">
        <f>'FONDOS PASADOS'!D9</f>
        <v>10000</v>
      </c>
      <c r="J10" s="13">
        <f>I10+I10*'FONDO ACUMULADO'!C12</f>
        <v>11000</v>
      </c>
    </row>
    <row r="11" spans="2:10" x14ac:dyDescent="0.3">
      <c r="G11" s="78" t="s">
        <v>5</v>
      </c>
      <c r="H11" s="78"/>
      <c r="I11" s="13">
        <f>J10</f>
        <v>11000</v>
      </c>
      <c r="J11" s="13">
        <f>I11+I11*'FONDO ACUMULADO'!C12</f>
        <v>12100</v>
      </c>
    </row>
    <row r="12" spans="2:10" x14ac:dyDescent="0.3">
      <c r="G12" s="78" t="s">
        <v>7</v>
      </c>
      <c r="H12" s="78"/>
      <c r="I12" s="13">
        <f>J11</f>
        <v>12100</v>
      </c>
      <c r="J12" s="13">
        <f>I12+I12*'FONDO ACUMULADO'!C12</f>
        <v>13310</v>
      </c>
    </row>
  </sheetData>
  <mergeCells count="4">
    <mergeCell ref="G9:H9"/>
    <mergeCell ref="G10:H10"/>
    <mergeCell ref="G11:H11"/>
    <mergeCell ref="G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5"/>
  <sheetViews>
    <sheetView workbookViewId="0">
      <selection activeCell="C11" sqref="C11"/>
    </sheetView>
  </sheetViews>
  <sheetFormatPr baseColWidth="10" defaultRowHeight="14.4" x14ac:dyDescent="0.3"/>
  <cols>
    <col min="2" max="2" width="21.77734375" customWidth="1"/>
    <col min="3" max="3" width="16.88671875" customWidth="1"/>
  </cols>
  <sheetData>
    <row r="2" spans="1:4" ht="15" thickBot="1" x14ac:dyDescent="0.35"/>
    <row r="3" spans="1:4" x14ac:dyDescent="0.3">
      <c r="A3" s="21"/>
      <c r="B3" s="22"/>
      <c r="C3" s="22"/>
      <c r="D3" s="23"/>
    </row>
    <row r="4" spans="1:4" ht="15" thickBot="1" x14ac:dyDescent="0.35">
      <c r="A4" s="24"/>
      <c r="B4" s="25"/>
      <c r="C4" s="25"/>
      <c r="D4" s="26"/>
    </row>
    <row r="5" spans="1:4" ht="15" thickBot="1" x14ac:dyDescent="0.35">
      <c r="A5" s="24"/>
      <c r="B5" s="20" t="s">
        <v>0</v>
      </c>
      <c r="C5" s="27">
        <f>POWER(C12/C11,360/C14) -1</f>
        <v>6.2658569182611146E-2</v>
      </c>
      <c r="D5" s="26"/>
    </row>
    <row r="6" spans="1:4" x14ac:dyDescent="0.3">
      <c r="A6" s="24"/>
      <c r="B6" s="25"/>
      <c r="C6" s="25"/>
      <c r="D6" s="26"/>
    </row>
    <row r="7" spans="1:4" x14ac:dyDescent="0.3">
      <c r="A7" s="24"/>
      <c r="B7" s="25"/>
      <c r="C7" s="25"/>
      <c r="D7" s="26"/>
    </row>
    <row r="8" spans="1:4" x14ac:dyDescent="0.3">
      <c r="A8" s="24"/>
      <c r="B8" s="25"/>
      <c r="C8" s="25"/>
      <c r="D8" s="26"/>
    </row>
    <row r="9" spans="1:4" x14ac:dyDescent="0.3">
      <c r="A9" s="24"/>
      <c r="B9" s="25"/>
      <c r="C9" s="25"/>
      <c r="D9" s="26"/>
    </row>
    <row r="10" spans="1:4" x14ac:dyDescent="0.3">
      <c r="A10" s="24"/>
      <c r="B10" s="25"/>
      <c r="C10" s="25"/>
      <c r="D10" s="26"/>
    </row>
    <row r="11" spans="1:4" x14ac:dyDescent="0.3">
      <c r="A11" s="30" t="s">
        <v>26</v>
      </c>
      <c r="B11" s="25" t="s">
        <v>35</v>
      </c>
      <c r="C11" s="25">
        <v>10000</v>
      </c>
      <c r="D11" s="26"/>
    </row>
    <row r="12" spans="1:4" x14ac:dyDescent="0.3">
      <c r="A12" s="30" t="s">
        <v>26</v>
      </c>
      <c r="B12" s="25" t="s">
        <v>36</v>
      </c>
      <c r="C12" s="25">
        <v>12000</v>
      </c>
      <c r="D12" s="26"/>
    </row>
    <row r="13" spans="1:4" x14ac:dyDescent="0.3">
      <c r="A13" s="30" t="s">
        <v>26</v>
      </c>
      <c r="B13" s="25" t="s">
        <v>37</v>
      </c>
      <c r="C13" s="25">
        <v>3</v>
      </c>
      <c r="D13" s="26"/>
    </row>
    <row r="14" spans="1:4" x14ac:dyDescent="0.3">
      <c r="A14" s="24"/>
      <c r="B14" s="25" t="s">
        <v>38</v>
      </c>
      <c r="C14" s="25">
        <f>C13*360</f>
        <v>1080</v>
      </c>
      <c r="D14" s="26"/>
    </row>
    <row r="15" spans="1:4" x14ac:dyDescent="0.3">
      <c r="A15" s="24"/>
      <c r="B15" s="25"/>
      <c r="C15" s="25"/>
      <c r="D15" s="26"/>
    </row>
    <row r="16" spans="1:4" ht="15" thickBot="1" x14ac:dyDescent="0.35">
      <c r="A16" s="24"/>
      <c r="B16" s="25"/>
      <c r="C16" s="25"/>
      <c r="D16" s="26"/>
    </row>
    <row r="17" spans="1:7" ht="24" thickBot="1" x14ac:dyDescent="0.5">
      <c r="A17" s="49" t="s">
        <v>26</v>
      </c>
      <c r="B17" s="50" t="s">
        <v>28</v>
      </c>
      <c r="C17" s="28"/>
      <c r="D17" s="29"/>
    </row>
    <row r="21" spans="1:7" x14ac:dyDescent="0.3">
      <c r="B21" s="79" t="s">
        <v>40</v>
      </c>
      <c r="C21" s="79"/>
      <c r="D21" s="79"/>
      <c r="E21" s="79"/>
      <c r="F21" s="79"/>
      <c r="G21" s="79"/>
    </row>
    <row r="22" spans="1:7" x14ac:dyDescent="0.3">
      <c r="B22" s="79"/>
      <c r="C22" s="79"/>
      <c r="D22" s="79"/>
      <c r="E22" s="79"/>
      <c r="F22" s="79"/>
      <c r="G22" s="79"/>
    </row>
    <row r="24" spans="1:7" x14ac:dyDescent="0.3">
      <c r="B24" s="80" t="s">
        <v>39</v>
      </c>
      <c r="C24" s="79"/>
      <c r="D24" s="79"/>
      <c r="E24" s="79"/>
      <c r="F24" s="79"/>
      <c r="G24" s="79"/>
    </row>
    <row r="25" spans="1:7" x14ac:dyDescent="0.3">
      <c r="B25" s="79"/>
      <c r="C25" s="79"/>
      <c r="D25" s="79"/>
      <c r="E25" s="79"/>
      <c r="F25" s="79"/>
      <c r="G25" s="79"/>
    </row>
  </sheetData>
  <mergeCells count="2">
    <mergeCell ref="B21:G22"/>
    <mergeCell ref="B24:G25"/>
  </mergeCells>
  <hyperlinks>
    <hyperlink ref="B24" r:id="rId1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K28"/>
  <sheetViews>
    <sheetView topLeftCell="A10" zoomScaleNormal="100" workbookViewId="0">
      <selection activeCell="I8" sqref="I8"/>
    </sheetView>
  </sheetViews>
  <sheetFormatPr baseColWidth="10" defaultRowHeight="14.4" x14ac:dyDescent="0.3"/>
  <cols>
    <col min="3" max="3" width="13.5546875" bestFit="1" customWidth="1"/>
    <col min="4" max="4" width="2" bestFit="1" customWidth="1"/>
    <col min="6" max="6" width="13.5546875" bestFit="1" customWidth="1"/>
    <col min="7" max="7" width="16" customWidth="1"/>
    <col min="8" max="8" width="12.5546875" bestFit="1" customWidth="1"/>
    <col min="9" max="9" width="29.33203125" customWidth="1"/>
    <col min="10" max="10" width="32.33203125" bestFit="1" customWidth="1"/>
    <col min="11" max="11" width="25.21875" customWidth="1"/>
    <col min="12" max="12" width="26.88671875" customWidth="1"/>
  </cols>
  <sheetData>
    <row r="3" spans="1:11" ht="15" thickBot="1" x14ac:dyDescent="0.35">
      <c r="B3" s="32" t="s">
        <v>25</v>
      </c>
    </row>
    <row r="4" spans="1:11" ht="24" thickBot="1" x14ac:dyDescent="0.5">
      <c r="I4" s="49" t="s">
        <v>26</v>
      </c>
      <c r="J4" s="50" t="s">
        <v>28</v>
      </c>
    </row>
    <row r="5" spans="1:11" x14ac:dyDescent="0.3">
      <c r="D5" s="25"/>
      <c r="E5" s="41" t="s">
        <v>47</v>
      </c>
      <c r="F5" s="41" t="s">
        <v>48</v>
      </c>
      <c r="G5" s="52" t="s">
        <v>51</v>
      </c>
    </row>
    <row r="6" spans="1:11" ht="18" x14ac:dyDescent="0.35">
      <c r="A6" s="42" t="s">
        <v>26</v>
      </c>
      <c r="B6" s="4" t="s">
        <v>50</v>
      </c>
      <c r="C6" s="43">
        <v>-100000</v>
      </c>
      <c r="D6" s="40">
        <f>C7-1</f>
        <v>6</v>
      </c>
      <c r="E6" s="39">
        <f>IF($C$7-D6&gt;=$C$7,"",$C$7-D6)</f>
        <v>1</v>
      </c>
      <c r="F6" s="44">
        <v>3000</v>
      </c>
      <c r="G6" s="51">
        <f>C6+(F6/POWER(1+$C$8,E6))</f>
        <v>-97727.272727272721</v>
      </c>
      <c r="K6" s="43">
        <f>C6</f>
        <v>-100000</v>
      </c>
    </row>
    <row r="7" spans="1:11" ht="18" x14ac:dyDescent="0.35">
      <c r="A7" s="42" t="s">
        <v>26</v>
      </c>
      <c r="B7" s="4" t="s">
        <v>55</v>
      </c>
      <c r="C7" s="4">
        <v>7</v>
      </c>
      <c r="D7" s="40">
        <f>IF(D6-1&lt;0,0,D6-1)</f>
        <v>5</v>
      </c>
      <c r="E7" s="39">
        <f t="shared" ref="E7:E28" si="0">IF($C$7-D7&gt;=$C$7,"",$C$7-D7)</f>
        <v>2</v>
      </c>
      <c r="F7" s="44">
        <v>3000</v>
      </c>
      <c r="G7" s="51">
        <f>G6+(F7/POWER(1+$C$8,E7))</f>
        <v>-96005.509641873272</v>
      </c>
      <c r="K7" s="44">
        <f t="shared" ref="K7:K12" si="1">F6</f>
        <v>3000</v>
      </c>
    </row>
    <row r="8" spans="1:11" ht="31.2" customHeight="1" x14ac:dyDescent="0.35">
      <c r="A8" s="42" t="s">
        <v>26</v>
      </c>
      <c r="B8" s="4" t="s">
        <v>49</v>
      </c>
      <c r="C8" s="46">
        <v>0.32</v>
      </c>
      <c r="D8" s="40">
        <f t="shared" ref="D8:D28" si="2">IF(D7-1&lt;0,0,D7-1)</f>
        <v>4</v>
      </c>
      <c r="E8" s="39">
        <f t="shared" si="0"/>
        <v>3</v>
      </c>
      <c r="F8" s="44">
        <v>3000</v>
      </c>
      <c r="G8" s="51">
        <f t="shared" ref="G8:G13" si="3">G7+(F8/POWER(1+$C$8,E8))</f>
        <v>-94701.143668085817</v>
      </c>
      <c r="K8" s="44">
        <f t="shared" si="1"/>
        <v>3000</v>
      </c>
    </row>
    <row r="9" spans="1:11" x14ac:dyDescent="0.3">
      <c r="D9" s="40">
        <f t="shared" si="2"/>
        <v>3</v>
      </c>
      <c r="E9" s="39">
        <f t="shared" si="0"/>
        <v>4</v>
      </c>
      <c r="F9" s="44">
        <v>3000</v>
      </c>
      <c r="G9" s="51">
        <f t="shared" si="3"/>
        <v>-93712.987627337745</v>
      </c>
      <c r="K9" s="44">
        <f t="shared" si="1"/>
        <v>3000</v>
      </c>
    </row>
    <row r="10" spans="1:11" x14ac:dyDescent="0.3">
      <c r="D10" s="40">
        <f t="shared" si="2"/>
        <v>2</v>
      </c>
      <c r="E10" s="39">
        <f t="shared" si="0"/>
        <v>5</v>
      </c>
      <c r="F10" s="44">
        <v>3000</v>
      </c>
      <c r="G10" s="51">
        <f t="shared" si="3"/>
        <v>-92964.384566164954</v>
      </c>
      <c r="K10" s="44">
        <f t="shared" si="1"/>
        <v>3000</v>
      </c>
    </row>
    <row r="11" spans="1:11" ht="15" thickBot="1" x14ac:dyDescent="0.35">
      <c r="D11" s="40">
        <f t="shared" si="2"/>
        <v>1</v>
      </c>
      <c r="E11" s="39">
        <f t="shared" si="0"/>
        <v>6</v>
      </c>
      <c r="F11" s="44">
        <v>3000</v>
      </c>
      <c r="G11" s="51">
        <f>G10+(F11/POWER(1+$C$8,E11))</f>
        <v>-92397.261034973446</v>
      </c>
      <c r="K11" s="44">
        <f t="shared" si="1"/>
        <v>3000</v>
      </c>
    </row>
    <row r="12" spans="1:11" ht="34.799999999999997" thickTop="1" thickBot="1" x14ac:dyDescent="0.7">
      <c r="D12" s="40">
        <f>IF(D11-1&lt;0,0,D11-1)</f>
        <v>0</v>
      </c>
      <c r="E12" s="39" t="str">
        <f>IF($C$7-D12&gt;=$C$7,"",$C$7-D12)</f>
        <v/>
      </c>
      <c r="F12" s="44"/>
      <c r="G12" s="51" t="e">
        <f t="shared" si="3"/>
        <v>#VALUE!</v>
      </c>
      <c r="H12" s="40"/>
      <c r="I12" s="47" t="s">
        <v>52</v>
      </c>
      <c r="J12" s="48">
        <f>MAX(G6:G11)</f>
        <v>-92397.261034973446</v>
      </c>
      <c r="K12" s="44">
        <f t="shared" si="1"/>
        <v>3000</v>
      </c>
    </row>
    <row r="13" spans="1:11" ht="15" thickTop="1" x14ac:dyDescent="0.3">
      <c r="D13" s="40">
        <f t="shared" si="2"/>
        <v>0</v>
      </c>
      <c r="E13" s="39" t="str">
        <f>IF($C$7-D13&gt;=$C$7,"",$C$7-D13)</f>
        <v/>
      </c>
      <c r="F13" s="44"/>
      <c r="G13" s="60" t="e">
        <f t="shared" si="3"/>
        <v>#VALUE!</v>
      </c>
      <c r="H13" s="40"/>
    </row>
    <row r="14" spans="1:11" x14ac:dyDescent="0.3">
      <c r="D14" s="40">
        <f t="shared" si="2"/>
        <v>0</v>
      </c>
      <c r="E14" s="39" t="str">
        <f t="shared" si="0"/>
        <v/>
      </c>
      <c r="F14" s="45"/>
      <c r="G14" s="51" t="e">
        <f t="shared" ref="G14:G28" si="4">G13+(F14/POWER(1+$C$8,E14))</f>
        <v>#VALUE!</v>
      </c>
      <c r="H14" s="40"/>
    </row>
    <row r="15" spans="1:11" x14ac:dyDescent="0.3">
      <c r="D15" s="40">
        <f t="shared" si="2"/>
        <v>0</v>
      </c>
      <c r="E15" s="39" t="str">
        <f t="shared" si="0"/>
        <v/>
      </c>
      <c r="F15" s="45"/>
      <c r="G15" s="51" t="e">
        <f t="shared" si="4"/>
        <v>#VALUE!</v>
      </c>
      <c r="H15" s="40"/>
    </row>
    <row r="16" spans="1:11" ht="15" thickBot="1" x14ac:dyDescent="0.35">
      <c r="D16" s="40">
        <f t="shared" si="2"/>
        <v>0</v>
      </c>
      <c r="E16" s="39" t="str">
        <f t="shared" si="0"/>
        <v/>
      </c>
      <c r="F16" s="45"/>
      <c r="G16" s="51" t="e">
        <f t="shared" si="4"/>
        <v>#VALUE!</v>
      </c>
      <c r="H16" s="40"/>
    </row>
    <row r="17" spans="4:10" ht="34.200000000000003" thickBot="1" x14ac:dyDescent="0.7">
      <c r="D17" s="40">
        <f t="shared" si="2"/>
        <v>0</v>
      </c>
      <c r="E17" s="39" t="str">
        <f t="shared" si="0"/>
        <v/>
      </c>
      <c r="F17" s="45"/>
      <c r="G17" s="51" t="e">
        <f t="shared" si="4"/>
        <v>#VALUE!</v>
      </c>
      <c r="H17" s="40"/>
      <c r="I17" s="54" t="s">
        <v>54</v>
      </c>
      <c r="J17" s="55">
        <f>IRR(K6:K12)</f>
        <v>-0.34299278836289782</v>
      </c>
    </row>
    <row r="18" spans="4:10" x14ac:dyDescent="0.3">
      <c r="D18" s="40">
        <f t="shared" si="2"/>
        <v>0</v>
      </c>
      <c r="E18" s="39" t="str">
        <f t="shared" si="0"/>
        <v/>
      </c>
      <c r="F18" s="45"/>
      <c r="G18" s="51" t="e">
        <f t="shared" si="4"/>
        <v>#VALUE!</v>
      </c>
      <c r="H18" s="40"/>
    </row>
    <row r="19" spans="4:10" ht="15" thickBot="1" x14ac:dyDescent="0.35">
      <c r="D19" s="40">
        <f t="shared" si="2"/>
        <v>0</v>
      </c>
      <c r="E19" s="39" t="str">
        <f t="shared" si="0"/>
        <v/>
      </c>
      <c r="F19" s="45"/>
      <c r="G19" s="51" t="e">
        <f t="shared" si="4"/>
        <v>#VALUE!</v>
      </c>
      <c r="H19" s="40"/>
    </row>
    <row r="20" spans="4:10" ht="24" thickBot="1" x14ac:dyDescent="0.5">
      <c r="D20" s="40">
        <f t="shared" si="2"/>
        <v>0</v>
      </c>
      <c r="E20" s="39" t="str">
        <f t="shared" si="0"/>
        <v/>
      </c>
      <c r="F20" s="45"/>
      <c r="G20" s="51" t="e">
        <f t="shared" si="4"/>
        <v>#VALUE!</v>
      </c>
      <c r="H20" s="40"/>
      <c r="I20" s="56" t="s">
        <v>56</v>
      </c>
      <c r="J20" s="57">
        <f>(J12-C6)/-C6</f>
        <v>7.6027389650265537E-2</v>
      </c>
    </row>
    <row r="21" spans="4:10" x14ac:dyDescent="0.3">
      <c r="D21" s="40">
        <f t="shared" si="2"/>
        <v>0</v>
      </c>
      <c r="E21" s="39" t="str">
        <f t="shared" si="0"/>
        <v/>
      </c>
      <c r="F21" s="45"/>
      <c r="G21" s="51" t="e">
        <f t="shared" si="4"/>
        <v>#VALUE!</v>
      </c>
      <c r="H21" s="40"/>
    </row>
    <row r="22" spans="4:10" ht="15" thickBot="1" x14ac:dyDescent="0.35">
      <c r="D22" s="40">
        <f t="shared" si="2"/>
        <v>0</v>
      </c>
      <c r="E22" s="39" t="str">
        <f t="shared" si="0"/>
        <v/>
      </c>
      <c r="F22" s="45"/>
      <c r="G22" s="51" t="e">
        <f t="shared" si="4"/>
        <v>#VALUE!</v>
      </c>
      <c r="H22" s="40"/>
    </row>
    <row r="23" spans="4:10" ht="21.6" thickBot="1" x14ac:dyDescent="0.45">
      <c r="D23" s="40">
        <f t="shared" si="2"/>
        <v>0</v>
      </c>
      <c r="E23" s="39" t="str">
        <f t="shared" si="0"/>
        <v/>
      </c>
      <c r="F23" s="45"/>
      <c r="G23" s="51" t="e">
        <f t="shared" si="4"/>
        <v>#VALUE!</v>
      </c>
      <c r="H23" s="40"/>
      <c r="I23" s="58" t="s">
        <v>57</v>
      </c>
      <c r="J23" s="59">
        <f>3+(-G8/(J12-G8))</f>
        <v>44.105020849153128</v>
      </c>
    </row>
    <row r="24" spans="4:10" x14ac:dyDescent="0.3">
      <c r="D24" s="40">
        <f t="shared" si="2"/>
        <v>0</v>
      </c>
      <c r="E24" s="39" t="str">
        <f t="shared" si="0"/>
        <v/>
      </c>
      <c r="F24" s="45"/>
      <c r="G24" s="51" t="e">
        <f t="shared" si="4"/>
        <v>#VALUE!</v>
      </c>
      <c r="H24" s="40"/>
    </row>
    <row r="25" spans="4:10" x14ac:dyDescent="0.3">
      <c r="D25" s="40">
        <f t="shared" si="2"/>
        <v>0</v>
      </c>
      <c r="E25" s="39" t="str">
        <f t="shared" si="0"/>
        <v/>
      </c>
      <c r="F25" s="45"/>
      <c r="G25" s="51" t="e">
        <f t="shared" si="4"/>
        <v>#VALUE!</v>
      </c>
      <c r="H25" s="40"/>
    </row>
    <row r="26" spans="4:10" x14ac:dyDescent="0.3">
      <c r="D26" s="40">
        <f t="shared" si="2"/>
        <v>0</v>
      </c>
      <c r="E26" s="39" t="str">
        <f t="shared" si="0"/>
        <v/>
      </c>
      <c r="F26" s="45"/>
      <c r="G26" s="51" t="e">
        <f t="shared" si="4"/>
        <v>#VALUE!</v>
      </c>
      <c r="H26" s="40"/>
    </row>
    <row r="27" spans="4:10" x14ac:dyDescent="0.3">
      <c r="D27" s="40">
        <f t="shared" si="2"/>
        <v>0</v>
      </c>
      <c r="E27" s="39" t="str">
        <f t="shared" si="0"/>
        <v/>
      </c>
      <c r="F27" s="45"/>
      <c r="G27" s="51" t="e">
        <f t="shared" si="4"/>
        <v>#VALUE!</v>
      </c>
      <c r="H27" s="40"/>
    </row>
    <row r="28" spans="4:10" x14ac:dyDescent="0.3">
      <c r="D28" s="40">
        <f t="shared" si="2"/>
        <v>0</v>
      </c>
      <c r="E28" s="39" t="str">
        <f t="shared" si="0"/>
        <v/>
      </c>
      <c r="F28" s="45"/>
      <c r="G28" s="51" t="e">
        <f t="shared" si="4"/>
        <v>#VALUE!</v>
      </c>
      <c r="H28" s="40"/>
    </row>
  </sheetData>
  <conditionalFormatting sqref="C6">
    <cfRule type="cellIs" dxfId="11" priority="6" operator="lessThan">
      <formula>0</formula>
    </cfRule>
  </conditionalFormatting>
  <conditionalFormatting sqref="G6:G28">
    <cfRule type="cellIs" dxfId="10" priority="2" operator="greaterThan">
      <formula>0</formula>
    </cfRule>
    <cfRule type="cellIs" dxfId="9" priority="5" operator="lessThan">
      <formula>0</formula>
    </cfRule>
  </conditionalFormatting>
  <conditionalFormatting sqref="J12">
    <cfRule type="cellIs" dxfId="8" priority="3" operator="lessThan">
      <formula>0</formula>
    </cfRule>
    <cfRule type="cellIs" dxfId="7" priority="4" operator="greaterThan">
      <formula>0</formula>
    </cfRule>
  </conditionalFormatting>
  <conditionalFormatting sqref="K6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K28"/>
  <sheetViews>
    <sheetView topLeftCell="A2" workbookViewId="0">
      <selection activeCell="G10" sqref="G10"/>
    </sheetView>
  </sheetViews>
  <sheetFormatPr baseColWidth="10" defaultRowHeight="14.4" x14ac:dyDescent="0.3"/>
  <cols>
    <col min="3" max="3" width="13.5546875" bestFit="1" customWidth="1"/>
    <col min="4" max="4" width="2" bestFit="1" customWidth="1"/>
    <col min="6" max="6" width="13.21875" customWidth="1"/>
    <col min="7" max="7" width="14.44140625" customWidth="1"/>
    <col min="8" max="8" width="12.5546875" bestFit="1" customWidth="1"/>
    <col min="9" max="9" width="29.33203125" customWidth="1"/>
    <col min="10" max="10" width="32.88671875" customWidth="1"/>
    <col min="11" max="11" width="25.21875" customWidth="1"/>
    <col min="12" max="12" width="26.88671875" customWidth="1"/>
  </cols>
  <sheetData>
    <row r="3" spans="1:11" ht="15" thickBot="1" x14ac:dyDescent="0.35">
      <c r="B3" s="32" t="s">
        <v>25</v>
      </c>
    </row>
    <row r="4" spans="1:11" ht="24" thickBot="1" x14ac:dyDescent="0.5">
      <c r="I4" s="49" t="s">
        <v>26</v>
      </c>
      <c r="J4" s="50" t="s">
        <v>28</v>
      </c>
    </row>
    <row r="5" spans="1:11" x14ac:dyDescent="0.3">
      <c r="D5" s="25"/>
      <c r="E5" s="41" t="s">
        <v>47</v>
      </c>
      <c r="F5" s="41" t="s">
        <v>48</v>
      </c>
      <c r="G5" s="52" t="s">
        <v>51</v>
      </c>
    </row>
    <row r="6" spans="1:11" ht="18" x14ac:dyDescent="0.35">
      <c r="A6" s="42" t="s">
        <v>26</v>
      </c>
      <c r="B6" s="4" t="s">
        <v>50</v>
      </c>
      <c r="C6" s="43">
        <v>-150000</v>
      </c>
      <c r="D6" s="40">
        <f>C7-1</f>
        <v>5</v>
      </c>
      <c r="E6" s="39">
        <f>IF($C$7-D6&gt;=$C$7,"",$C$7-D6)</f>
        <v>1</v>
      </c>
      <c r="F6" s="44">
        <v>-1000</v>
      </c>
      <c r="G6" s="51">
        <f>C6+(F6/POWER(1+$C$8,E6))</f>
        <v>-150909.09090909091</v>
      </c>
      <c r="K6" s="43">
        <f>C6</f>
        <v>-150000</v>
      </c>
    </row>
    <row r="7" spans="1:11" ht="18" x14ac:dyDescent="0.35">
      <c r="A7" s="42" t="s">
        <v>26</v>
      </c>
      <c r="B7" s="4" t="s">
        <v>55</v>
      </c>
      <c r="C7" s="4">
        <v>6</v>
      </c>
      <c r="D7" s="40">
        <f>IF(D6-1&lt;0,0,D6-1)</f>
        <v>4</v>
      </c>
      <c r="E7" s="39">
        <f t="shared" ref="E7:E28" si="0">IF($C$7-D7&gt;=$C$7,"",$C$7-D7)</f>
        <v>2</v>
      </c>
      <c r="F7" s="44">
        <v>-1000</v>
      </c>
      <c r="G7" s="51">
        <f>G6+(F7/POWER(1+$C$8,E7))</f>
        <v>-151735.53719008266</v>
      </c>
      <c r="K7" s="44">
        <f t="shared" ref="K7:K12" si="1">F6</f>
        <v>-1000</v>
      </c>
    </row>
    <row r="8" spans="1:11" ht="18" x14ac:dyDescent="0.35">
      <c r="A8" s="42" t="s">
        <v>26</v>
      </c>
      <c r="B8" s="4" t="s">
        <v>49</v>
      </c>
      <c r="C8" s="46">
        <v>0.1</v>
      </c>
      <c r="D8" s="40">
        <f t="shared" ref="D8:D28" si="2">IF(D7-1&lt;0,0,D7-1)</f>
        <v>3</v>
      </c>
      <c r="E8" s="39">
        <f t="shared" si="0"/>
        <v>3</v>
      </c>
      <c r="F8" s="44">
        <v>-1000</v>
      </c>
      <c r="G8" s="51">
        <f t="shared" ref="G8:G28" si="3">G7+(F8/POWER(1+$C$8,E8))</f>
        <v>-152486.85199098423</v>
      </c>
      <c r="K8" s="44">
        <f t="shared" si="1"/>
        <v>-1000</v>
      </c>
    </row>
    <row r="9" spans="1:11" x14ac:dyDescent="0.3">
      <c r="D9" s="40">
        <f t="shared" si="2"/>
        <v>2</v>
      </c>
      <c r="E9" s="39">
        <f t="shared" si="0"/>
        <v>4</v>
      </c>
      <c r="F9" s="44">
        <v>-1000</v>
      </c>
      <c r="G9" s="51">
        <f t="shared" si="3"/>
        <v>-153169.86544634929</v>
      </c>
      <c r="K9" s="44">
        <f t="shared" si="1"/>
        <v>-1000</v>
      </c>
    </row>
    <row r="10" spans="1:11" x14ac:dyDescent="0.3">
      <c r="D10" s="40">
        <f t="shared" si="2"/>
        <v>1</v>
      </c>
      <c r="E10" s="39">
        <f t="shared" si="0"/>
        <v>5</v>
      </c>
      <c r="F10" s="44">
        <v>44000</v>
      </c>
      <c r="G10" s="51">
        <f t="shared" si="3"/>
        <v>-125849.32723174647</v>
      </c>
      <c r="K10" s="44">
        <f t="shared" si="1"/>
        <v>-1000</v>
      </c>
    </row>
    <row r="11" spans="1:11" ht="15" thickBot="1" x14ac:dyDescent="0.35">
      <c r="D11" s="40">
        <f t="shared" si="2"/>
        <v>0</v>
      </c>
      <c r="E11" s="39" t="str">
        <f t="shared" si="0"/>
        <v/>
      </c>
      <c r="F11" s="44"/>
      <c r="G11" s="51" t="e">
        <f>G10+(F11/POWER(1+$C$8,E11))</f>
        <v>#VALUE!</v>
      </c>
      <c r="K11" s="44">
        <f t="shared" si="1"/>
        <v>44000</v>
      </c>
    </row>
    <row r="12" spans="1:11" ht="34.799999999999997" thickTop="1" thickBot="1" x14ac:dyDescent="0.7">
      <c r="D12" s="40">
        <f>IF(D11-1&lt;0,0,D11-1)</f>
        <v>0</v>
      </c>
      <c r="E12" s="39" t="str">
        <f>IF($C$7-D12&gt;=$C$7,"",$C$7-D12)</f>
        <v/>
      </c>
      <c r="F12" s="44"/>
      <c r="G12" s="51" t="e">
        <f t="shared" si="3"/>
        <v>#VALUE!</v>
      </c>
      <c r="H12" s="40"/>
      <c r="I12" s="47" t="s">
        <v>52</v>
      </c>
      <c r="J12" s="48">
        <f>MAX(G6:G9)</f>
        <v>-150909.09090909091</v>
      </c>
      <c r="K12" s="44">
        <f t="shared" si="1"/>
        <v>0</v>
      </c>
    </row>
    <row r="13" spans="1:11" ht="15" thickTop="1" x14ac:dyDescent="0.3">
      <c r="D13" s="40">
        <f t="shared" si="2"/>
        <v>0</v>
      </c>
      <c r="E13" s="39" t="str">
        <f>IF($C$7-D13&gt;=$C$7,"",$C$7-D13)</f>
        <v/>
      </c>
      <c r="F13" s="44"/>
      <c r="G13" s="53" t="e">
        <f t="shared" si="3"/>
        <v>#VALUE!</v>
      </c>
      <c r="H13" s="40"/>
    </row>
    <row r="14" spans="1:11" x14ac:dyDescent="0.3">
      <c r="D14" s="40">
        <f t="shared" si="2"/>
        <v>0</v>
      </c>
      <c r="E14" s="39" t="str">
        <f t="shared" si="0"/>
        <v/>
      </c>
      <c r="F14" s="45"/>
      <c r="G14" s="51" t="e">
        <f t="shared" si="3"/>
        <v>#VALUE!</v>
      </c>
      <c r="H14" s="40"/>
    </row>
    <row r="15" spans="1:11" x14ac:dyDescent="0.3">
      <c r="D15" s="40">
        <f t="shared" si="2"/>
        <v>0</v>
      </c>
      <c r="E15" s="39" t="str">
        <f t="shared" si="0"/>
        <v/>
      </c>
      <c r="F15" s="45"/>
      <c r="G15" s="51" t="e">
        <f t="shared" si="3"/>
        <v>#VALUE!</v>
      </c>
      <c r="H15" s="40"/>
    </row>
    <row r="16" spans="1:11" ht="15" thickBot="1" x14ac:dyDescent="0.35">
      <c r="D16" s="40">
        <f t="shared" si="2"/>
        <v>0</v>
      </c>
      <c r="E16" s="39" t="str">
        <f t="shared" si="0"/>
        <v/>
      </c>
      <c r="F16" s="45"/>
      <c r="G16" s="51" t="e">
        <f t="shared" si="3"/>
        <v>#VALUE!</v>
      </c>
      <c r="H16" s="40"/>
    </row>
    <row r="17" spans="4:10" ht="34.200000000000003" thickBot="1" x14ac:dyDescent="0.7">
      <c r="D17" s="40">
        <f t="shared" si="2"/>
        <v>0</v>
      </c>
      <c r="E17" s="39" t="str">
        <f t="shared" si="0"/>
        <v/>
      </c>
      <c r="F17" s="45"/>
      <c r="G17" s="51" t="e">
        <f t="shared" si="3"/>
        <v>#VALUE!</v>
      </c>
      <c r="H17" s="40"/>
      <c r="I17" s="54" t="s">
        <v>54</v>
      </c>
      <c r="J17" s="55">
        <f>IRR(K6:K12)</f>
        <v>-0.22550318958652604</v>
      </c>
    </row>
    <row r="18" spans="4:10" x14ac:dyDescent="0.3">
      <c r="D18" s="40">
        <f t="shared" si="2"/>
        <v>0</v>
      </c>
      <c r="E18" s="39" t="str">
        <f t="shared" si="0"/>
        <v/>
      </c>
      <c r="F18" s="45"/>
      <c r="G18" s="51" t="e">
        <f t="shared" si="3"/>
        <v>#VALUE!</v>
      </c>
      <c r="H18" s="40"/>
    </row>
    <row r="19" spans="4:10" ht="15" thickBot="1" x14ac:dyDescent="0.35">
      <c r="D19" s="40">
        <f t="shared" si="2"/>
        <v>0</v>
      </c>
      <c r="E19" s="39" t="str">
        <f t="shared" si="0"/>
        <v/>
      </c>
      <c r="F19" s="45"/>
      <c r="G19" s="51" t="e">
        <f t="shared" si="3"/>
        <v>#VALUE!</v>
      </c>
      <c r="H19" s="40"/>
    </row>
    <row r="20" spans="4:10" ht="24" thickBot="1" x14ac:dyDescent="0.5">
      <c r="D20" s="40">
        <f t="shared" si="2"/>
        <v>0</v>
      </c>
      <c r="E20" s="39" t="str">
        <f t="shared" si="0"/>
        <v/>
      </c>
      <c r="F20" s="45"/>
      <c r="G20" s="51" t="e">
        <f t="shared" si="3"/>
        <v>#VALUE!</v>
      </c>
      <c r="H20" s="40"/>
      <c r="I20" s="56" t="s">
        <v>56</v>
      </c>
      <c r="J20" s="57">
        <f>(J12-C6)/-C6</f>
        <v>-6.0606060606060779E-3</v>
      </c>
    </row>
    <row r="21" spans="4:10" x14ac:dyDescent="0.3">
      <c r="D21" s="40">
        <f t="shared" si="2"/>
        <v>0</v>
      </c>
      <c r="E21" s="39" t="str">
        <f t="shared" si="0"/>
        <v/>
      </c>
      <c r="F21" s="45"/>
      <c r="G21" s="51" t="e">
        <f t="shared" si="3"/>
        <v>#VALUE!</v>
      </c>
      <c r="H21" s="40"/>
    </row>
    <row r="22" spans="4:10" ht="15" thickBot="1" x14ac:dyDescent="0.35">
      <c r="D22" s="40">
        <f t="shared" si="2"/>
        <v>0</v>
      </c>
      <c r="E22" s="39" t="str">
        <f t="shared" si="0"/>
        <v/>
      </c>
      <c r="F22" s="45"/>
      <c r="G22" s="51" t="e">
        <f t="shared" si="3"/>
        <v>#VALUE!</v>
      </c>
      <c r="H22" s="40"/>
    </row>
    <row r="23" spans="4:10" ht="21.6" thickBot="1" x14ac:dyDescent="0.45">
      <c r="D23" s="40">
        <f t="shared" si="2"/>
        <v>0</v>
      </c>
      <c r="E23" s="39" t="str">
        <f t="shared" si="0"/>
        <v/>
      </c>
      <c r="F23" s="45"/>
      <c r="G23" s="51" t="e">
        <f t="shared" si="3"/>
        <v>#VALUE!</v>
      </c>
      <c r="H23" s="40"/>
      <c r="I23" s="58" t="s">
        <v>57</v>
      </c>
      <c r="J23" s="59">
        <f>E8+(-G8/(J12-G8))</f>
        <v>99.647619047618818</v>
      </c>
    </row>
    <row r="24" spans="4:10" x14ac:dyDescent="0.3">
      <c r="D24" s="40">
        <f t="shared" si="2"/>
        <v>0</v>
      </c>
      <c r="E24" s="39" t="str">
        <f t="shared" si="0"/>
        <v/>
      </c>
      <c r="F24" s="45"/>
      <c r="G24" s="51" t="e">
        <f t="shared" si="3"/>
        <v>#VALUE!</v>
      </c>
      <c r="H24" s="40"/>
    </row>
    <row r="25" spans="4:10" x14ac:dyDescent="0.3">
      <c r="D25" s="40">
        <f t="shared" si="2"/>
        <v>0</v>
      </c>
      <c r="E25" s="39" t="str">
        <f t="shared" si="0"/>
        <v/>
      </c>
      <c r="F25" s="45"/>
      <c r="G25" s="51" t="e">
        <f t="shared" si="3"/>
        <v>#VALUE!</v>
      </c>
      <c r="H25" s="40"/>
    </row>
    <row r="26" spans="4:10" x14ac:dyDescent="0.3">
      <c r="D26" s="40">
        <f t="shared" si="2"/>
        <v>0</v>
      </c>
      <c r="E26" s="39" t="str">
        <f t="shared" si="0"/>
        <v/>
      </c>
      <c r="F26" s="45"/>
      <c r="G26" s="51" t="e">
        <f t="shared" si="3"/>
        <v>#VALUE!</v>
      </c>
      <c r="H26" s="40"/>
    </row>
    <row r="27" spans="4:10" x14ac:dyDescent="0.3">
      <c r="D27" s="40">
        <f t="shared" si="2"/>
        <v>0</v>
      </c>
      <c r="E27" s="39" t="str">
        <f t="shared" si="0"/>
        <v/>
      </c>
      <c r="F27" s="45"/>
      <c r="G27" s="51" t="e">
        <f t="shared" si="3"/>
        <v>#VALUE!</v>
      </c>
      <c r="H27" s="40"/>
    </row>
    <row r="28" spans="4:10" x14ac:dyDescent="0.3">
      <c r="D28" s="40">
        <f t="shared" si="2"/>
        <v>0</v>
      </c>
      <c r="E28" s="39" t="str">
        <f t="shared" si="0"/>
        <v/>
      </c>
      <c r="F28" s="45"/>
      <c r="G28" s="51" t="e">
        <f t="shared" si="3"/>
        <v>#VALUE!</v>
      </c>
      <c r="H28" s="40"/>
    </row>
  </sheetData>
  <conditionalFormatting sqref="C6">
    <cfRule type="cellIs" dxfId="5" priority="6" operator="lessThan">
      <formula>0</formula>
    </cfRule>
  </conditionalFormatting>
  <conditionalFormatting sqref="G6:G28">
    <cfRule type="cellIs" dxfId="4" priority="2" operator="greaterThan">
      <formula>0</formula>
    </cfRule>
    <cfRule type="cellIs" dxfId="3" priority="5" operator="lessThan">
      <formula>0</formula>
    </cfRule>
  </conditionalFormatting>
  <conditionalFormatting sqref="J12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K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70" zoomScaleNormal="70" workbookViewId="0">
      <selection activeCell="J11" sqref="J11"/>
    </sheetView>
  </sheetViews>
  <sheetFormatPr baseColWidth="10" defaultRowHeight="14.4" x14ac:dyDescent="0.3"/>
  <cols>
    <col min="1" max="1" width="17.44140625" bestFit="1" customWidth="1"/>
    <col min="2" max="2" width="32" bestFit="1" customWidth="1"/>
    <col min="3" max="3" width="13.5546875" bestFit="1" customWidth="1"/>
    <col min="7" max="7" width="13.88671875" customWidth="1"/>
    <col min="8" max="8" width="17.44140625" bestFit="1" customWidth="1"/>
    <col min="9" max="10" width="33.109375" bestFit="1" customWidth="1"/>
    <col min="11" max="11" width="12.5546875" bestFit="1" customWidth="1"/>
  </cols>
  <sheetData>
    <row r="1" spans="1:11" ht="29.4" thickBot="1" x14ac:dyDescent="0.6">
      <c r="A1" s="106" t="s">
        <v>66</v>
      </c>
      <c r="B1" s="107"/>
      <c r="C1" s="107"/>
      <c r="D1" s="108"/>
      <c r="E1" s="21"/>
      <c r="F1" s="22"/>
      <c r="G1" s="23"/>
      <c r="H1" s="101" t="s">
        <v>67</v>
      </c>
      <c r="I1" s="102"/>
      <c r="J1" s="102"/>
      <c r="K1" s="103"/>
    </row>
    <row r="2" spans="1:11" x14ac:dyDescent="0.3">
      <c r="A2" s="63" t="s">
        <v>58</v>
      </c>
      <c r="B2" s="69">
        <v>50000</v>
      </c>
      <c r="C2" s="25"/>
      <c r="D2" s="26"/>
      <c r="E2" s="24"/>
      <c r="F2" s="25"/>
      <c r="G2" s="26"/>
      <c r="H2" s="63" t="s">
        <v>58</v>
      </c>
      <c r="I2" s="70">
        <v>60000</v>
      </c>
      <c r="J2" s="25"/>
      <c r="K2" s="26"/>
    </row>
    <row r="3" spans="1:11" x14ac:dyDescent="0.3">
      <c r="A3" s="63" t="s">
        <v>63</v>
      </c>
      <c r="B3" s="40">
        <v>3</v>
      </c>
      <c r="C3" s="25"/>
      <c r="D3" s="26"/>
      <c r="E3" s="24"/>
      <c r="F3" s="25"/>
      <c r="G3" s="26"/>
      <c r="H3" s="63" t="s">
        <v>63</v>
      </c>
      <c r="I3" s="40">
        <v>4</v>
      </c>
      <c r="J3" s="25"/>
      <c r="K3" s="26"/>
    </row>
    <row r="4" spans="1:11" x14ac:dyDescent="0.3">
      <c r="A4" s="24"/>
      <c r="B4" s="25"/>
      <c r="C4" s="25"/>
      <c r="D4" s="26"/>
      <c r="E4" s="24"/>
      <c r="F4" s="25"/>
      <c r="G4" s="26"/>
      <c r="H4" s="24"/>
      <c r="I4" s="25"/>
      <c r="J4" s="25"/>
      <c r="K4" s="26"/>
    </row>
    <row r="5" spans="1:11" x14ac:dyDescent="0.3">
      <c r="A5" s="24"/>
      <c r="B5" s="25"/>
      <c r="C5" s="25"/>
      <c r="D5" s="26"/>
      <c r="E5" s="24"/>
      <c r="F5" s="25"/>
      <c r="G5" s="26"/>
      <c r="H5" s="24"/>
      <c r="I5" s="25"/>
      <c r="J5" s="25"/>
      <c r="K5" s="26"/>
    </row>
    <row r="6" spans="1:11" x14ac:dyDescent="0.3">
      <c r="A6" s="24"/>
      <c r="B6" s="25"/>
      <c r="C6" s="25"/>
      <c r="D6" s="26"/>
      <c r="E6" s="24"/>
      <c r="F6" s="25"/>
      <c r="G6" s="26"/>
      <c r="H6" s="24"/>
      <c r="I6" s="25"/>
      <c r="J6" s="25"/>
      <c r="K6" s="26"/>
    </row>
    <row r="7" spans="1:11" x14ac:dyDescent="0.3">
      <c r="A7" s="24"/>
      <c r="B7" s="25"/>
      <c r="C7" s="25"/>
      <c r="D7" s="26"/>
      <c r="E7" s="24"/>
      <c r="F7" s="25"/>
      <c r="G7" s="26"/>
      <c r="H7" s="24"/>
      <c r="I7" s="25"/>
      <c r="J7" s="25"/>
      <c r="K7" s="26"/>
    </row>
    <row r="8" spans="1:11" x14ac:dyDescent="0.3">
      <c r="A8" s="24"/>
      <c r="B8" s="25"/>
      <c r="C8" s="25"/>
      <c r="D8" s="26"/>
      <c r="E8" s="24"/>
      <c r="F8" s="25"/>
      <c r="G8" s="26"/>
      <c r="H8" s="24"/>
      <c r="I8" s="25"/>
      <c r="J8" s="25"/>
      <c r="K8" s="26"/>
    </row>
    <row r="9" spans="1:11" x14ac:dyDescent="0.3">
      <c r="A9" s="24"/>
      <c r="B9" s="25"/>
      <c r="C9" s="25"/>
      <c r="D9" s="26"/>
      <c r="E9" s="24"/>
      <c r="F9" s="25"/>
      <c r="G9" s="26"/>
      <c r="H9" s="24"/>
      <c r="I9" s="25"/>
      <c r="J9" s="25"/>
      <c r="K9" s="26"/>
    </row>
    <row r="10" spans="1:11" x14ac:dyDescent="0.3">
      <c r="A10" s="24"/>
      <c r="B10" s="25"/>
      <c r="C10" s="25"/>
      <c r="D10" s="26"/>
      <c r="E10" s="111" t="s">
        <v>64</v>
      </c>
      <c r="F10" s="112"/>
      <c r="G10" s="64">
        <f>IF(B3=I3,B3,B3*I3)</f>
        <v>12</v>
      </c>
      <c r="H10" s="24"/>
      <c r="I10" s="25"/>
      <c r="J10" s="25"/>
      <c r="K10" s="26"/>
    </row>
    <row r="11" spans="1:11" x14ac:dyDescent="0.3">
      <c r="A11" s="24"/>
      <c r="B11" s="25"/>
      <c r="C11" s="25"/>
      <c r="D11" s="26"/>
      <c r="E11" s="111" t="s">
        <v>61</v>
      </c>
      <c r="F11" s="112"/>
      <c r="G11" s="65">
        <v>0.28000000000000003</v>
      </c>
      <c r="H11" s="24"/>
      <c r="I11" s="25"/>
      <c r="J11" s="25"/>
      <c r="K11" s="26"/>
    </row>
    <row r="12" spans="1:11" x14ac:dyDescent="0.3">
      <c r="A12" s="81" t="s">
        <v>71</v>
      </c>
      <c r="B12" s="82"/>
      <c r="C12" s="25"/>
      <c r="D12" s="26"/>
      <c r="E12" s="24"/>
      <c r="F12" s="25"/>
      <c r="G12" s="26"/>
      <c r="H12" s="24"/>
      <c r="I12" s="25"/>
      <c r="J12" s="25"/>
      <c r="K12" s="26"/>
    </row>
    <row r="13" spans="1:11" x14ac:dyDescent="0.3">
      <c r="A13" s="24"/>
      <c r="B13" s="25"/>
      <c r="C13" s="25"/>
      <c r="D13" s="26"/>
      <c r="E13" s="24"/>
      <c r="F13" s="25"/>
      <c r="G13" s="26"/>
      <c r="H13" s="24"/>
      <c r="I13" s="25"/>
      <c r="J13" s="25"/>
      <c r="K13" s="26"/>
    </row>
    <row r="14" spans="1:11" ht="15.6" x14ac:dyDescent="0.3">
      <c r="A14" s="72" t="s">
        <v>26</v>
      </c>
      <c r="B14" s="25" t="s">
        <v>59</v>
      </c>
      <c r="C14" s="61">
        <f>IF(B3=I3,0,B2)</f>
        <v>50000</v>
      </c>
      <c r="D14" s="26"/>
      <c r="E14" s="109" t="s">
        <v>69</v>
      </c>
      <c r="F14" s="110"/>
      <c r="G14" s="67">
        <f>IF(B3=I3,G11,(POWER(1+$G$11,(360*C16)/360))-1)</f>
        <v>1.0971520000000003</v>
      </c>
      <c r="H14" s="24"/>
      <c r="I14" s="25"/>
      <c r="J14" s="25"/>
      <c r="K14" s="26"/>
    </row>
    <row r="15" spans="1:11" x14ac:dyDescent="0.3">
      <c r="A15" s="24"/>
      <c r="B15" s="25" t="s">
        <v>60</v>
      </c>
      <c r="C15" s="25">
        <f>$G$10/C16-1</f>
        <v>3</v>
      </c>
      <c r="D15" s="26"/>
      <c r="E15" s="24"/>
      <c r="F15" s="25"/>
      <c r="G15" s="26"/>
      <c r="H15" s="81" t="s">
        <v>71</v>
      </c>
      <c r="I15" s="82"/>
      <c r="J15" s="25"/>
      <c r="K15" s="26"/>
    </row>
    <row r="16" spans="1:11" ht="15.6" x14ac:dyDescent="0.3">
      <c r="A16" s="72" t="s">
        <v>26</v>
      </c>
      <c r="B16" s="25" t="s">
        <v>62</v>
      </c>
      <c r="C16" s="25">
        <f>B3</f>
        <v>3</v>
      </c>
      <c r="D16" s="26"/>
      <c r="E16" s="104" t="s">
        <v>69</v>
      </c>
      <c r="F16" s="105"/>
      <c r="G16" s="68">
        <f>(POWER(1+$G$11,(360*J18)/360))-1</f>
        <v>1.6843545600000001</v>
      </c>
      <c r="H16" s="72" t="s">
        <v>26</v>
      </c>
      <c r="I16" s="25" t="s">
        <v>59</v>
      </c>
      <c r="J16" s="66">
        <f>IF(I3=B3,0,I2)</f>
        <v>60000</v>
      </c>
      <c r="K16" s="26"/>
    </row>
    <row r="17" spans="1:11" x14ac:dyDescent="0.3">
      <c r="A17" s="24"/>
      <c r="B17" s="25"/>
      <c r="C17" s="25"/>
      <c r="D17" s="26"/>
      <c r="E17" s="24"/>
      <c r="F17" s="25"/>
      <c r="G17" s="26"/>
      <c r="H17" s="24"/>
      <c r="I17" s="25" t="s">
        <v>60</v>
      </c>
      <c r="J17" s="25">
        <f>$G$10/J18-1</f>
        <v>2</v>
      </c>
      <c r="K17" s="26"/>
    </row>
    <row r="18" spans="1:11" ht="15.6" x14ac:dyDescent="0.3">
      <c r="A18" s="24"/>
      <c r="B18" s="25"/>
      <c r="C18" s="25"/>
      <c r="D18" s="26"/>
      <c r="E18" s="24"/>
      <c r="F18" s="25"/>
      <c r="G18" s="26"/>
      <c r="H18" s="72" t="s">
        <v>26</v>
      </c>
      <c r="I18" s="25" t="s">
        <v>62</v>
      </c>
      <c r="J18" s="25">
        <f>I3</f>
        <v>4</v>
      </c>
      <c r="K18" s="26"/>
    </row>
    <row r="19" spans="1:11" x14ac:dyDescent="0.3">
      <c r="A19" s="81" t="s">
        <v>72</v>
      </c>
      <c r="B19" s="82"/>
      <c r="C19" s="25"/>
      <c r="D19" s="26"/>
      <c r="E19" s="24"/>
      <c r="F19" s="25"/>
      <c r="G19" s="26"/>
      <c r="H19" s="24"/>
      <c r="I19" s="25"/>
      <c r="J19" s="25"/>
      <c r="K19" s="26"/>
    </row>
    <row r="20" spans="1:11" x14ac:dyDescent="0.3">
      <c r="A20" s="24"/>
      <c r="B20" s="25"/>
      <c r="C20" s="25"/>
      <c r="D20" s="26"/>
      <c r="E20" s="24"/>
      <c r="F20" s="25"/>
      <c r="G20" s="26"/>
      <c r="H20" s="24"/>
      <c r="I20" s="25"/>
      <c r="J20" s="25"/>
      <c r="K20" s="26"/>
    </row>
    <row r="21" spans="1:11" x14ac:dyDescent="0.3">
      <c r="A21" s="24"/>
      <c r="B21" s="25"/>
      <c r="C21" s="25"/>
      <c r="D21" s="26"/>
      <c r="E21" s="24"/>
      <c r="F21" s="25"/>
      <c r="G21" s="26"/>
      <c r="H21" s="24"/>
      <c r="I21" s="25"/>
      <c r="J21" s="25"/>
      <c r="K21" s="26"/>
    </row>
    <row r="22" spans="1:11" ht="15.6" x14ac:dyDescent="0.3">
      <c r="A22" s="72" t="s">
        <v>26</v>
      </c>
      <c r="B22" s="25" t="s">
        <v>59</v>
      </c>
      <c r="C22" s="61">
        <v>3000</v>
      </c>
      <c r="D22" s="26"/>
      <c r="E22" s="109" t="s">
        <v>69</v>
      </c>
      <c r="F22" s="110"/>
      <c r="G22" s="67">
        <f>(POWER(1+$G$11,(360*C24)/360))-1</f>
        <v>0.28000000000000003</v>
      </c>
      <c r="H22" s="24"/>
      <c r="I22" s="25"/>
      <c r="J22" s="25"/>
      <c r="K22" s="26"/>
    </row>
    <row r="23" spans="1:11" x14ac:dyDescent="0.3">
      <c r="A23" s="24"/>
      <c r="B23" s="25" t="s">
        <v>60</v>
      </c>
      <c r="C23" s="25">
        <f>$G$10</f>
        <v>12</v>
      </c>
      <c r="D23" s="26"/>
      <c r="E23" s="24"/>
      <c r="F23" s="25"/>
      <c r="G23" s="26"/>
      <c r="H23" s="24"/>
      <c r="I23" s="25"/>
      <c r="J23" s="25"/>
      <c r="K23" s="26"/>
    </row>
    <row r="24" spans="1:11" ht="15.6" x14ac:dyDescent="0.3">
      <c r="A24" s="72" t="s">
        <v>26</v>
      </c>
      <c r="B24" s="25" t="s">
        <v>62</v>
      </c>
      <c r="C24" s="25">
        <v>1</v>
      </c>
      <c r="D24" s="26"/>
      <c r="E24" s="24"/>
      <c r="F24" s="25"/>
      <c r="G24" s="26"/>
      <c r="H24" s="81" t="s">
        <v>72</v>
      </c>
      <c r="I24" s="82"/>
      <c r="J24" s="25"/>
      <c r="K24" s="26"/>
    </row>
    <row r="25" spans="1:11" ht="15.6" x14ac:dyDescent="0.3">
      <c r="A25" s="24"/>
      <c r="B25" s="25"/>
      <c r="C25" s="25"/>
      <c r="D25" s="26"/>
      <c r="E25" s="104" t="s">
        <v>69</v>
      </c>
      <c r="F25" s="105"/>
      <c r="G25" s="68">
        <f>(POWER(1+$G$11,(360*J27)/360))-1</f>
        <v>0.28000000000000003</v>
      </c>
      <c r="H25" s="72" t="s">
        <v>26</v>
      </c>
      <c r="I25" s="25" t="s">
        <v>59</v>
      </c>
      <c r="J25" s="66">
        <v>500</v>
      </c>
      <c r="K25" s="26"/>
    </row>
    <row r="26" spans="1:11" x14ac:dyDescent="0.3">
      <c r="A26" s="24"/>
      <c r="B26" s="25"/>
      <c r="C26" s="25"/>
      <c r="D26" s="26"/>
      <c r="E26" s="24"/>
      <c r="F26" s="25"/>
      <c r="G26" s="26"/>
      <c r="H26" s="24"/>
      <c r="I26" s="25" t="s">
        <v>60</v>
      </c>
      <c r="J26" s="25">
        <f>$G$10</f>
        <v>12</v>
      </c>
      <c r="K26" s="26"/>
    </row>
    <row r="27" spans="1:11" ht="15.6" x14ac:dyDescent="0.3">
      <c r="A27" s="24"/>
      <c r="B27" s="25"/>
      <c r="C27" s="25"/>
      <c r="D27" s="26"/>
      <c r="E27" s="24"/>
      <c r="F27" s="25"/>
      <c r="G27" s="26"/>
      <c r="H27" s="72" t="s">
        <v>26</v>
      </c>
      <c r="I27" s="25" t="s">
        <v>62</v>
      </c>
      <c r="J27" s="25">
        <v>1</v>
      </c>
      <c r="K27" s="26"/>
    </row>
    <row r="28" spans="1:11" x14ac:dyDescent="0.3">
      <c r="A28" s="24"/>
      <c r="B28" s="25"/>
      <c r="C28" s="25"/>
      <c r="D28" s="26"/>
      <c r="E28" s="24"/>
      <c r="F28" s="25"/>
      <c r="G28" s="26"/>
      <c r="H28" s="24"/>
      <c r="I28" s="25"/>
      <c r="J28" s="25"/>
      <c r="K28" s="26"/>
    </row>
    <row r="29" spans="1:11" x14ac:dyDescent="0.3">
      <c r="A29" s="81" t="s">
        <v>73</v>
      </c>
      <c r="B29" s="82"/>
      <c r="C29" s="25"/>
      <c r="D29" s="26"/>
      <c r="E29" s="24"/>
      <c r="F29" s="25"/>
      <c r="G29" s="26"/>
      <c r="H29" s="81" t="s">
        <v>73</v>
      </c>
      <c r="I29" s="82"/>
      <c r="J29" s="25"/>
      <c r="K29" s="26"/>
    </row>
    <row r="30" spans="1:11" ht="15.6" x14ac:dyDescent="0.3">
      <c r="A30" s="71"/>
      <c r="B30" s="25"/>
      <c r="C30" s="25"/>
      <c r="D30" s="26"/>
      <c r="E30" s="104" t="s">
        <v>69</v>
      </c>
      <c r="F30" s="105"/>
      <c r="G30" s="68">
        <f>(POWER(1+$G$11,(360*J32)/360))-1</f>
        <v>1.6843545600000001</v>
      </c>
      <c r="H30" s="72" t="s">
        <v>26</v>
      </c>
      <c r="I30" s="25" t="s">
        <v>59</v>
      </c>
      <c r="J30" s="66">
        <v>-18000</v>
      </c>
      <c r="K30" s="26"/>
    </row>
    <row r="31" spans="1:11" x14ac:dyDescent="0.3">
      <c r="A31" s="24"/>
      <c r="B31" s="25"/>
      <c r="C31" s="25"/>
      <c r="D31" s="26"/>
      <c r="E31" s="24"/>
      <c r="F31" s="25"/>
      <c r="G31" s="26"/>
      <c r="H31" s="24"/>
      <c r="I31" s="25" t="s">
        <v>60</v>
      </c>
      <c r="J31" s="25">
        <f>$G$10/J32</f>
        <v>3</v>
      </c>
      <c r="K31" s="26"/>
    </row>
    <row r="32" spans="1:11" ht="15.6" x14ac:dyDescent="0.3">
      <c r="A32" s="72" t="s">
        <v>26</v>
      </c>
      <c r="B32" s="25" t="s">
        <v>59</v>
      </c>
      <c r="C32" s="61">
        <v>-5000</v>
      </c>
      <c r="D32" s="26"/>
      <c r="E32" s="109" t="s">
        <v>69</v>
      </c>
      <c r="F32" s="110"/>
      <c r="G32" s="67">
        <f>IF(B3=I3,G11,(POWER(1+$G$11,(360*C34)/360))-1)</f>
        <v>1.0971520000000003</v>
      </c>
      <c r="H32" s="72" t="s">
        <v>26</v>
      </c>
      <c r="I32" s="25" t="s">
        <v>62</v>
      </c>
      <c r="J32" s="25">
        <f>I3</f>
        <v>4</v>
      </c>
      <c r="K32" s="26"/>
    </row>
    <row r="33" spans="1:11" x14ac:dyDescent="0.3">
      <c r="A33" s="24"/>
      <c r="B33" s="25" t="s">
        <v>60</v>
      </c>
      <c r="C33" s="25">
        <f>$G$10/C34</f>
        <v>4</v>
      </c>
      <c r="D33" s="26"/>
      <c r="E33" s="24"/>
      <c r="F33" s="25"/>
      <c r="G33" s="26"/>
      <c r="H33" s="24"/>
      <c r="I33" s="25"/>
      <c r="J33" s="25"/>
      <c r="K33" s="26"/>
    </row>
    <row r="34" spans="1:11" ht="15.6" x14ac:dyDescent="0.3">
      <c r="A34" s="72" t="s">
        <v>26</v>
      </c>
      <c r="B34" s="25" t="s">
        <v>62</v>
      </c>
      <c r="C34" s="25">
        <f>B3</f>
        <v>3</v>
      </c>
      <c r="D34" s="26"/>
      <c r="E34" s="24"/>
      <c r="F34" s="25"/>
      <c r="G34" s="26"/>
      <c r="H34" s="24"/>
      <c r="I34" s="25"/>
      <c r="J34" s="25"/>
      <c r="K34" s="26"/>
    </row>
    <row r="35" spans="1:11" x14ac:dyDescent="0.3">
      <c r="A35" s="24"/>
      <c r="B35" s="25"/>
      <c r="C35" s="25"/>
      <c r="D35" s="26"/>
      <c r="E35" s="24"/>
      <c r="F35" s="25"/>
      <c r="G35" s="26"/>
      <c r="H35" s="24"/>
      <c r="I35" s="25"/>
      <c r="J35" s="25"/>
      <c r="K35" s="26"/>
    </row>
    <row r="36" spans="1:11" ht="15" thickBot="1" x14ac:dyDescent="0.35">
      <c r="A36" s="62"/>
      <c r="B36" s="28"/>
      <c r="C36" s="28"/>
      <c r="D36" s="29"/>
      <c r="E36" s="62"/>
      <c r="F36" s="28"/>
      <c r="G36" s="29"/>
      <c r="H36" s="62"/>
      <c r="I36" s="28"/>
      <c r="J36" s="28"/>
      <c r="K36" s="29"/>
    </row>
    <row r="37" spans="1:11" ht="15" thickBot="1" x14ac:dyDescent="0.35">
      <c r="A37" s="113" t="s">
        <v>65</v>
      </c>
      <c r="B37" s="114"/>
      <c r="C37" s="114"/>
      <c r="D37" s="114"/>
      <c r="E37" s="114"/>
      <c r="F37" s="114"/>
      <c r="G37" s="115"/>
    </row>
    <row r="39" spans="1:11" ht="15" thickBot="1" x14ac:dyDescent="0.35"/>
    <row r="40" spans="1:11" x14ac:dyDescent="0.3">
      <c r="A40" s="89" t="s">
        <v>68</v>
      </c>
      <c r="B40" s="92">
        <f>IF(B3=I3,B2+C14*(((POWER(1+G14,C15))-1)/(G14*(POWER(1+G14,C15))))+C22*(((POWER(1+G22,C23))-1)/(G22*(POWER(1+G22,C23))))+C32*1/(POWER(1+G11,G10)),B2+C14*(((POWER(1+G14,C15))-1)/(G14*(POWER(1+G14,C15))))+C22*(((POWER(1+G22,C23))-1)/(G22*(POWER(1+G22,C23))))+C32*(((POWER(1+G32,C33))-1)/(G32*(POWER(1+G32,C33)))))</f>
        <v>96470.273474370508</v>
      </c>
      <c r="C40" s="93"/>
      <c r="D40" s="94"/>
      <c r="H40" s="89" t="s">
        <v>70</v>
      </c>
      <c r="I40" s="92">
        <f>IF(I3=B3,I2+J16*(((POWER(1+G16,J17))-1)/(G16*(POWER(1+G16,J17))))+J25*(((POWER(1+G25,J26))-1)/(G25*(POWER(1+G25,J26))))+J30*1/(POWER(1+G11,G10)),I2+J16*(((POWER(1+G16,J17))-1)/(G16*(POWER(1+G16,J17))))+J25*(((POWER(1+G25,J26))-1)/(G25*(POWER(1+G25,J26))))+J30*(((POWER(1+G30,J31))-1)/(G30*(POWER(1+G30,J31)))))</f>
        <v>82237.706964620374</v>
      </c>
      <c r="J40" s="93"/>
      <c r="K40" s="94"/>
    </row>
    <row r="41" spans="1:11" x14ac:dyDescent="0.3">
      <c r="A41" s="90"/>
      <c r="B41" s="95"/>
      <c r="C41" s="96"/>
      <c r="D41" s="97"/>
      <c r="H41" s="90"/>
      <c r="I41" s="95"/>
      <c r="J41" s="96"/>
      <c r="K41" s="97"/>
    </row>
    <row r="42" spans="1:11" ht="15" thickBot="1" x14ac:dyDescent="0.35">
      <c r="A42" s="91"/>
      <c r="B42" s="98"/>
      <c r="C42" s="99"/>
      <c r="D42" s="100"/>
      <c r="H42" s="91"/>
      <c r="I42" s="98"/>
      <c r="J42" s="99"/>
      <c r="K42" s="100"/>
    </row>
    <row r="43" spans="1:11" ht="14.4" customHeight="1" x14ac:dyDescent="0.3"/>
    <row r="44" spans="1:11" ht="14.4" customHeight="1" x14ac:dyDescent="0.3"/>
    <row r="45" spans="1:11" ht="15" customHeight="1" thickBot="1" x14ac:dyDescent="0.35">
      <c r="A45" s="6" t="s">
        <v>76</v>
      </c>
      <c r="H45" s="6" t="s">
        <v>76</v>
      </c>
    </row>
    <row r="46" spans="1:11" ht="14.4" customHeight="1" x14ac:dyDescent="0.3">
      <c r="A46" s="87" t="s">
        <v>74</v>
      </c>
      <c r="B46" s="83">
        <f>IF(B3=I3,B40*(($G$11*(POWER(1+$G$11,$G$10)))/((POWER(1+$G$11,5))-1)),0)</f>
        <v>0</v>
      </c>
      <c r="C46" s="83"/>
      <c r="D46" s="84"/>
      <c r="H46" s="87" t="s">
        <v>75</v>
      </c>
      <c r="I46" s="83">
        <f>IF(I3=B3,I40*(($G$11*(POWER(1+$G$11,$G$10)))/((POWER(1+$G$11,5))-1)),0)</f>
        <v>0</v>
      </c>
      <c r="J46" s="83"/>
      <c r="K46" s="84"/>
    </row>
    <row r="47" spans="1:11" ht="15" customHeight="1" thickBot="1" x14ac:dyDescent="0.35">
      <c r="A47" s="88"/>
      <c r="B47" s="85"/>
      <c r="C47" s="85"/>
      <c r="D47" s="86"/>
      <c r="H47" s="88"/>
      <c r="I47" s="85"/>
      <c r="J47" s="85"/>
      <c r="K47" s="86"/>
    </row>
  </sheetData>
  <mergeCells count="25">
    <mergeCell ref="A12:B12"/>
    <mergeCell ref="A1:D1"/>
    <mergeCell ref="E14:F14"/>
    <mergeCell ref="E22:F22"/>
    <mergeCell ref="A19:B19"/>
    <mergeCell ref="E11:F11"/>
    <mergeCell ref="E10:F10"/>
    <mergeCell ref="H1:K1"/>
    <mergeCell ref="E16:F16"/>
    <mergeCell ref="E30:F30"/>
    <mergeCell ref="E25:F25"/>
    <mergeCell ref="H40:H42"/>
    <mergeCell ref="I40:K42"/>
    <mergeCell ref="H15:I15"/>
    <mergeCell ref="A37:G37"/>
    <mergeCell ref="E32:F32"/>
    <mergeCell ref="A29:B29"/>
    <mergeCell ref="H24:I24"/>
    <mergeCell ref="H29:I29"/>
    <mergeCell ref="B46:D47"/>
    <mergeCell ref="A46:A47"/>
    <mergeCell ref="H46:H47"/>
    <mergeCell ref="I46:K47"/>
    <mergeCell ref="A40:A42"/>
    <mergeCell ref="B40:D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8:E20"/>
  <sheetViews>
    <sheetView tabSelected="1" workbookViewId="0">
      <selection activeCell="F26" sqref="F26"/>
    </sheetView>
  </sheetViews>
  <sheetFormatPr baseColWidth="10" defaultRowHeight="14.4" x14ac:dyDescent="0.3"/>
  <sheetData>
    <row r="8" spans="3:5" x14ac:dyDescent="0.3">
      <c r="C8" s="3"/>
      <c r="D8" s="3"/>
      <c r="E8" s="3"/>
    </row>
    <row r="9" spans="3:5" x14ac:dyDescent="0.3">
      <c r="C9" s="5">
        <f>D8+'FONDO ACUMULADO'!F4</f>
        <v>200</v>
      </c>
      <c r="D9" s="5">
        <f>C9+C9*'FONDO ACUMULADO'!C12</f>
        <v>220</v>
      </c>
      <c r="E9" s="4" t="s">
        <v>9</v>
      </c>
    </row>
    <row r="10" spans="3:5" x14ac:dyDescent="0.3">
      <c r="C10" s="5">
        <f>D9+C9</f>
        <v>420</v>
      </c>
      <c r="D10" s="5">
        <f>C10+C10*'FONDO ACUMULADO'!C12</f>
        <v>462</v>
      </c>
      <c r="E10" s="4" t="s">
        <v>10</v>
      </c>
    </row>
    <row r="11" spans="3:5" x14ac:dyDescent="0.3">
      <c r="C11" s="5">
        <f>D10+C9</f>
        <v>662</v>
      </c>
      <c r="D11" s="5">
        <f>C11+C11*'FONDO ACUMULADO'!C12</f>
        <v>728.2</v>
      </c>
      <c r="E11" s="4" t="s">
        <v>11</v>
      </c>
    </row>
    <row r="12" spans="3:5" x14ac:dyDescent="0.3">
      <c r="C12" s="5">
        <f>D11+C9</f>
        <v>928.2</v>
      </c>
      <c r="D12" s="5">
        <f>C12+C12*'FONDO ACUMULADO'!C12</f>
        <v>1021.0200000000001</v>
      </c>
      <c r="E12" s="4" t="s">
        <v>12</v>
      </c>
    </row>
    <row r="13" spans="3:5" x14ac:dyDescent="0.3">
      <c r="C13" s="5">
        <f>D12+C9</f>
        <v>1221.02</v>
      </c>
      <c r="D13" s="5">
        <f>C13+C13*'FONDO ACUMULADO'!C12</f>
        <v>1343.1220000000001</v>
      </c>
      <c r="E13" s="4" t="s">
        <v>13</v>
      </c>
    </row>
    <row r="14" spans="3:5" x14ac:dyDescent="0.3">
      <c r="C14" s="5">
        <f>D13+C9</f>
        <v>1543.1220000000001</v>
      </c>
      <c r="D14" s="5">
        <f>C14+C14*'FONDO ACUMULADO'!C12</f>
        <v>1697.4342000000001</v>
      </c>
      <c r="E14" s="4" t="s">
        <v>14</v>
      </c>
    </row>
    <row r="15" spans="3:5" x14ac:dyDescent="0.3">
      <c r="C15" s="5">
        <f>D14+C9</f>
        <v>1897.4342000000001</v>
      </c>
      <c r="D15" s="5">
        <f>C15+C15*'FONDO ACUMULADO'!C12</f>
        <v>2087.1776200000004</v>
      </c>
      <c r="E15" s="4" t="s">
        <v>15</v>
      </c>
    </row>
    <row r="16" spans="3:5" x14ac:dyDescent="0.3">
      <c r="C16" s="5">
        <f>D15+C9</f>
        <v>2287.1776200000004</v>
      </c>
      <c r="D16" s="5">
        <f>C16+C16*'FONDO ACUMULADO'!C12</f>
        <v>2515.8953820000006</v>
      </c>
      <c r="E16" s="4" t="s">
        <v>16</v>
      </c>
    </row>
    <row r="17" spans="3:5" x14ac:dyDescent="0.3">
      <c r="C17" s="5">
        <f>D16+C9</f>
        <v>2715.8953820000006</v>
      </c>
      <c r="D17" s="5">
        <f>C17+C17*'FONDO ACUMULADO'!C12</f>
        <v>2987.4849202000005</v>
      </c>
      <c r="E17" s="4" t="s">
        <v>17</v>
      </c>
    </row>
    <row r="18" spans="3:5" x14ac:dyDescent="0.3">
      <c r="C18" s="5">
        <f>D17+C9</f>
        <v>3187.4849202000005</v>
      </c>
      <c r="D18" s="5">
        <f>C18+C18*'FONDO ACUMULADO'!C12</f>
        <v>3506.2334122200004</v>
      </c>
      <c r="E18" s="4" t="s">
        <v>18</v>
      </c>
    </row>
    <row r="19" spans="3:5" x14ac:dyDescent="0.3">
      <c r="C19" s="5">
        <f>D18+C9</f>
        <v>3706.2334122200004</v>
      </c>
      <c r="D19" s="5">
        <f>C19+C19*'FONDO ACUMULADO'!C12</f>
        <v>4076.8567534420004</v>
      </c>
      <c r="E19" s="4" t="s">
        <v>19</v>
      </c>
    </row>
    <row r="20" spans="3:5" x14ac:dyDescent="0.3">
      <c r="C20" s="5">
        <f>D19+C9</f>
        <v>4276.8567534419999</v>
      </c>
      <c r="D20" s="5">
        <f>C20+C20*'FONDO ACUMULADO'!C12</f>
        <v>4704.5424287861997</v>
      </c>
      <c r="E20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FONDO ACUMULADO</vt:lpstr>
      <vt:lpstr>FONDO ACUMULADO (Por decisión)</vt:lpstr>
      <vt:lpstr>FONDOS PASADOS</vt:lpstr>
      <vt:lpstr>TREA</vt:lpstr>
      <vt:lpstr>VAN 1</vt:lpstr>
      <vt:lpstr>VAN  2</vt:lpstr>
      <vt:lpstr>VAC Y CAUE </vt:lpstr>
      <vt:lpstr>OTROS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2016-11-21T17:43:54Z</dcterms:created>
  <dcterms:modified xsi:type="dcterms:W3CDTF">2017-11-30T01:28:57Z</dcterms:modified>
</cp:coreProperties>
</file>