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605" tabRatio="534" activeTab="1"/>
  </bookViews>
  <sheets>
    <sheet name="Hoja1" sheetId="1" r:id="rId1"/>
    <sheet name="Hoja2" sheetId="2" r:id="rId2"/>
    <sheet name="Americano" sheetId="3" r:id="rId3"/>
    <sheet name="Aleman" sheetId="4" r:id="rId4"/>
    <sheet name="Frances" sheetId="5" r:id="rId5"/>
    <sheet name="Hoja7" sheetId="7" r:id="rId6"/>
    <sheet name="Hoja8" sheetId="8" r:id="rId7"/>
    <sheet name="vac" sheetId="10" r:id="rId8"/>
    <sheet name="wacc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6" i="10" l="1"/>
  <c r="K56" i="10"/>
  <c r="K47" i="10"/>
  <c r="P46" i="10"/>
  <c r="P53" i="10" s="1"/>
  <c r="P51" i="10" s="1"/>
  <c r="K43" i="10"/>
  <c r="K40" i="10" s="1"/>
  <c r="P37" i="10"/>
  <c r="E37" i="10"/>
  <c r="D46" i="10" s="1"/>
  <c r="K53" i="10" s="1"/>
  <c r="K51" i="10" s="1"/>
  <c r="I30" i="10"/>
  <c r="N51" i="9" l="1"/>
  <c r="N55" i="9" s="1"/>
  <c r="N58" i="9" s="1"/>
  <c r="N50" i="9"/>
  <c r="N29" i="9"/>
  <c r="Q26" i="9"/>
  <c r="Q23" i="9"/>
  <c r="Q16" i="9"/>
  <c r="Q8" i="9"/>
  <c r="Q11" i="9" s="1"/>
  <c r="N32" i="9" s="1"/>
  <c r="N62" i="9" l="1"/>
  <c r="K12" i="8" l="1"/>
  <c r="J12" i="8"/>
  <c r="K10" i="8"/>
  <c r="J10" i="8"/>
  <c r="J8" i="8"/>
  <c r="J6" i="8"/>
  <c r="J7" i="8" s="1"/>
  <c r="J5" i="8"/>
  <c r="J4" i="8"/>
  <c r="J3" i="8"/>
  <c r="H12" i="8"/>
  <c r="H11" i="8"/>
  <c r="H10" i="8"/>
  <c r="I8" i="8"/>
  <c r="I4" i="8"/>
  <c r="I5" i="8"/>
  <c r="I6" i="8"/>
  <c r="I7" i="8"/>
  <c r="I3" i="8"/>
  <c r="B17" i="8"/>
  <c r="E15" i="8"/>
  <c r="D15" i="8"/>
  <c r="E12" i="8"/>
  <c r="D12" i="8"/>
  <c r="D8" i="8"/>
  <c r="D7" i="8"/>
  <c r="D6" i="8"/>
  <c r="D5" i="8"/>
  <c r="D4" i="8"/>
  <c r="D3" i="8"/>
  <c r="B11" i="8"/>
  <c r="C5" i="8"/>
  <c r="C4" i="8"/>
  <c r="C6" i="8"/>
  <c r="B10" i="8" s="1"/>
  <c r="C7" i="8"/>
  <c r="C8" i="8"/>
  <c r="C3" i="8"/>
  <c r="N7" i="2" l="1"/>
  <c r="N5" i="2"/>
  <c r="N6" i="2"/>
  <c r="N8" i="2"/>
  <c r="N9" i="2"/>
  <c r="N4" i="2"/>
  <c r="N3" i="2"/>
  <c r="H3" i="2"/>
  <c r="E3" i="2"/>
  <c r="H13" i="1" l="1"/>
  <c r="A17" i="1" l="1"/>
  <c r="G16" i="1" s="1"/>
  <c r="A21" i="1" l="1"/>
  <c r="E17" i="1"/>
  <c r="H9" i="1" l="1"/>
  <c r="I13" i="1"/>
  <c r="G9" i="1"/>
  <c r="L9" i="1"/>
  <c r="C5" i="1"/>
  <c r="B5" i="1"/>
  <c r="C3" i="1"/>
  <c r="J3" i="1"/>
  <c r="M9" i="1" l="1"/>
  <c r="J9" i="1"/>
  <c r="K9" i="1" s="1"/>
  <c r="I9" i="1"/>
  <c r="I3" i="1"/>
  <c r="K3" i="1"/>
  <c r="H3" i="1"/>
</calcChain>
</file>

<file path=xl/sharedStrings.xml><?xml version="1.0" encoding="utf-8"?>
<sst xmlns="http://schemas.openxmlformats.org/spreadsheetml/2006/main" count="268" uniqueCount="171">
  <si>
    <t>I=S-C</t>
  </si>
  <si>
    <t>S</t>
  </si>
  <si>
    <t>C</t>
  </si>
  <si>
    <t>I=C*i*t</t>
  </si>
  <si>
    <t>t</t>
  </si>
  <si>
    <t>i</t>
  </si>
  <si>
    <t>t exacto /365</t>
  </si>
  <si>
    <t>t ordinario /360</t>
  </si>
  <si>
    <t>tasa simple</t>
  </si>
  <si>
    <t>S=C*(1+i*t)</t>
  </si>
  <si>
    <t>C=S/(1+i*t)</t>
  </si>
  <si>
    <t>t=((S/C)-1)/i</t>
  </si>
  <si>
    <t>i=((S/C)-1)/t</t>
  </si>
  <si>
    <t>tasa nominal</t>
  </si>
  <si>
    <t>TEP=(S/C)-1</t>
  </si>
  <si>
    <t>S=C*(1+TN/m)^n</t>
  </si>
  <si>
    <t>TN</t>
  </si>
  <si>
    <t>TEP=((1+TN/m)^n)-1</t>
  </si>
  <si>
    <t>TN=m*(((1+TEP)^(1/n))-1)</t>
  </si>
  <si>
    <t>n=Ln(S/C)/Ln(1+TN/m)</t>
  </si>
  <si>
    <t>capitalizacion</t>
  </si>
  <si>
    <t>C=S/((1+TN/m)^n)</t>
  </si>
  <si>
    <t>m tn</t>
  </si>
  <si>
    <t>n t</t>
  </si>
  <si>
    <t>C=I/((1+TN/m)^n-1)</t>
  </si>
  <si>
    <t>I</t>
  </si>
  <si>
    <t>ts de int efectiva</t>
  </si>
  <si>
    <t>i'1=((1+i'2)^(n2/n1))-1</t>
  </si>
  <si>
    <t>TEP1</t>
  </si>
  <si>
    <t>TEP2</t>
  </si>
  <si>
    <t>n1</t>
  </si>
  <si>
    <t>n2</t>
  </si>
  <si>
    <t>S=C*(1+TEPdato)^(n transcurridos/n TEP)</t>
  </si>
  <si>
    <t>n trans</t>
  </si>
  <si>
    <t xml:space="preserve">d </t>
  </si>
  <si>
    <t>TEP</t>
  </si>
  <si>
    <t>Tasae</t>
  </si>
  <si>
    <t>Tdescontada</t>
  </si>
  <si>
    <t>descuento(valor nominal*d)</t>
  </si>
  <si>
    <t>valor entregado=Vnominal+cos. Finales</t>
  </si>
  <si>
    <t>TCEA=((Ventr/Vrecib)^(360/t))-1</t>
  </si>
  <si>
    <t>valor neto(valor nominal-descuento) o VNom*(1-d)</t>
  </si>
  <si>
    <t>valor neto=VNom*(1+TEP)^(t tras/t tasa)</t>
  </si>
  <si>
    <t>valor recibio=VNeto-Cost. Inic. - retencion</t>
  </si>
  <si>
    <t>Im=Vnom*(((1+(TNPm/m))^n)-1)</t>
  </si>
  <si>
    <t>Ic=Vnom*(((1+TEPc)^(t/t tasa))-1)</t>
  </si>
  <si>
    <t>n</t>
  </si>
  <si>
    <t>R</t>
  </si>
  <si>
    <t>R=C*(TEP*(1+TEP)^n)/(1+TEP)^n-1)</t>
  </si>
  <si>
    <t>C=R*(1+TEP)^n-1)/(TEP*(1+TEP)^n)</t>
  </si>
  <si>
    <t>TES1</t>
  </si>
  <si>
    <t xml:space="preserve">(1+TEP)^N1/N2 - 1 </t>
  </si>
  <si>
    <t>SI1</t>
  </si>
  <si>
    <t>nc=1 -- si1= c=1440</t>
  </si>
  <si>
    <r>
      <t xml:space="preserve">nc </t>
    </r>
    <r>
      <rPr>
        <sz val="11"/>
        <color theme="1"/>
        <rFont val="Calibri"/>
        <family val="2"/>
      </rPr>
      <t>≠ 1 ---si1 = anterior</t>
    </r>
  </si>
  <si>
    <t xml:space="preserve">I1 </t>
  </si>
  <si>
    <t>TES1*SI1</t>
  </si>
  <si>
    <t>A</t>
  </si>
  <si>
    <r>
      <t xml:space="preserve">NC </t>
    </r>
    <r>
      <rPr>
        <sz val="11"/>
        <color theme="1"/>
        <rFont val="Calibri"/>
        <family val="2"/>
      </rPr>
      <t>€ [1,N-1] --- A=0</t>
    </r>
  </si>
  <si>
    <t>NC=N ----A=SI1</t>
  </si>
  <si>
    <t>R1</t>
  </si>
  <si>
    <t>I1+A1</t>
  </si>
  <si>
    <t>SF1</t>
  </si>
  <si>
    <t>SI1-A</t>
  </si>
  <si>
    <t>SIMPLE</t>
  </si>
  <si>
    <t>COMPUESTO</t>
  </si>
  <si>
    <t>C/N</t>
  </si>
  <si>
    <t>SI2/N-NC +1</t>
  </si>
  <si>
    <t>PLAZP DE GRACIA TOTAL</t>
  </si>
  <si>
    <t>A=0 , R=0</t>
  </si>
  <si>
    <t>PLAZO DE GRACIA PARCIAL O NORMAL</t>
  </si>
  <si>
    <t>A=0</t>
  </si>
  <si>
    <t>COMPUESTA</t>
  </si>
  <si>
    <t>C*(TES1*(1+TES1)^N/(1+TES1)^N -1</t>
  </si>
  <si>
    <t>A1</t>
  </si>
  <si>
    <t>R1-I1</t>
  </si>
  <si>
    <t>C*(TES1*(1+TES1)^N-NC+1 /(1+TES1)^N-NC+1  -1</t>
  </si>
  <si>
    <t>SI1-A1</t>
  </si>
  <si>
    <t>Produce S.A.C.</t>
  </si>
  <si>
    <t>Tasa de descuento anual</t>
  </si>
  <si>
    <t>Año</t>
  </si>
  <si>
    <t>FLUJO</t>
  </si>
  <si>
    <t>FLUJO DESCONTADO</t>
  </si>
  <si>
    <t>FLUJO ACUMULADO DESCONTADO</t>
  </si>
  <si>
    <t>PER. DE RECUPERACION DESCONTADO</t>
  </si>
  <si>
    <t/>
  </si>
  <si>
    <t>VAN</t>
  </si>
  <si>
    <t>TIR</t>
  </si>
  <si>
    <t>PRD</t>
  </si>
  <si>
    <t>B/C</t>
  </si>
  <si>
    <t>Van=-Inver+VA</t>
  </si>
  <si>
    <t>BC=VA/Inversion</t>
  </si>
  <si>
    <t>PRD=tg</t>
  </si>
  <si>
    <t>TiR es del flijo(flechitas)</t>
  </si>
  <si>
    <t>Inver</t>
  </si>
  <si>
    <t>()</t>
  </si>
  <si>
    <t>van</t>
  </si>
  <si>
    <t>tir</t>
  </si>
  <si>
    <t>prd</t>
  </si>
  <si>
    <t>1-x</t>
  </si>
  <si>
    <t>x</t>
  </si>
  <si>
    <t>bc</t>
  </si>
  <si>
    <t>BC</t>
  </si>
  <si>
    <t>PREGUNTA DE EXAMEN PASADO</t>
  </si>
  <si>
    <t>WACC</t>
  </si>
  <si>
    <t>a</t>
  </si>
  <si>
    <t>Acciones Comunes</t>
  </si>
  <si>
    <t>D=Do*(1+g)</t>
  </si>
  <si>
    <t>g</t>
  </si>
  <si>
    <t>D</t>
  </si>
  <si>
    <t>Po</t>
  </si>
  <si>
    <t>Do</t>
  </si>
  <si>
    <t>Ks=(D/(Po*(1-f))) + g</t>
  </si>
  <si>
    <t>f</t>
  </si>
  <si>
    <t>Ks</t>
  </si>
  <si>
    <t>Acciones Preferentes</t>
  </si>
  <si>
    <t>Ks=(Dp/(Po*(1-f)))</t>
  </si>
  <si>
    <t>Dp</t>
  </si>
  <si>
    <t>Retencion de utilidades</t>
  </si>
  <si>
    <t>Ks=(D/Po) + g</t>
  </si>
  <si>
    <t>Stotal=S1+S2+S3</t>
  </si>
  <si>
    <t>Stotal</t>
  </si>
  <si>
    <t>Kstotal=Ks1*(S1/Stotal)+Ks2*(S2/Stotal)+Ks3*(S3/Stotal)</t>
  </si>
  <si>
    <t>Kstotal</t>
  </si>
  <si>
    <t>b</t>
  </si>
  <si>
    <t>Banco de los Trabajadores</t>
  </si>
  <si>
    <t>D1</t>
  </si>
  <si>
    <t>Kd</t>
  </si>
  <si>
    <t>D2</t>
  </si>
  <si>
    <t>D3</t>
  </si>
  <si>
    <t>D4</t>
  </si>
  <si>
    <t>D5</t>
  </si>
  <si>
    <t>IGV</t>
  </si>
  <si>
    <t>D5 sin IGV</t>
  </si>
  <si>
    <t>Dtotal=D1+D2+D3+D4+D5</t>
  </si>
  <si>
    <t>Dtotal</t>
  </si>
  <si>
    <t>Kdtotal=Kd1*(D1/Dtotal)+Kd2*(D2/Dtotal)+Kd3*(D3/Dtotal)…</t>
  </si>
  <si>
    <t>Kdtotal</t>
  </si>
  <si>
    <t>c</t>
  </si>
  <si>
    <t>WACC=Kd*(D/D+S)*(1-IR)+Ks*(S/D+S)</t>
  </si>
  <si>
    <t>ALTERNATIVA 1</t>
  </si>
  <si>
    <t>Costo Ini</t>
  </si>
  <si>
    <t>ALTERNATIVA 2</t>
  </si>
  <si>
    <t>Costo Mant</t>
  </si>
  <si>
    <t>costos partidos</t>
  </si>
  <si>
    <t>CM</t>
  </si>
  <si>
    <t>costos</t>
  </si>
  <si>
    <t>7 A 8 es 7</t>
  </si>
  <si>
    <t>Costo Mano O.</t>
  </si>
  <si>
    <t>Inversion</t>
  </si>
  <si>
    <t>Salvamento</t>
  </si>
  <si>
    <t>M x cd 10 años</t>
  </si>
  <si>
    <t>Vida util</t>
  </si>
  <si>
    <t>TEA</t>
  </si>
  <si>
    <r>
      <t>TE15A=(1+TEA)</t>
    </r>
    <r>
      <rPr>
        <sz val="11"/>
        <color theme="1"/>
        <rFont val="Calibri"/>
        <family val="2"/>
      </rPr>
      <t>^AñoFinal</t>
    </r>
    <r>
      <rPr>
        <sz val="11"/>
        <color theme="1"/>
        <rFont val="Calibri"/>
        <family val="2"/>
        <scheme val="minor"/>
      </rPr>
      <t>-1</t>
    </r>
  </si>
  <si>
    <r>
      <t>TE5A=(1+TEA)</t>
    </r>
    <r>
      <rPr>
        <sz val="11"/>
        <color theme="1"/>
        <rFont val="Calibri"/>
        <family val="2"/>
      </rPr>
      <t>^AñoFinal</t>
    </r>
    <r>
      <rPr>
        <sz val="11"/>
        <color theme="1"/>
        <rFont val="Calibri"/>
        <family val="2"/>
        <scheme val="minor"/>
      </rPr>
      <t>-1</t>
    </r>
  </si>
  <si>
    <t>TE15A</t>
  </si>
  <si>
    <t>TE5A</t>
  </si>
  <si>
    <t>VAC1</t>
  </si>
  <si>
    <t>PV</t>
  </si>
  <si>
    <t>VAC1=CI+CM*((((1+TEA)^4)-1)/(((1+TEA)^4)*TEA))+((CM/TEA)/((1+TEA)^4))+(Inversion*((1+TEA)^5))+(M/TE5A)</t>
  </si>
  <si>
    <t>salvataje</t>
  </si>
  <si>
    <t>VAC2=CI+(CM+COM)*((((1+TEA)^5)-1)/(((1+TEA)^5)*TEA))-(Salvamento/((1+TEA)^5))</t>
  </si>
  <si>
    <t>VAC2=</t>
  </si>
  <si>
    <r>
      <t>(1+TEA)</t>
    </r>
    <r>
      <rPr>
        <sz val="11"/>
        <color theme="1"/>
        <rFont val="Calibri"/>
        <family val="2"/>
      </rPr>
      <t>^</t>
    </r>
    <r>
      <rPr>
        <sz val="11"/>
        <color theme="1"/>
        <rFont val="Calibri"/>
        <family val="2"/>
        <scheme val="minor"/>
      </rPr>
      <t>n</t>
    </r>
  </si>
  <si>
    <t>CAUE1</t>
  </si>
  <si>
    <t>CAUE2</t>
  </si>
  <si>
    <t>VAC2</t>
  </si>
  <si>
    <t>AñoFinal</t>
  </si>
  <si>
    <t>p236</t>
  </si>
  <si>
    <t>Analisis de Reemplazo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</si>
</sst>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_-* #,##0.00\ _€_-;\-* #,##0.00\ _€_-;_-* &quot;-&quot;??\ _€_-;_-@_-"/>
    <numFmt numFmtId="165" formatCode="0.000%"/>
    <numFmt numFmtId="166" formatCode="[Blue]\ #,##0.00_);[Red]\(\ #,##0.00\)"/>
    <numFmt numFmtId="167" formatCode="[Blue]\ #,##0.000_);[Red]\(\ #,##0.000\)"/>
    <numFmt numFmtId="168" formatCode="0.000000%"/>
    <numFmt numFmtId="169" formatCode="0.0000000%"/>
    <numFmt numFmtId="170" formatCode="0.0000%"/>
    <numFmt numFmtId="171" formatCode="0.000000000%"/>
    <numFmt numFmtId="172" formatCode="0.0000000000000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12"/>
      <name val="Arial"/>
      <family val="2"/>
    </font>
    <font>
      <b/>
      <sz val="9"/>
      <color indexed="12"/>
      <name val="Arial"/>
      <family val="2"/>
    </font>
    <font>
      <sz val="10"/>
      <name val="Comic Sans MS"/>
      <family val="4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indexed="27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indexed="27"/>
      </patternFill>
    </fill>
    <fill>
      <patternFill patternType="solid">
        <fgColor rgb="FF00B858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0">
    <xf numFmtId="0" fontId="0" fillId="0" borderId="0" xfId="0"/>
    <xf numFmtId="0" fontId="0" fillId="0" borderId="1" xfId="0" applyBorder="1"/>
    <xf numFmtId="0" fontId="0" fillId="0" borderId="1" xfId="0" applyFont="1" applyBorder="1"/>
    <xf numFmtId="0" fontId="0" fillId="0" borderId="2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0" xfId="0" applyFill="1"/>
    <xf numFmtId="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" fillId="0" borderId="0" xfId="0" applyFont="1"/>
    <xf numFmtId="10" fontId="4" fillId="0" borderId="9" xfId="0" applyNumberFormat="1" applyFont="1" applyBorder="1" applyAlignment="1">
      <alignment horizontal="center"/>
    </xf>
    <xf numFmtId="0" fontId="5" fillId="5" borderId="9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/>
    </xf>
    <xf numFmtId="166" fontId="5" fillId="0" borderId="9" xfId="2" applyNumberFormat="1" applyFont="1" applyBorder="1" applyAlignment="1">
      <alignment horizontal="right"/>
    </xf>
    <xf numFmtId="166" fontId="5" fillId="0" borderId="9" xfId="2" applyNumberFormat="1" applyFont="1" applyBorder="1" applyAlignment="1">
      <alignment horizontal="center"/>
    </xf>
    <xf numFmtId="0" fontId="6" fillId="6" borderId="9" xfId="0" applyFont="1" applyFill="1" applyBorder="1" applyAlignment="1">
      <alignment horizontal="left"/>
    </xf>
    <xf numFmtId="166" fontId="7" fillId="2" borderId="9" xfId="2" applyNumberFormat="1" applyFont="1" applyFill="1" applyBorder="1" applyAlignment="1">
      <alignment horizontal="right"/>
    </xf>
    <xf numFmtId="10" fontId="8" fillId="0" borderId="0" xfId="1" applyNumberFormat="1" applyFont="1" applyBorder="1" applyAlignment="1">
      <alignment horizontal="right"/>
    </xf>
    <xf numFmtId="165" fontId="7" fillId="2" borderId="9" xfId="1" applyNumberFormat="1" applyFont="1" applyFill="1" applyBorder="1" applyAlignment="1">
      <alignment horizontal="right"/>
    </xf>
    <xf numFmtId="166" fontId="5" fillId="2" borderId="9" xfId="2" applyNumberFormat="1" applyFont="1" applyFill="1" applyBorder="1" applyAlignment="1">
      <alignment horizontal="center"/>
    </xf>
    <xf numFmtId="167" fontId="5" fillId="2" borderId="9" xfId="2" applyNumberFormat="1" applyFont="1" applyFill="1" applyBorder="1" applyAlignment="1">
      <alignment horizontal="center"/>
    </xf>
    <xf numFmtId="165" fontId="4" fillId="0" borderId="0" xfId="0" applyNumberFormat="1" applyFont="1"/>
    <xf numFmtId="0" fontId="9" fillId="0" borderId="0" xfId="0" applyFont="1"/>
    <xf numFmtId="168" fontId="0" fillId="0" borderId="0" xfId="0" applyNumberFormat="1"/>
    <xf numFmtId="169" fontId="0" fillId="0" borderId="0" xfId="0" applyNumberFormat="1"/>
    <xf numFmtId="0" fontId="0" fillId="8" borderId="0" xfId="0" applyFill="1"/>
    <xf numFmtId="0" fontId="0" fillId="4" borderId="1" xfId="0" applyFill="1" applyBorder="1"/>
    <xf numFmtId="9" fontId="0" fillId="4" borderId="1" xfId="0" applyNumberFormat="1" applyFill="1" applyBorder="1"/>
    <xf numFmtId="0" fontId="0" fillId="9" borderId="0" xfId="0" applyFill="1"/>
    <xf numFmtId="169" fontId="0" fillId="9" borderId="0" xfId="0" applyNumberFormat="1" applyFill="1"/>
    <xf numFmtId="9" fontId="0" fillId="0" borderId="0" xfId="0" applyNumberFormat="1"/>
    <xf numFmtId="0" fontId="0" fillId="6" borderId="1" xfId="0" applyFill="1" applyBorder="1"/>
    <xf numFmtId="10" fontId="0" fillId="6" borderId="1" xfId="0" applyNumberFormat="1" applyFill="1" applyBorder="1"/>
    <xf numFmtId="1" fontId="0" fillId="6" borderId="1" xfId="0" applyNumberFormat="1" applyFill="1" applyBorder="1"/>
    <xf numFmtId="2" fontId="0" fillId="6" borderId="1" xfId="0" applyNumberFormat="1" applyFill="1" applyBorder="1"/>
    <xf numFmtId="2" fontId="0" fillId="9" borderId="0" xfId="0" applyNumberFormat="1" applyFill="1"/>
    <xf numFmtId="169" fontId="0" fillId="9" borderId="0" xfId="1" applyNumberFormat="1" applyFont="1" applyFill="1"/>
    <xf numFmtId="170" fontId="0" fillId="0" borderId="0" xfId="1" applyNumberFormat="1" applyFont="1"/>
    <xf numFmtId="171" fontId="0" fillId="9" borderId="0" xfId="0" applyNumberFormat="1" applyFill="1"/>
    <xf numFmtId="0" fontId="0" fillId="10" borderId="0" xfId="0" applyFill="1"/>
    <xf numFmtId="0" fontId="0" fillId="12" borderId="0" xfId="0" applyFill="1" applyAlignment="1">
      <alignment vertical="center" wrapText="1"/>
    </xf>
    <xf numFmtId="0" fontId="0" fillId="13" borderId="0" xfId="0" applyFill="1" applyAlignment="1">
      <alignment vertical="center" wrapText="1"/>
    </xf>
    <xf numFmtId="172" fontId="0" fillId="9" borderId="0" xfId="0" applyNumberFormat="1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14" borderId="1" xfId="0" applyFill="1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15" borderId="1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2" fontId="0" fillId="0" borderId="1" xfId="0" applyNumberFormat="1" applyBorder="1"/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left"/>
    </xf>
    <xf numFmtId="0" fontId="4" fillId="4" borderId="7" xfId="0" applyFont="1" applyFill="1" applyBorder="1" applyAlignment="1">
      <alignment horizontal="left"/>
    </xf>
    <xf numFmtId="0" fontId="4" fillId="4" borderId="8" xfId="0" applyFont="1" applyFill="1" applyBorder="1" applyAlignment="1">
      <alignment horizontal="left"/>
    </xf>
    <xf numFmtId="0" fontId="0" fillId="11" borderId="0" xfId="0" applyFill="1" applyAlignment="1">
      <alignment horizontal="center" vertical="center"/>
    </xf>
    <xf numFmtId="0" fontId="0" fillId="9" borderId="0" xfId="0" applyFill="1" applyAlignment="1">
      <alignment horizontal="center" wrapText="1"/>
    </xf>
    <xf numFmtId="0" fontId="0" fillId="9" borderId="0" xfId="0" applyFill="1" applyAlignment="1">
      <alignment horizontal="center" vertical="center"/>
    </xf>
  </cellXfs>
  <cellStyles count="3">
    <cellStyle name="Millares 2" xfId="2"/>
    <cellStyle name="Normal" xfId="0" builtinId="0"/>
    <cellStyle name="Porcentaje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</xdr:colOff>
      <xdr:row>7</xdr:row>
      <xdr:rowOff>19050</xdr:rowOff>
    </xdr:from>
    <xdr:to>
      <xdr:col>10</xdr:col>
      <xdr:colOff>589717</xdr:colOff>
      <xdr:row>35</xdr:row>
      <xdr:rowOff>85050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05150" y="1323975"/>
          <a:ext cx="6666667" cy="5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739775</xdr:colOff>
      <xdr:row>0</xdr:row>
      <xdr:rowOff>168510</xdr:rowOff>
    </xdr:from>
    <xdr:to>
      <xdr:col>8</xdr:col>
      <xdr:colOff>277812</xdr:colOff>
      <xdr:row>25</xdr:row>
      <xdr:rowOff>112184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10D891A2-C963-46ED-9093-2AD8E55C0A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623" t="17971" r="16314" b="7280"/>
        <a:stretch/>
      </xdr:blipFill>
      <xdr:spPr>
        <a:xfrm>
          <a:off x="739775" y="168510"/>
          <a:ext cx="6834187" cy="470617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39</xdr:row>
      <xdr:rowOff>71438</xdr:rowOff>
    </xdr:from>
    <xdr:to>
      <xdr:col>6</xdr:col>
      <xdr:colOff>178593</xdr:colOff>
      <xdr:row>42</xdr:row>
      <xdr:rowOff>130865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F861B86B-15E8-4EF8-BFB3-2353F1B446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0" y="7500938"/>
          <a:ext cx="3969543" cy="630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190500</xdr:colOff>
      <xdr:row>50</xdr:row>
      <xdr:rowOff>119063</xdr:rowOff>
    </xdr:from>
    <xdr:to>
      <xdr:col>5</xdr:col>
      <xdr:colOff>285751</xdr:colOff>
      <xdr:row>54</xdr:row>
      <xdr:rowOff>61438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84408A92-F97D-48F0-87E2-906C856E46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9644063"/>
          <a:ext cx="2552701" cy="70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47624</xdr:colOff>
      <xdr:row>3</xdr:row>
      <xdr:rowOff>171451</xdr:rowOff>
    </xdr:from>
    <xdr:to>
      <xdr:col>9</xdr:col>
      <xdr:colOff>257175</xdr:colOff>
      <xdr:row>18</xdr:row>
      <xdr:rowOff>104775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id="{5DD89BCE-2525-4ECB-A7C4-79E81E6742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8480" t="17450" r="23051" b="44395"/>
        <a:stretch/>
      </xdr:blipFill>
      <xdr:spPr>
        <a:xfrm>
          <a:off x="809624" y="742951"/>
          <a:ext cx="6305551" cy="279082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17</xdr:row>
      <xdr:rowOff>114300</xdr:rowOff>
    </xdr:from>
    <xdr:to>
      <xdr:col>9</xdr:col>
      <xdr:colOff>200025</xdr:colOff>
      <xdr:row>44</xdr:row>
      <xdr:rowOff>152400</xdr:rowOff>
    </xdr:to>
    <xdr:pic>
      <xdr:nvPicPr>
        <xdr:cNvPr id="3" name="3 Imagen">
          <a:extLst>
            <a:ext uri="{FF2B5EF4-FFF2-40B4-BE49-F238E27FC236}">
              <a16:creationId xmlns:a16="http://schemas.microsoft.com/office/drawing/2014/main" id="{C110DD21-CA14-48A3-AE7D-E5DECE49286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7821" t="21618" r="23856" b="7540"/>
        <a:stretch/>
      </xdr:blipFill>
      <xdr:spPr>
        <a:xfrm>
          <a:off x="771525" y="3352800"/>
          <a:ext cx="6286500" cy="5181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G14" sqref="G14"/>
    </sheetView>
  </sheetViews>
  <sheetFormatPr baseColWidth="10" defaultRowHeight="15" x14ac:dyDescent="0.25"/>
  <cols>
    <col min="1" max="1" width="16" customWidth="1"/>
    <col min="3" max="3" width="12.5703125" customWidth="1"/>
    <col min="5" max="5" width="13" customWidth="1"/>
    <col min="6" max="6" width="14.42578125" customWidth="1"/>
    <col min="8" max="8" width="20.28515625" customWidth="1"/>
    <col min="9" max="9" width="36.42578125" customWidth="1"/>
    <col min="10" max="10" width="19" customWidth="1"/>
    <col min="11" max="11" width="23.42578125" customWidth="1"/>
    <col min="12" max="12" width="21.140625" customWidth="1"/>
    <col min="13" max="13" width="18.28515625" customWidth="1"/>
  </cols>
  <sheetData>
    <row r="1" spans="1:16" x14ac:dyDescent="0.25">
      <c r="A1" t="s">
        <v>8</v>
      </c>
    </row>
    <row r="2" spans="1:16" x14ac:dyDescent="0.25">
      <c r="A2" s="2" t="s">
        <v>1</v>
      </c>
      <c r="B2" s="1" t="s">
        <v>2</v>
      </c>
      <c r="C2" s="4" t="s">
        <v>0</v>
      </c>
      <c r="D2" s="6"/>
      <c r="E2" s="4" t="s">
        <v>6</v>
      </c>
      <c r="F2" s="4" t="s">
        <v>7</v>
      </c>
      <c r="G2" s="4"/>
      <c r="H2" s="4" t="s">
        <v>9</v>
      </c>
      <c r="I2" s="4" t="s">
        <v>10</v>
      </c>
      <c r="J2" s="4" t="s">
        <v>11</v>
      </c>
      <c r="K2" s="4" t="s">
        <v>12</v>
      </c>
    </row>
    <row r="3" spans="1:16" x14ac:dyDescent="0.25">
      <c r="A3">
        <v>1644</v>
      </c>
      <c r="B3">
        <v>1500</v>
      </c>
      <c r="C3" s="6">
        <f>(A3-B3)</f>
        <v>144</v>
      </c>
      <c r="D3" s="6"/>
      <c r="E3" s="6"/>
      <c r="F3" s="6"/>
      <c r="G3" s="6"/>
      <c r="H3" s="6">
        <f>B3*(1+(A5*B5))</f>
        <v>1644.0000000000002</v>
      </c>
      <c r="I3" s="6">
        <f>A3/(1+(A5*B5))</f>
        <v>1499.9999999999998</v>
      </c>
      <c r="J3" s="6">
        <f>((A3/B3)-1)/A5</f>
        <v>8.3333333333333412E-2</v>
      </c>
      <c r="K3" s="6">
        <f>((A3/B3)-1)/B5</f>
        <v>1.152000000000001</v>
      </c>
    </row>
    <row r="4" spans="1:16" x14ac:dyDescent="0.25">
      <c r="A4" s="1" t="s">
        <v>5</v>
      </c>
      <c r="B4" s="1" t="s">
        <v>4</v>
      </c>
      <c r="C4" s="4" t="s">
        <v>3</v>
      </c>
      <c r="D4" s="6"/>
      <c r="E4" s="6"/>
      <c r="F4" s="6"/>
      <c r="G4" s="6"/>
      <c r="H4" s="6"/>
      <c r="I4" s="6"/>
      <c r="J4" s="6"/>
      <c r="K4" s="6"/>
    </row>
    <row r="5" spans="1:16" x14ac:dyDescent="0.25">
      <c r="A5">
        <v>1.1519999999999999</v>
      </c>
      <c r="B5">
        <f>(1*30)/360</f>
        <v>8.3333333333333329E-2</v>
      </c>
      <c r="C5">
        <f>B3*A5*B5</f>
        <v>143.99999999999997</v>
      </c>
    </row>
    <row r="7" spans="1:16" x14ac:dyDescent="0.25">
      <c r="A7" t="s">
        <v>13</v>
      </c>
    </row>
    <row r="8" spans="1:16" x14ac:dyDescent="0.25">
      <c r="A8" s="4" t="s">
        <v>1</v>
      </c>
      <c r="B8" s="4" t="s">
        <v>2</v>
      </c>
      <c r="C8" s="4" t="s">
        <v>22</v>
      </c>
      <c r="D8" s="4" t="s">
        <v>23</v>
      </c>
      <c r="E8" s="4" t="s">
        <v>16</v>
      </c>
      <c r="F8" s="5" t="s">
        <v>20</v>
      </c>
      <c r="G8" s="4" t="s">
        <v>14</v>
      </c>
      <c r="H8" s="4" t="s">
        <v>15</v>
      </c>
      <c r="I8" s="4" t="s">
        <v>21</v>
      </c>
      <c r="J8" s="4" t="s">
        <v>17</v>
      </c>
      <c r="K8" s="4" t="s">
        <v>18</v>
      </c>
      <c r="L8" s="4" t="s">
        <v>19</v>
      </c>
      <c r="M8" s="4" t="s">
        <v>24</v>
      </c>
      <c r="N8" s="3" t="s">
        <v>25</v>
      </c>
    </row>
    <row r="9" spans="1:16" x14ac:dyDescent="0.25">
      <c r="A9">
        <v>60000</v>
      </c>
      <c r="B9">
        <v>60000</v>
      </c>
      <c r="C9">
        <v>12</v>
      </c>
      <c r="D9">
        <v>4</v>
      </c>
      <c r="E9">
        <v>0.18</v>
      </c>
      <c r="G9">
        <f>(A9/B9)-1</f>
        <v>0</v>
      </c>
      <c r="H9" s="6">
        <f>B9*(1+(E9/C9))^D9</f>
        <v>63681.813037499967</v>
      </c>
      <c r="I9">
        <f>A9/((1+(E9/C9))^D9)</f>
        <v>56531.053817203465</v>
      </c>
      <c r="J9">
        <f>((1+(E9/C9))^D9)-1</f>
        <v>6.136355062499943E-2</v>
      </c>
      <c r="K9">
        <f>C9*(((1+J9)^(1/D9))-1)</f>
        <v>0.17999999999999883</v>
      </c>
      <c r="L9">
        <f>(LN(A9/B9))/(LN(1+(E9/C9)))</f>
        <v>0</v>
      </c>
      <c r="M9">
        <f>N9/(((1+(E9/C9))^D9)-1)</f>
        <v>2444.447859881338</v>
      </c>
      <c r="N9">
        <v>150</v>
      </c>
    </row>
    <row r="11" spans="1:16" x14ac:dyDescent="0.25">
      <c r="A11" t="s">
        <v>26</v>
      </c>
    </row>
    <row r="12" spans="1:16" x14ac:dyDescent="0.25">
      <c r="A12" s="1" t="s">
        <v>28</v>
      </c>
      <c r="B12" s="1" t="s">
        <v>29</v>
      </c>
      <c r="C12" s="1" t="s">
        <v>30</v>
      </c>
      <c r="D12" s="1" t="s">
        <v>31</v>
      </c>
      <c r="E12" s="1" t="s">
        <v>1</v>
      </c>
      <c r="F12" s="4" t="s">
        <v>2</v>
      </c>
      <c r="G12" s="4" t="s">
        <v>33</v>
      </c>
      <c r="H12" s="4" t="s">
        <v>27</v>
      </c>
      <c r="I12" s="4" t="s">
        <v>32</v>
      </c>
      <c r="J12" s="1"/>
      <c r="K12" s="1"/>
    </row>
    <row r="13" spans="1:16" x14ac:dyDescent="0.25">
      <c r="A13">
        <v>0.02</v>
      </c>
      <c r="B13">
        <v>5.0999999999999997E-2</v>
      </c>
      <c r="C13">
        <v>360</v>
      </c>
      <c r="D13">
        <v>30</v>
      </c>
      <c r="F13">
        <v>5000</v>
      </c>
      <c r="G13">
        <v>360</v>
      </c>
      <c r="H13">
        <f>((1+B13)^(C13/D13))-1</f>
        <v>0.81648824738955561</v>
      </c>
      <c r="I13">
        <f>F13*((1+A13)^(G13/C13))</f>
        <v>5100</v>
      </c>
    </row>
    <row r="15" spans="1:16" x14ac:dyDescent="0.25">
      <c r="A15" t="s">
        <v>37</v>
      </c>
      <c r="D15" t="s">
        <v>36</v>
      </c>
      <c r="G15" t="s">
        <v>38</v>
      </c>
      <c r="I15" t="s">
        <v>41</v>
      </c>
      <c r="K15" t="s">
        <v>42</v>
      </c>
      <c r="M15" t="s">
        <v>43</v>
      </c>
      <c r="P15" t="s">
        <v>39</v>
      </c>
    </row>
    <row r="16" spans="1:16" x14ac:dyDescent="0.25">
      <c r="A16" t="s">
        <v>34</v>
      </c>
      <c r="B16" t="s">
        <v>35</v>
      </c>
      <c r="D16" t="s">
        <v>34</v>
      </c>
      <c r="E16" t="s">
        <v>35</v>
      </c>
      <c r="G16">
        <f>A17*57000</f>
        <v>2253.9672541023233</v>
      </c>
      <c r="M16">
        <v>4</v>
      </c>
      <c r="P16">
        <v>5</v>
      </c>
    </row>
    <row r="17" spans="1:9" x14ac:dyDescent="0.25">
      <c r="A17">
        <f>B17/(1+B17)</f>
        <v>3.9543285159689884E-2</v>
      </c>
      <c r="B17">
        <v>4.1171335000000003E-2</v>
      </c>
      <c r="D17">
        <v>0.25</v>
      </c>
      <c r="E17">
        <f>D17/(1-D17)</f>
        <v>0.33333333333333331</v>
      </c>
    </row>
    <row r="20" spans="1:9" x14ac:dyDescent="0.25">
      <c r="A20" t="s">
        <v>40</v>
      </c>
      <c r="E20" t="s">
        <v>4</v>
      </c>
      <c r="F20" t="s">
        <v>44</v>
      </c>
      <c r="I20" t="s">
        <v>45</v>
      </c>
    </row>
    <row r="21" spans="1:9" x14ac:dyDescent="0.25">
      <c r="A21">
        <f>((P16/M16)^(360/E21))-1</f>
        <v>9495566.7457598001</v>
      </c>
      <c r="E21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zoomScaleNormal="100" workbookViewId="0">
      <selection activeCell="M14" sqref="M14"/>
    </sheetView>
  </sheetViews>
  <sheetFormatPr baseColWidth="10" defaultRowHeight="15" x14ac:dyDescent="0.25"/>
  <cols>
    <col min="2" max="2" width="16.5703125" customWidth="1"/>
    <col min="3" max="3" width="18.140625" customWidth="1"/>
    <col min="5" max="5" width="23" customWidth="1"/>
  </cols>
  <sheetData>
    <row r="1" spans="1:14" x14ac:dyDescent="0.25">
      <c r="M1" t="s">
        <v>94</v>
      </c>
    </row>
    <row r="2" spans="1:14" x14ac:dyDescent="0.25">
      <c r="A2" t="s">
        <v>2</v>
      </c>
      <c r="B2" t="s">
        <v>35</v>
      </c>
      <c r="C2" t="s">
        <v>46</v>
      </c>
      <c r="D2" t="s">
        <v>47</v>
      </c>
      <c r="E2" t="s">
        <v>48</v>
      </c>
      <c r="H2" t="s">
        <v>49</v>
      </c>
      <c r="M2" t="s">
        <v>95</v>
      </c>
    </row>
    <row r="3" spans="1:14" ht="12.75" customHeight="1" x14ac:dyDescent="0.25">
      <c r="A3">
        <v>33759.199999999997</v>
      </c>
      <c r="B3">
        <v>6.0449190200000001E-3</v>
      </c>
      <c r="C3">
        <v>36</v>
      </c>
      <c r="D3">
        <v>1046.31</v>
      </c>
      <c r="E3" s="7">
        <f>A3*((B3*(1+B3)^C3)/((1+B3)^C3-1))</f>
        <v>1046.3096092734697</v>
      </c>
      <c r="H3">
        <f>D3*(((1+B3)^C3)-1)/(B3*(1+B3)^C3)</f>
        <v>33759.212606799134</v>
      </c>
      <c r="L3">
        <v>1</v>
      </c>
      <c r="N3">
        <f>M3/(1+0)^L3</f>
        <v>0</v>
      </c>
    </row>
    <row r="4" spans="1:14" x14ac:dyDescent="0.25">
      <c r="L4">
        <v>2</v>
      </c>
      <c r="N4">
        <f>M4/(1+0)^L4</f>
        <v>0</v>
      </c>
    </row>
    <row r="5" spans="1:14" x14ac:dyDescent="0.25">
      <c r="B5" t="s">
        <v>90</v>
      </c>
      <c r="C5" t="s">
        <v>91</v>
      </c>
      <c r="D5" t="s">
        <v>92</v>
      </c>
      <c r="E5" t="s">
        <v>93</v>
      </c>
      <c r="L5">
        <v>3</v>
      </c>
      <c r="N5" s="11">
        <f t="shared" ref="N5:N9" si="0">M5/(1+0)^L5</f>
        <v>0</v>
      </c>
    </row>
    <row r="6" spans="1:14" x14ac:dyDescent="0.25">
      <c r="L6">
        <v>4</v>
      </c>
      <c r="N6" s="11">
        <f t="shared" si="0"/>
        <v>0</v>
      </c>
    </row>
    <row r="7" spans="1:14" x14ac:dyDescent="0.25">
      <c r="L7">
        <v>5</v>
      </c>
      <c r="N7" s="11">
        <f>M7/(1+0)^L7</f>
        <v>0</v>
      </c>
    </row>
    <row r="8" spans="1:14" x14ac:dyDescent="0.25">
      <c r="L8">
        <v>6</v>
      </c>
      <c r="N8" s="11">
        <f t="shared" si="0"/>
        <v>0</v>
      </c>
    </row>
    <row r="9" spans="1:14" x14ac:dyDescent="0.25">
      <c r="L9">
        <v>7</v>
      </c>
      <c r="N9" s="11">
        <f t="shared" si="0"/>
        <v>0</v>
      </c>
    </row>
    <row r="13" spans="1:14" x14ac:dyDescent="0.25">
      <c r="B13">
        <v>215</v>
      </c>
      <c r="L13" t="s">
        <v>169</v>
      </c>
      <c r="M13" t="s">
        <v>170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2"/>
  <sheetViews>
    <sheetView workbookViewId="0">
      <selection activeCell="E12" sqref="E12"/>
    </sheetView>
  </sheetViews>
  <sheetFormatPr baseColWidth="10" defaultRowHeight="15" x14ac:dyDescent="0.25"/>
  <sheetData>
    <row r="4" spans="2:3" x14ac:dyDescent="0.25">
      <c r="B4" s="8" t="s">
        <v>50</v>
      </c>
      <c r="C4" s="8" t="s">
        <v>51</v>
      </c>
    </row>
    <row r="5" spans="2:3" x14ac:dyDescent="0.25">
      <c r="B5" s="8" t="s">
        <v>52</v>
      </c>
      <c r="C5" s="8" t="s">
        <v>53</v>
      </c>
    </row>
    <row r="6" spans="2:3" x14ac:dyDescent="0.25">
      <c r="B6" s="8"/>
      <c r="C6" s="8" t="s">
        <v>54</v>
      </c>
    </row>
    <row r="7" spans="2:3" x14ac:dyDescent="0.25">
      <c r="B7" s="8" t="s">
        <v>55</v>
      </c>
      <c r="C7" s="8" t="s">
        <v>56</v>
      </c>
    </row>
    <row r="9" spans="2:3" x14ac:dyDescent="0.25">
      <c r="B9" s="8" t="s">
        <v>57</v>
      </c>
      <c r="C9" s="8" t="s">
        <v>58</v>
      </c>
    </row>
    <row r="10" spans="2:3" x14ac:dyDescent="0.25">
      <c r="B10" s="8"/>
      <c r="C10" s="8" t="s">
        <v>59</v>
      </c>
    </row>
    <row r="11" spans="2:3" x14ac:dyDescent="0.25">
      <c r="B11" s="8" t="s">
        <v>60</v>
      </c>
      <c r="C11" s="8" t="s">
        <v>61</v>
      </c>
    </row>
    <row r="12" spans="2:3" x14ac:dyDescent="0.25">
      <c r="B12" s="8" t="s">
        <v>62</v>
      </c>
      <c r="C12" s="8" t="s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8"/>
  <sheetViews>
    <sheetView workbookViewId="0">
      <selection activeCell="L11" sqref="L11"/>
    </sheetView>
  </sheetViews>
  <sheetFormatPr baseColWidth="10" defaultRowHeight="15" x14ac:dyDescent="0.25"/>
  <sheetData>
    <row r="2" spans="2:9" x14ac:dyDescent="0.25">
      <c r="B2" s="9" t="s">
        <v>64</v>
      </c>
      <c r="C2" s="9"/>
      <c r="D2" s="9"/>
      <c r="E2" s="9"/>
      <c r="F2" s="9" t="s">
        <v>65</v>
      </c>
      <c r="G2" s="9"/>
      <c r="H2" s="9"/>
      <c r="I2" s="9"/>
    </row>
    <row r="3" spans="2:9" x14ac:dyDescent="0.25">
      <c r="B3" s="9" t="s">
        <v>50</v>
      </c>
      <c r="C3" s="9" t="s">
        <v>51</v>
      </c>
      <c r="D3" s="9"/>
      <c r="E3" s="9"/>
      <c r="F3" s="9" t="s">
        <v>50</v>
      </c>
      <c r="G3" s="9" t="s">
        <v>51</v>
      </c>
      <c r="H3" s="9"/>
      <c r="I3" s="9"/>
    </row>
    <row r="4" spans="2:9" x14ac:dyDescent="0.25">
      <c r="B4" s="9" t="s">
        <v>52</v>
      </c>
      <c r="C4" s="9" t="s">
        <v>53</v>
      </c>
      <c r="D4" s="9"/>
      <c r="E4" s="9"/>
      <c r="F4" s="9" t="s">
        <v>52</v>
      </c>
      <c r="G4" s="9" t="s">
        <v>53</v>
      </c>
      <c r="H4" s="9"/>
      <c r="I4" s="9"/>
    </row>
    <row r="5" spans="2:9" x14ac:dyDescent="0.25">
      <c r="B5" s="9"/>
      <c r="C5" s="9" t="s">
        <v>54</v>
      </c>
      <c r="D5" s="9"/>
      <c r="E5" s="9"/>
      <c r="F5" s="9"/>
      <c r="G5" s="9" t="s">
        <v>54</v>
      </c>
      <c r="H5" s="9"/>
      <c r="I5" s="9"/>
    </row>
    <row r="6" spans="2:9" x14ac:dyDescent="0.25">
      <c r="B6" s="9" t="s">
        <v>55</v>
      </c>
      <c r="C6" s="9" t="s">
        <v>56</v>
      </c>
      <c r="D6" s="9"/>
      <c r="E6" s="9"/>
      <c r="F6" s="9" t="s">
        <v>55</v>
      </c>
      <c r="G6" s="9" t="s">
        <v>56</v>
      </c>
      <c r="H6" s="9"/>
      <c r="I6" s="9"/>
    </row>
    <row r="7" spans="2:9" x14ac:dyDescent="0.25">
      <c r="B7" s="9" t="s">
        <v>57</v>
      </c>
      <c r="C7" s="9" t="s">
        <v>66</v>
      </c>
      <c r="D7" s="9"/>
      <c r="E7" s="9"/>
      <c r="F7" s="9" t="s">
        <v>57</v>
      </c>
      <c r="G7" s="9" t="s">
        <v>67</v>
      </c>
      <c r="H7" s="9"/>
      <c r="I7" s="9"/>
    </row>
    <row r="8" spans="2:9" x14ac:dyDescent="0.25">
      <c r="B8" s="9" t="s">
        <v>60</v>
      </c>
      <c r="C8" s="9" t="s">
        <v>61</v>
      </c>
      <c r="D8" s="9"/>
      <c r="E8" s="9"/>
      <c r="F8" s="9" t="s">
        <v>60</v>
      </c>
      <c r="G8" s="9" t="s">
        <v>61</v>
      </c>
      <c r="H8" s="9"/>
      <c r="I8" s="9"/>
    </row>
    <row r="9" spans="2:9" x14ac:dyDescent="0.25">
      <c r="B9" s="9" t="s">
        <v>62</v>
      </c>
      <c r="C9" s="9" t="s">
        <v>63</v>
      </c>
      <c r="D9" s="9"/>
      <c r="E9" s="9"/>
      <c r="F9" s="9" t="s">
        <v>62</v>
      </c>
      <c r="G9" s="9" t="s">
        <v>63</v>
      </c>
      <c r="H9" s="9"/>
      <c r="I9" s="9"/>
    </row>
    <row r="16" spans="2:9" x14ac:dyDescent="0.25">
      <c r="B16" s="9"/>
      <c r="C16" s="9"/>
      <c r="D16" s="9"/>
      <c r="E16" s="9"/>
      <c r="F16" s="9"/>
      <c r="G16" s="9" t="s">
        <v>68</v>
      </c>
      <c r="H16" s="9"/>
      <c r="I16" s="9" t="s">
        <v>69</v>
      </c>
    </row>
    <row r="18" spans="7:9" x14ac:dyDescent="0.25">
      <c r="G18" s="9" t="s">
        <v>70</v>
      </c>
      <c r="H18" s="9"/>
      <c r="I18" s="9" t="s">
        <v>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"/>
  <sheetViews>
    <sheetView workbookViewId="0">
      <selection activeCell="B2" sqref="B2:J10"/>
    </sheetView>
  </sheetViews>
  <sheetFormatPr baseColWidth="10" defaultRowHeight="15" x14ac:dyDescent="0.25"/>
  <sheetData>
    <row r="2" spans="2:7" x14ac:dyDescent="0.25">
      <c r="B2" s="10" t="s">
        <v>64</v>
      </c>
      <c r="C2" s="10"/>
      <c r="D2" s="10"/>
      <c r="E2" s="10"/>
      <c r="F2" s="10" t="s">
        <v>72</v>
      </c>
      <c r="G2" s="10"/>
    </row>
    <row r="3" spans="2:7" x14ac:dyDescent="0.25">
      <c r="B3" s="10" t="s">
        <v>50</v>
      </c>
      <c r="C3" s="10" t="s">
        <v>51</v>
      </c>
      <c r="D3" s="10"/>
      <c r="E3" s="10"/>
      <c r="F3" s="10"/>
      <c r="G3" s="10"/>
    </row>
    <row r="4" spans="2:7" x14ac:dyDescent="0.25">
      <c r="B4" s="10" t="s">
        <v>52</v>
      </c>
      <c r="C4" s="10" t="s">
        <v>53</v>
      </c>
      <c r="D4" s="10"/>
      <c r="E4" s="10"/>
      <c r="F4" s="10" t="s">
        <v>50</v>
      </c>
      <c r="G4" s="10" t="s">
        <v>51</v>
      </c>
    </row>
    <row r="5" spans="2:7" x14ac:dyDescent="0.25">
      <c r="B5" s="10"/>
      <c r="C5" s="10" t="s">
        <v>54</v>
      </c>
      <c r="D5" s="10"/>
      <c r="E5" s="10"/>
      <c r="F5" s="10" t="s">
        <v>52</v>
      </c>
      <c r="G5" s="10" t="s">
        <v>53</v>
      </c>
    </row>
    <row r="6" spans="2:7" x14ac:dyDescent="0.25">
      <c r="B6" s="10" t="s">
        <v>55</v>
      </c>
      <c r="C6" s="10" t="s">
        <v>56</v>
      </c>
      <c r="D6" s="10"/>
      <c r="E6" s="10"/>
      <c r="F6" s="10"/>
      <c r="G6" s="10" t="s">
        <v>54</v>
      </c>
    </row>
    <row r="7" spans="2:7" x14ac:dyDescent="0.25">
      <c r="B7" s="10" t="s">
        <v>60</v>
      </c>
      <c r="C7" s="10" t="s">
        <v>73</v>
      </c>
      <c r="D7" s="10"/>
      <c r="E7" s="10"/>
      <c r="F7" s="10" t="s">
        <v>55</v>
      </c>
      <c r="G7" s="10" t="s">
        <v>56</v>
      </c>
    </row>
    <row r="8" spans="2:7" x14ac:dyDescent="0.25">
      <c r="B8" s="10" t="s">
        <v>74</v>
      </c>
      <c r="C8" s="10" t="s">
        <v>75</v>
      </c>
      <c r="D8" s="10"/>
      <c r="E8" s="10"/>
      <c r="F8" s="10" t="s">
        <v>60</v>
      </c>
      <c r="G8" s="10" t="s">
        <v>76</v>
      </c>
    </row>
    <row r="9" spans="2:7" x14ac:dyDescent="0.25">
      <c r="B9" s="10" t="s">
        <v>62</v>
      </c>
      <c r="C9" s="10" t="s">
        <v>77</v>
      </c>
      <c r="D9" s="10"/>
      <c r="E9" s="10"/>
      <c r="F9" s="10" t="s">
        <v>74</v>
      </c>
      <c r="G9" s="10" t="s">
        <v>75</v>
      </c>
    </row>
    <row r="10" spans="2:7" x14ac:dyDescent="0.25">
      <c r="B10" s="10"/>
      <c r="C10" s="10"/>
      <c r="D10" s="10"/>
      <c r="E10" s="10"/>
      <c r="F10" s="10" t="s">
        <v>62</v>
      </c>
      <c r="G10" s="10" t="s">
        <v>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F14" sqref="F14"/>
    </sheetView>
  </sheetViews>
  <sheetFormatPr baseColWidth="10" defaultRowHeight="15" x14ac:dyDescent="0.25"/>
  <sheetData>
    <row r="1" spans="1:5" ht="20.25" x14ac:dyDescent="0.3">
      <c r="A1" s="61" t="s">
        <v>78</v>
      </c>
      <c r="B1" s="62"/>
      <c r="C1" s="62"/>
      <c r="D1" s="62"/>
      <c r="E1" s="63"/>
    </row>
    <row r="2" spans="1:5" x14ac:dyDescent="0.25">
      <c r="A2" s="12"/>
      <c r="B2" s="12"/>
      <c r="C2" s="12"/>
      <c r="D2" s="12"/>
      <c r="E2" s="12"/>
    </row>
    <row r="3" spans="1:5" x14ac:dyDescent="0.25">
      <c r="A3" s="64" t="s">
        <v>79</v>
      </c>
      <c r="B3" s="65"/>
      <c r="C3" s="66"/>
      <c r="D3" s="13">
        <v>0.1</v>
      </c>
      <c r="E3" s="12"/>
    </row>
    <row r="4" spans="1:5" x14ac:dyDescent="0.25">
      <c r="A4" s="12"/>
      <c r="B4" s="12"/>
      <c r="C4" s="12"/>
      <c r="D4" s="12"/>
      <c r="E4" s="12"/>
    </row>
    <row r="5" spans="1:5" ht="60" x14ac:dyDescent="0.25">
      <c r="A5" s="14" t="s">
        <v>80</v>
      </c>
      <c r="B5" s="15" t="s">
        <v>81</v>
      </c>
      <c r="C5" s="16" t="s">
        <v>82</v>
      </c>
      <c r="D5" s="17" t="s">
        <v>83</v>
      </c>
      <c r="E5" s="17" t="s">
        <v>84</v>
      </c>
    </row>
    <row r="6" spans="1:5" x14ac:dyDescent="0.25">
      <c r="A6" s="18">
        <v>0</v>
      </c>
      <c r="B6" s="19">
        <v>-110000000</v>
      </c>
      <c r="C6" s="19">
        <v>-110000000</v>
      </c>
      <c r="D6" s="19">
        <v>-110000000</v>
      </c>
      <c r="E6" s="20" t="s">
        <v>85</v>
      </c>
    </row>
    <row r="7" spans="1:5" x14ac:dyDescent="0.25">
      <c r="A7" s="18">
        <v>1</v>
      </c>
      <c r="B7" s="19">
        <v>22000000</v>
      </c>
      <c r="C7" s="19">
        <v>20000000</v>
      </c>
      <c r="D7" s="19">
        <v>-90000000</v>
      </c>
      <c r="E7" s="20" t="s">
        <v>85</v>
      </c>
    </row>
    <row r="8" spans="1:5" x14ac:dyDescent="0.25">
      <c r="A8" s="18">
        <v>2</v>
      </c>
      <c r="B8" s="19">
        <v>24200000</v>
      </c>
      <c r="C8" s="19">
        <v>19999999.999999996</v>
      </c>
      <c r="D8" s="19">
        <v>-70000000</v>
      </c>
      <c r="E8" s="20" t="s">
        <v>85</v>
      </c>
    </row>
    <row r="9" spans="1:5" x14ac:dyDescent="0.25">
      <c r="A9" s="18">
        <v>3</v>
      </c>
      <c r="B9" s="19">
        <v>26620000</v>
      </c>
      <c r="C9" s="19">
        <v>19999999.999999993</v>
      </c>
      <c r="D9" s="19">
        <v>-50000000.000000007</v>
      </c>
      <c r="E9" s="20" t="s">
        <v>85</v>
      </c>
    </row>
    <row r="10" spans="1:5" x14ac:dyDescent="0.25">
      <c r="A10" s="18">
        <v>4</v>
      </c>
      <c r="B10" s="19">
        <v>29282000</v>
      </c>
      <c r="C10" s="19">
        <v>19999999.999999996</v>
      </c>
      <c r="D10" s="19">
        <v>-30000000.000000011</v>
      </c>
      <c r="E10" s="20" t="s">
        <v>85</v>
      </c>
    </row>
    <row r="11" spans="1:5" x14ac:dyDescent="0.25">
      <c r="A11" s="18">
        <v>5</v>
      </c>
      <c r="B11" s="19">
        <v>82210200</v>
      </c>
      <c r="C11" s="19">
        <v>51046066.152957745</v>
      </c>
      <c r="D11" s="19">
        <v>21046066.152957734</v>
      </c>
      <c r="E11" s="20">
        <v>4.5877044454337783</v>
      </c>
    </row>
    <row r="12" spans="1:5" x14ac:dyDescent="0.25">
      <c r="A12" s="21" t="s">
        <v>86</v>
      </c>
      <c r="B12" s="22">
        <v>21046066.152957723</v>
      </c>
      <c r="C12" s="23"/>
      <c r="D12" s="12"/>
      <c r="E12" s="12"/>
    </row>
    <row r="13" spans="1:5" x14ac:dyDescent="0.25">
      <c r="A13" s="21" t="s">
        <v>87</v>
      </c>
      <c r="B13" s="24">
        <v>0.15785114037877945</v>
      </c>
      <c r="C13" s="23"/>
      <c r="D13" s="12"/>
      <c r="E13" s="27">
        <v>0.15785114037877945</v>
      </c>
    </row>
    <row r="14" spans="1:5" x14ac:dyDescent="0.25">
      <c r="A14" s="21" t="s">
        <v>88</v>
      </c>
      <c r="B14" s="25">
        <v>4.5877044454337783</v>
      </c>
      <c r="C14" s="12"/>
      <c r="D14" s="12"/>
      <c r="E14" s="12"/>
    </row>
    <row r="15" spans="1:5" x14ac:dyDescent="0.25">
      <c r="A15" s="21" t="s">
        <v>89</v>
      </c>
      <c r="B15" s="26">
        <v>1.1913278741177975</v>
      </c>
      <c r="C15" s="12"/>
      <c r="D15" s="12"/>
      <c r="E15" s="12"/>
    </row>
    <row r="16" spans="1:5" ht="15.75" x14ac:dyDescent="0.3">
      <c r="A16" s="28"/>
      <c r="B16" s="28"/>
      <c r="C16" s="28"/>
      <c r="D16" s="28"/>
      <c r="E16" s="28"/>
    </row>
  </sheetData>
  <mergeCells count="2">
    <mergeCell ref="A1:E1"/>
    <mergeCell ref="A3:C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7"/>
  <sheetViews>
    <sheetView workbookViewId="0">
      <selection activeCell="H21" sqref="H21"/>
    </sheetView>
  </sheetViews>
  <sheetFormatPr baseColWidth="10" defaultRowHeight="15" x14ac:dyDescent="0.25"/>
  <cols>
    <col min="2" max="2" width="12.140625" bestFit="1" customWidth="1"/>
  </cols>
  <sheetData>
    <row r="2" spans="1:11" x14ac:dyDescent="0.25">
      <c r="A2">
        <v>0</v>
      </c>
      <c r="B2">
        <v>-6000</v>
      </c>
      <c r="G2" s="11">
        <v>0</v>
      </c>
      <c r="H2">
        <v>-5000</v>
      </c>
    </row>
    <row r="3" spans="1:11" x14ac:dyDescent="0.25">
      <c r="A3">
        <v>1</v>
      </c>
      <c r="B3">
        <v>1200</v>
      </c>
      <c r="C3">
        <f>(B3)/(1+0.07)^A3</f>
        <v>1121.4953271028037</v>
      </c>
      <c r="D3">
        <f>B2+C3</f>
        <v>-4878.5046728971965</v>
      </c>
      <c r="G3" s="11">
        <v>1</v>
      </c>
      <c r="H3">
        <v>1200</v>
      </c>
      <c r="I3">
        <f>H3/(1+0.07)^G3</f>
        <v>1121.4953271028037</v>
      </c>
      <c r="J3">
        <f>H2+I3</f>
        <v>-3878.5046728971965</v>
      </c>
    </row>
    <row r="4" spans="1:11" x14ac:dyDescent="0.25">
      <c r="A4">
        <v>2</v>
      </c>
      <c r="B4">
        <v>1300</v>
      </c>
      <c r="C4" s="11">
        <f t="shared" ref="C4:C8" si="0">(B4)/(1+0.07)^A4</f>
        <v>1135.4703467551751</v>
      </c>
      <c r="D4">
        <f>D3+C4</f>
        <v>-3743.0343261420212</v>
      </c>
      <c r="G4" s="11">
        <v>2</v>
      </c>
      <c r="H4" s="11">
        <v>1200</v>
      </c>
      <c r="I4" s="11">
        <f t="shared" ref="I4:I7" si="1">H4/(1+0.07)^G4</f>
        <v>1048.126473927854</v>
      </c>
      <c r="J4">
        <f>J3+I4</f>
        <v>-2830.3781989693425</v>
      </c>
    </row>
    <row r="5" spans="1:11" x14ac:dyDescent="0.25">
      <c r="A5" s="11">
        <v>3</v>
      </c>
      <c r="B5">
        <v>1400</v>
      </c>
      <c r="C5" s="11">
        <f>(B5)/(1+0.07)^A5</f>
        <v>1142.8170276471926</v>
      </c>
      <c r="D5">
        <f>D4+C5</f>
        <v>-2600.2172984948284</v>
      </c>
      <c r="G5" s="11">
        <v>3</v>
      </c>
      <c r="H5" s="11">
        <v>1200</v>
      </c>
      <c r="I5" s="11">
        <f t="shared" si="1"/>
        <v>979.55745226902229</v>
      </c>
      <c r="J5">
        <f>J4+I5</f>
        <v>-1850.8207467003203</v>
      </c>
    </row>
    <row r="6" spans="1:11" x14ac:dyDescent="0.25">
      <c r="A6" s="11">
        <v>4</v>
      </c>
      <c r="B6">
        <v>1500</v>
      </c>
      <c r="C6" s="11">
        <f t="shared" si="0"/>
        <v>1144.3428180712879</v>
      </c>
      <c r="D6">
        <f>D5+C6</f>
        <v>-1455.8744804235405</v>
      </c>
      <c r="G6" s="11">
        <v>4</v>
      </c>
      <c r="H6" s="11">
        <v>1200</v>
      </c>
      <c r="I6" s="11">
        <f t="shared" si="1"/>
        <v>915.47425445703027</v>
      </c>
      <c r="J6" s="11">
        <f t="shared" ref="J6:J7" si="2">J5+I6</f>
        <v>-935.34649224329007</v>
      </c>
    </row>
    <row r="7" spans="1:11" x14ac:dyDescent="0.25">
      <c r="A7" s="11">
        <v>5</v>
      </c>
      <c r="B7">
        <v>1600</v>
      </c>
      <c r="C7" s="11">
        <f t="shared" si="0"/>
        <v>1140.7778871738694</v>
      </c>
      <c r="D7">
        <f>D6+C7</f>
        <v>-315.09659324967106</v>
      </c>
      <c r="G7" s="11">
        <v>5</v>
      </c>
      <c r="H7" s="11">
        <v>1200</v>
      </c>
      <c r="I7" s="11">
        <f t="shared" si="1"/>
        <v>855.58341538040202</v>
      </c>
      <c r="J7" s="11">
        <f t="shared" si="2"/>
        <v>-79.763076862888056</v>
      </c>
    </row>
    <row r="8" spans="1:11" x14ac:dyDescent="0.25">
      <c r="A8" s="11">
        <v>6</v>
      </c>
      <c r="B8">
        <v>1600</v>
      </c>
      <c r="C8" s="11">
        <f t="shared" si="0"/>
        <v>1066.1475581064201</v>
      </c>
      <c r="D8">
        <f>D7+C8</f>
        <v>751.05096485674903</v>
      </c>
      <c r="G8" s="11">
        <v>6</v>
      </c>
      <c r="H8" s="11">
        <v>1200</v>
      </c>
      <c r="I8" s="11">
        <f>H8/(1+0.07)^G8</f>
        <v>799.61066857981507</v>
      </c>
      <c r="J8" s="11">
        <f>J7+I8</f>
        <v>719.84759171692701</v>
      </c>
    </row>
    <row r="10" spans="1:11" x14ac:dyDescent="0.25">
      <c r="A10" t="s">
        <v>96</v>
      </c>
      <c r="B10">
        <f>SUM(C3:C8)-6000</f>
        <v>751.05096485674949</v>
      </c>
      <c r="G10" t="s">
        <v>96</v>
      </c>
      <c r="H10">
        <f>SUM(I3:I8)-5000</f>
        <v>719.84759171692713</v>
      </c>
      <c r="J10">
        <f>J7*-1</f>
        <v>79.763076862888056</v>
      </c>
      <c r="K10">
        <f>J8</f>
        <v>719.84759171692701</v>
      </c>
    </row>
    <row r="11" spans="1:11" x14ac:dyDescent="0.25">
      <c r="A11" t="s">
        <v>97</v>
      </c>
      <c r="B11" s="30">
        <f>IRR(B2:B8)</f>
        <v>0.10741421697793863</v>
      </c>
      <c r="G11" t="s">
        <v>97</v>
      </c>
      <c r="H11" s="29">
        <f>IRR(H2:H8)</f>
        <v>0.11530473216469828</v>
      </c>
      <c r="J11" t="s">
        <v>100</v>
      </c>
      <c r="K11" t="s">
        <v>99</v>
      </c>
    </row>
    <row r="12" spans="1:11" x14ac:dyDescent="0.25">
      <c r="A12" t="s">
        <v>98</v>
      </c>
      <c r="D12">
        <f>D7*-1</f>
        <v>315.09659324967106</v>
      </c>
      <c r="E12">
        <f>D8</f>
        <v>751.05096485674903</v>
      </c>
      <c r="G12" t="s">
        <v>102</v>
      </c>
      <c r="H12">
        <f>(SUM(I3:I8))/5000</f>
        <v>1.1439695183433853</v>
      </c>
      <c r="J12">
        <f>K10+J10</f>
        <v>799.61066857981507</v>
      </c>
      <c r="K12">
        <f>J10/J12</f>
        <v>9.9752392004167356E-2</v>
      </c>
    </row>
    <row r="13" spans="1:11" x14ac:dyDescent="0.25">
      <c r="D13" t="s">
        <v>100</v>
      </c>
      <c r="E13" t="s">
        <v>99</v>
      </c>
      <c r="G13" t="s">
        <v>88</v>
      </c>
      <c r="H13">
        <v>5.0999999999999996</v>
      </c>
    </row>
    <row r="14" spans="1:11" x14ac:dyDescent="0.25">
      <c r="A14">
        <v>5</v>
      </c>
      <c r="B14">
        <v>315</v>
      </c>
    </row>
    <row r="15" spans="1:11" x14ac:dyDescent="0.25">
      <c r="A15">
        <v>6</v>
      </c>
      <c r="B15">
        <v>751</v>
      </c>
      <c r="D15">
        <f>E12+D12</f>
        <v>1066.1475581064201</v>
      </c>
      <c r="E15">
        <f>D12/D15</f>
        <v>0.29554688828375003</v>
      </c>
    </row>
    <row r="16" spans="1:11" x14ac:dyDescent="0.25">
      <c r="A16" t="s">
        <v>88</v>
      </c>
      <c r="B16">
        <v>5.3</v>
      </c>
    </row>
    <row r="17" spans="1:2" x14ac:dyDescent="0.25">
      <c r="A17" t="s">
        <v>101</v>
      </c>
      <c r="B17">
        <f>((SUM(C3:C8))/6000)</f>
        <v>1.1251751608094582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9:Q56"/>
  <sheetViews>
    <sheetView topLeftCell="A29" zoomScale="85" zoomScaleNormal="85" workbookViewId="0">
      <selection activeCell="G55" sqref="G55"/>
    </sheetView>
  </sheetViews>
  <sheetFormatPr baseColWidth="10" defaultRowHeight="15" x14ac:dyDescent="0.25"/>
  <cols>
    <col min="1" max="1" width="11.42578125" style="11"/>
    <col min="2" max="2" width="15.42578125" style="11" customWidth="1"/>
    <col min="3" max="3" width="11.42578125" style="11"/>
    <col min="4" max="4" width="15.140625" style="11" customWidth="1"/>
    <col min="5" max="5" width="21.7109375" style="11" customWidth="1"/>
    <col min="6" max="8" width="11.42578125" style="11"/>
    <col min="9" max="9" width="26.7109375" style="11" customWidth="1"/>
    <col min="10" max="10" width="11.42578125" style="11"/>
    <col min="11" max="11" width="14.28515625" style="11" customWidth="1"/>
    <col min="12" max="12" width="11.42578125" style="11"/>
    <col min="13" max="13" width="15" style="11" customWidth="1"/>
    <col min="14" max="14" width="11.7109375" style="11" customWidth="1"/>
    <col min="15" max="15" width="15.5703125" style="11" customWidth="1"/>
    <col min="16" max="16" width="22.5703125" style="11" customWidth="1"/>
    <col min="17" max="16384" width="11.42578125" style="11"/>
  </cols>
  <sheetData>
    <row r="29" spans="2:17" x14ac:dyDescent="0.25">
      <c r="B29" s="45" t="s">
        <v>140</v>
      </c>
      <c r="D29" s="11" t="s">
        <v>141</v>
      </c>
      <c r="E29" s="11">
        <v>200000</v>
      </c>
      <c r="F29" s="67">
        <v>7</v>
      </c>
      <c r="M29" s="45" t="s">
        <v>142</v>
      </c>
      <c r="O29" s="11" t="s">
        <v>141</v>
      </c>
      <c r="P29" s="11">
        <v>200000</v>
      </c>
    </row>
    <row r="30" spans="2:17" x14ac:dyDescent="0.25">
      <c r="D30" s="11" t="s">
        <v>143</v>
      </c>
      <c r="E30" s="11">
        <v>34000</v>
      </c>
      <c r="F30" s="67"/>
      <c r="G30" s="68" t="s">
        <v>144</v>
      </c>
      <c r="I30" s="11">
        <f>E30+E31+E33+30000</f>
        <v>152000</v>
      </c>
      <c r="O30" s="11" t="s">
        <v>145</v>
      </c>
      <c r="P30" s="11">
        <v>12000</v>
      </c>
      <c r="Q30" s="69" t="s">
        <v>146</v>
      </c>
    </row>
    <row r="31" spans="2:17" x14ac:dyDescent="0.25">
      <c r="D31" s="11" t="s">
        <v>143</v>
      </c>
      <c r="E31" s="11">
        <v>28000</v>
      </c>
      <c r="F31" s="46" t="s">
        <v>147</v>
      </c>
      <c r="G31" s="68"/>
      <c r="O31" s="11" t="s">
        <v>148</v>
      </c>
      <c r="P31" s="11">
        <v>26000</v>
      </c>
      <c r="Q31" s="69"/>
    </row>
    <row r="32" spans="2:17" x14ac:dyDescent="0.25">
      <c r="D32" s="11" t="s">
        <v>149</v>
      </c>
      <c r="E32" s="11">
        <v>100000</v>
      </c>
      <c r="F32" s="47">
        <v>7</v>
      </c>
      <c r="O32" s="11" t="s">
        <v>150</v>
      </c>
      <c r="P32" s="11">
        <v>50000</v>
      </c>
    </row>
    <row r="33" spans="3:16" x14ac:dyDescent="0.25">
      <c r="D33" s="11" t="s">
        <v>151</v>
      </c>
      <c r="E33" s="11">
        <v>60000</v>
      </c>
      <c r="O33" s="11" t="s">
        <v>152</v>
      </c>
      <c r="P33" s="11">
        <v>15</v>
      </c>
    </row>
    <row r="34" spans="3:16" x14ac:dyDescent="0.25">
      <c r="D34" s="11" t="s">
        <v>153</v>
      </c>
      <c r="E34" s="30">
        <v>0.12747430700000001</v>
      </c>
      <c r="O34" s="11" t="s">
        <v>153</v>
      </c>
      <c r="P34" s="30">
        <v>0.12747430700000001</v>
      </c>
    </row>
    <row r="36" spans="3:16" x14ac:dyDescent="0.25">
      <c r="D36" s="11" t="s">
        <v>154</v>
      </c>
      <c r="O36" s="11" t="s">
        <v>155</v>
      </c>
    </row>
    <row r="37" spans="3:16" x14ac:dyDescent="0.25">
      <c r="D37" s="11" t="s">
        <v>156</v>
      </c>
      <c r="E37" s="48">
        <f>POWER(1+E34,15)-1</f>
        <v>5.0478332553181247</v>
      </c>
      <c r="O37" s="11" t="s">
        <v>157</v>
      </c>
      <c r="P37" s="35">
        <f>POWER(1+P34,15)-1</f>
        <v>5.0478332553181247</v>
      </c>
    </row>
    <row r="40" spans="3:16" x14ac:dyDescent="0.25">
      <c r="C40" s="49"/>
      <c r="D40" s="50"/>
      <c r="E40" s="50"/>
      <c r="F40" s="50"/>
      <c r="G40" s="50"/>
      <c r="H40" s="51"/>
      <c r="J40" s="52" t="s">
        <v>158</v>
      </c>
      <c r="K40" s="1">
        <f>K42+K43*((K47-1)/(K44*K47))-(K45/K47)</f>
        <v>396428.17731792404</v>
      </c>
    </row>
    <row r="41" spans="3:16" x14ac:dyDescent="0.25">
      <c r="C41" s="53"/>
      <c r="D41" s="54"/>
      <c r="E41" s="54"/>
      <c r="F41" s="54"/>
      <c r="G41" s="54"/>
      <c r="H41" s="55"/>
    </row>
    <row r="42" spans="3:16" x14ac:dyDescent="0.25">
      <c r="C42" s="53"/>
      <c r="D42" s="54"/>
      <c r="E42" s="54"/>
      <c r="F42" s="54"/>
      <c r="G42" s="54"/>
      <c r="H42" s="55"/>
      <c r="J42" s="56" t="s">
        <v>159</v>
      </c>
      <c r="K42" s="1">
        <v>200000</v>
      </c>
    </row>
    <row r="43" spans="3:16" x14ac:dyDescent="0.25">
      <c r="C43" s="57"/>
      <c r="D43" s="58"/>
      <c r="E43" s="58"/>
      <c r="F43" s="58"/>
      <c r="G43" s="58"/>
      <c r="H43" s="59"/>
      <c r="J43" s="56" t="s">
        <v>2</v>
      </c>
      <c r="K43" s="11">
        <f>G43+G44+G46+30000</f>
        <v>30000</v>
      </c>
    </row>
    <row r="44" spans="3:16" x14ac:dyDescent="0.25">
      <c r="J44" s="56" t="s">
        <v>153</v>
      </c>
      <c r="K44" s="30">
        <v>0.12747430700000001</v>
      </c>
    </row>
    <row r="45" spans="3:16" x14ac:dyDescent="0.25">
      <c r="C45" s="11" t="s">
        <v>160</v>
      </c>
      <c r="J45" s="56" t="s">
        <v>161</v>
      </c>
      <c r="K45" s="1">
        <v>0</v>
      </c>
      <c r="O45" s="11" t="s">
        <v>162</v>
      </c>
    </row>
    <row r="46" spans="3:16" x14ac:dyDescent="0.25">
      <c r="C46" s="11" t="s">
        <v>158</v>
      </c>
      <c r="D46" s="41">
        <f>E29+(E30*(POWER(1+E34,F29)-1)/(E34*(POWER(1+E34,F29))))+((E31/E34)/POWER(1+E34,F29))+(E32/POWER(1+E34,F32))+(E33/E37)</f>
        <v>501461.06944985129</v>
      </c>
      <c r="J46" s="56" t="s">
        <v>46</v>
      </c>
      <c r="K46" s="1">
        <v>15</v>
      </c>
      <c r="O46" s="11" t="s">
        <v>163</v>
      </c>
      <c r="P46" s="41">
        <f>P29+((P30+P31)*(POWER(1+P34,P33)-1)/(P34*(POWER(1+P34,P33))))-(P32/POWER(1+P34,P33))</f>
        <v>440541.60090082954</v>
      </c>
    </row>
    <row r="47" spans="3:16" x14ac:dyDescent="0.25">
      <c r="J47" s="56" t="s">
        <v>164</v>
      </c>
      <c r="K47" s="1">
        <f>POWER(1+K44,K46)</f>
        <v>6.0478332553181247</v>
      </c>
    </row>
    <row r="51" spans="3:17" x14ac:dyDescent="0.25">
      <c r="C51" s="49"/>
      <c r="D51" s="50"/>
      <c r="E51" s="50"/>
      <c r="F51" s="50"/>
      <c r="G51" s="50"/>
      <c r="H51" s="51"/>
      <c r="J51" s="52" t="s">
        <v>165</v>
      </c>
      <c r="K51" s="60">
        <f>K53*((K54*K56)/(K56-1))</f>
        <v>112495.83718985412</v>
      </c>
      <c r="O51" s="52" t="s">
        <v>166</v>
      </c>
      <c r="P51" s="60">
        <f>P53*((P54*P56)/(P56-1))</f>
        <v>67282.852223558788</v>
      </c>
    </row>
    <row r="52" spans="3:17" x14ac:dyDescent="0.25">
      <c r="C52" s="53"/>
      <c r="D52" s="54"/>
      <c r="E52" s="54"/>
      <c r="F52" s="54"/>
      <c r="G52" s="54"/>
      <c r="H52" s="55"/>
    </row>
    <row r="53" spans="3:17" x14ac:dyDescent="0.25">
      <c r="C53" s="53"/>
      <c r="D53" s="54"/>
      <c r="E53" s="54"/>
      <c r="F53" s="54"/>
      <c r="G53" s="54"/>
      <c r="H53" s="55"/>
      <c r="J53" s="56" t="s">
        <v>158</v>
      </c>
      <c r="K53" s="60">
        <f>D46</f>
        <v>501461.06944985129</v>
      </c>
      <c r="O53" s="56" t="s">
        <v>167</v>
      </c>
      <c r="P53" s="60">
        <f>P46</f>
        <v>440541.60090082954</v>
      </c>
    </row>
    <row r="54" spans="3:17" x14ac:dyDescent="0.25">
      <c r="C54" s="53"/>
      <c r="D54" s="54"/>
      <c r="E54" s="54"/>
      <c r="F54" s="54"/>
      <c r="G54" s="54"/>
      <c r="H54" s="55"/>
      <c r="J54" s="56" t="s">
        <v>153</v>
      </c>
      <c r="K54" s="30">
        <v>0.12747430700000001</v>
      </c>
      <c r="O54" s="56" t="s">
        <v>153</v>
      </c>
      <c r="P54" s="30">
        <v>0.12747430700000001</v>
      </c>
    </row>
    <row r="55" spans="3:17" x14ac:dyDescent="0.25">
      <c r="C55" s="57"/>
      <c r="D55" s="58"/>
      <c r="E55" s="58"/>
      <c r="F55" s="58"/>
      <c r="G55" s="58"/>
      <c r="H55" s="59"/>
      <c r="J55" s="56" t="s">
        <v>46</v>
      </c>
      <c r="K55" s="1">
        <v>7</v>
      </c>
      <c r="L55" s="11" t="s">
        <v>168</v>
      </c>
      <c r="O55" s="56" t="s">
        <v>46</v>
      </c>
      <c r="P55" s="1">
        <v>15</v>
      </c>
      <c r="Q55" s="11" t="s">
        <v>168</v>
      </c>
    </row>
    <row r="56" spans="3:17" x14ac:dyDescent="0.25">
      <c r="J56" s="56" t="s">
        <v>164</v>
      </c>
      <c r="K56" s="1">
        <f>POWER(1+K54,K55)</f>
        <v>2.3160427819005549</v>
      </c>
      <c r="O56" s="56" t="s">
        <v>164</v>
      </c>
      <c r="P56" s="1">
        <f>POWER(1+P54,P55)</f>
        <v>6.0478332553181247</v>
      </c>
    </row>
  </sheetData>
  <mergeCells count="3">
    <mergeCell ref="F29:F30"/>
    <mergeCell ref="G30:G31"/>
    <mergeCell ref="Q30:Q3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62"/>
  <sheetViews>
    <sheetView topLeftCell="B1" zoomScale="70" zoomScaleNormal="70" workbookViewId="0">
      <selection activeCell="E63" sqref="E63"/>
    </sheetView>
  </sheetViews>
  <sheetFormatPr baseColWidth="10" defaultRowHeight="15" x14ac:dyDescent="0.25"/>
  <cols>
    <col min="1" max="13" width="11.42578125" style="11"/>
    <col min="14" max="14" width="25" style="11" customWidth="1"/>
    <col min="15" max="16" width="11.42578125" style="11"/>
    <col min="17" max="17" width="17.42578125" style="11" customWidth="1"/>
    <col min="18" max="16384" width="11.42578125" style="11"/>
  </cols>
  <sheetData>
    <row r="2" spans="2:17" x14ac:dyDescent="0.25">
      <c r="B2" s="11" t="s">
        <v>103</v>
      </c>
    </row>
    <row r="3" spans="2:17" x14ac:dyDescent="0.25">
      <c r="B3" s="11" t="s">
        <v>104</v>
      </c>
      <c r="C3" s="11">
        <v>5</v>
      </c>
    </row>
    <row r="5" spans="2:17" x14ac:dyDescent="0.25">
      <c r="K5" s="31" t="s">
        <v>105</v>
      </c>
      <c r="M5" s="11" t="s">
        <v>106</v>
      </c>
    </row>
    <row r="7" spans="2:17" x14ac:dyDescent="0.25">
      <c r="M7" s="1" t="s">
        <v>1</v>
      </c>
      <c r="N7" s="32">
        <v>750000</v>
      </c>
      <c r="P7" s="11" t="s">
        <v>107</v>
      </c>
    </row>
    <row r="8" spans="2:17" x14ac:dyDescent="0.25">
      <c r="M8" s="1" t="s">
        <v>108</v>
      </c>
      <c r="N8" s="33">
        <v>0.05</v>
      </c>
      <c r="P8" s="11" t="s">
        <v>109</v>
      </c>
      <c r="Q8" s="34">
        <f>N10*(1+N8)</f>
        <v>8.4</v>
      </c>
    </row>
    <row r="9" spans="2:17" x14ac:dyDescent="0.25">
      <c r="M9" s="1" t="s">
        <v>110</v>
      </c>
      <c r="N9" s="32">
        <v>100</v>
      </c>
    </row>
    <row r="10" spans="2:17" x14ac:dyDescent="0.25">
      <c r="M10" s="1" t="s">
        <v>111</v>
      </c>
      <c r="N10" s="32">
        <v>8</v>
      </c>
      <c r="P10" s="11" t="s">
        <v>112</v>
      </c>
    </row>
    <row r="11" spans="2:17" x14ac:dyDescent="0.25">
      <c r="M11" s="1" t="s">
        <v>113</v>
      </c>
      <c r="N11" s="33">
        <v>0.02</v>
      </c>
      <c r="P11" s="11" t="s">
        <v>114</v>
      </c>
      <c r="Q11" s="35">
        <f>(Q8/(N9*(1-N11)))+N8</f>
        <v>0.13571428571428573</v>
      </c>
    </row>
    <row r="12" spans="2:17" x14ac:dyDescent="0.25">
      <c r="Q12" s="36"/>
    </row>
    <row r="13" spans="2:17" x14ac:dyDescent="0.25">
      <c r="M13" s="11" t="s">
        <v>115</v>
      </c>
    </row>
    <row r="15" spans="2:17" x14ac:dyDescent="0.25">
      <c r="M15" s="1" t="s">
        <v>1</v>
      </c>
      <c r="N15" s="32">
        <v>750000</v>
      </c>
      <c r="P15" s="11" t="s">
        <v>116</v>
      </c>
    </row>
    <row r="16" spans="2:17" x14ac:dyDescent="0.25">
      <c r="M16" s="1" t="s">
        <v>110</v>
      </c>
      <c r="N16" s="32">
        <v>100</v>
      </c>
      <c r="P16" s="11" t="s">
        <v>114</v>
      </c>
      <c r="Q16" s="35">
        <f>(N17/(N16*(1-N18)))</f>
        <v>0.15306122448979592</v>
      </c>
    </row>
    <row r="17" spans="13:17" x14ac:dyDescent="0.25">
      <c r="M17" s="1" t="s">
        <v>117</v>
      </c>
      <c r="N17" s="32">
        <v>15</v>
      </c>
    </row>
    <row r="18" spans="13:17" x14ac:dyDescent="0.25">
      <c r="M18" s="1" t="s">
        <v>113</v>
      </c>
      <c r="N18" s="33">
        <v>0.02</v>
      </c>
    </row>
    <row r="20" spans="13:17" x14ac:dyDescent="0.25">
      <c r="M20" s="11" t="s">
        <v>118</v>
      </c>
    </row>
    <row r="22" spans="13:17" x14ac:dyDescent="0.25">
      <c r="M22" s="1" t="s">
        <v>1</v>
      </c>
      <c r="N22" s="32">
        <v>1000000</v>
      </c>
      <c r="P22" s="11" t="s">
        <v>107</v>
      </c>
    </row>
    <row r="23" spans="13:17" x14ac:dyDescent="0.25">
      <c r="M23" s="1" t="s">
        <v>110</v>
      </c>
      <c r="N23" s="32">
        <v>100</v>
      </c>
      <c r="P23" s="11" t="s">
        <v>109</v>
      </c>
      <c r="Q23" s="34">
        <f>N24*(1+N25)</f>
        <v>8.4</v>
      </c>
    </row>
    <row r="24" spans="13:17" x14ac:dyDescent="0.25">
      <c r="M24" s="1" t="s">
        <v>111</v>
      </c>
      <c r="N24" s="32">
        <v>8</v>
      </c>
    </row>
    <row r="25" spans="13:17" x14ac:dyDescent="0.25">
      <c r="M25" s="1" t="s">
        <v>108</v>
      </c>
      <c r="N25" s="33">
        <v>0.05</v>
      </c>
      <c r="P25" s="11" t="s">
        <v>119</v>
      </c>
    </row>
    <row r="26" spans="13:17" x14ac:dyDescent="0.25">
      <c r="P26" s="11" t="s">
        <v>114</v>
      </c>
      <c r="Q26" s="35">
        <f>(Q23/N23)+N25</f>
        <v>0.13400000000000001</v>
      </c>
    </row>
    <row r="28" spans="13:17" x14ac:dyDescent="0.25">
      <c r="M28" s="11" t="s">
        <v>120</v>
      </c>
    </row>
    <row r="29" spans="13:17" x14ac:dyDescent="0.25">
      <c r="M29" s="11" t="s">
        <v>121</v>
      </c>
      <c r="N29" s="34">
        <f>N7+N15+N22</f>
        <v>2500000</v>
      </c>
    </row>
    <row r="31" spans="13:17" x14ac:dyDescent="0.25">
      <c r="M31" s="11" t="s">
        <v>122</v>
      </c>
    </row>
    <row r="32" spans="13:17" x14ac:dyDescent="0.25">
      <c r="M32" s="11" t="s">
        <v>123</v>
      </c>
      <c r="N32" s="35">
        <f>Q11*(N7/N29)+Q16*(N15/N29)+Q26*(N22/N29)</f>
        <v>0.14023265306122451</v>
      </c>
    </row>
    <row r="35" spans="11:14" x14ac:dyDescent="0.25">
      <c r="K35" s="31" t="s">
        <v>124</v>
      </c>
      <c r="M35" s="11" t="s">
        <v>125</v>
      </c>
    </row>
    <row r="37" spans="11:14" x14ac:dyDescent="0.25">
      <c r="M37" s="1" t="s">
        <v>126</v>
      </c>
      <c r="N37" s="37">
        <v>800000</v>
      </c>
    </row>
    <row r="38" spans="11:14" x14ac:dyDescent="0.25">
      <c r="M38" s="1" t="s">
        <v>127</v>
      </c>
      <c r="N38" s="38">
        <v>0.115</v>
      </c>
    </row>
    <row r="40" spans="11:14" x14ac:dyDescent="0.25">
      <c r="M40" s="1" t="s">
        <v>128</v>
      </c>
      <c r="N40" s="37">
        <v>200000</v>
      </c>
    </row>
    <row r="41" spans="11:14" x14ac:dyDescent="0.25">
      <c r="M41" s="1" t="s">
        <v>127</v>
      </c>
      <c r="N41" s="38">
        <v>0.10100000000000001</v>
      </c>
    </row>
    <row r="43" spans="11:14" x14ac:dyDescent="0.25">
      <c r="M43" s="1" t="s">
        <v>129</v>
      </c>
      <c r="N43" s="37">
        <v>300000</v>
      </c>
    </row>
    <row r="44" spans="11:14" x14ac:dyDescent="0.25">
      <c r="M44" s="1" t="s">
        <v>127</v>
      </c>
      <c r="N44" s="38">
        <v>0.125</v>
      </c>
    </row>
    <row r="46" spans="11:14" x14ac:dyDescent="0.25">
      <c r="M46" s="1" t="s">
        <v>130</v>
      </c>
      <c r="N46" s="37">
        <v>1000000</v>
      </c>
    </row>
    <row r="47" spans="11:14" x14ac:dyDescent="0.25">
      <c r="M47" s="1" t="s">
        <v>127</v>
      </c>
      <c r="N47" s="38">
        <v>7.4999999999999997E-2</v>
      </c>
    </row>
    <row r="49" spans="11:14" x14ac:dyDescent="0.25">
      <c r="M49" s="1" t="s">
        <v>131</v>
      </c>
      <c r="N49" s="37">
        <v>200000</v>
      </c>
    </row>
    <row r="50" spans="11:14" x14ac:dyDescent="0.25">
      <c r="M50" s="1" t="s">
        <v>132</v>
      </c>
      <c r="N50" s="39">
        <f>N49*18%</f>
        <v>36000</v>
      </c>
    </row>
    <row r="51" spans="11:14" x14ac:dyDescent="0.25">
      <c r="M51" s="1" t="s">
        <v>133</v>
      </c>
      <c r="N51" s="40">
        <f>N49-N50</f>
        <v>164000</v>
      </c>
    </row>
    <row r="52" spans="11:14" x14ac:dyDescent="0.25">
      <c r="M52" s="1" t="s">
        <v>127</v>
      </c>
      <c r="N52" s="38">
        <v>0.17799999999999999</v>
      </c>
    </row>
    <row r="54" spans="11:14" x14ac:dyDescent="0.25">
      <c r="M54" s="11" t="s">
        <v>134</v>
      </c>
    </row>
    <row r="55" spans="11:14" x14ac:dyDescent="0.25">
      <c r="M55" s="11" t="s">
        <v>135</v>
      </c>
      <c r="N55" s="41">
        <f>N37+N40+N43+N46+N51</f>
        <v>2464000</v>
      </c>
    </row>
    <row r="57" spans="11:14" x14ac:dyDescent="0.25">
      <c r="M57" s="11" t="s">
        <v>136</v>
      </c>
    </row>
    <row r="58" spans="11:14" x14ac:dyDescent="0.25">
      <c r="M58" s="11" t="s">
        <v>137</v>
      </c>
      <c r="N58" s="42">
        <f>N38*(N37/N55)+N41*(N40/N55)+N43*(N44/N55)+N46*(N47/N55)+N51*(N52/N55)</f>
        <v>0.1030405844155844</v>
      </c>
    </row>
    <row r="61" spans="11:14" x14ac:dyDescent="0.25">
      <c r="K61" s="31" t="s">
        <v>138</v>
      </c>
      <c r="M61" s="11" t="s">
        <v>139</v>
      </c>
      <c r="N61" s="43"/>
    </row>
    <row r="62" spans="11:14" x14ac:dyDescent="0.25">
      <c r="M62" s="11" t="s">
        <v>104</v>
      </c>
      <c r="N62" s="44">
        <f>N58*(N55/(N55+N29))*(1-30%)+N32*(N29/(N55+N29))</f>
        <v>0.10642748441842492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Hoja1</vt:lpstr>
      <vt:lpstr>Hoja2</vt:lpstr>
      <vt:lpstr>Americano</vt:lpstr>
      <vt:lpstr>Aleman</vt:lpstr>
      <vt:lpstr>Frances</vt:lpstr>
      <vt:lpstr>Hoja7</vt:lpstr>
      <vt:lpstr>Hoja8</vt:lpstr>
      <vt:lpstr>vac</vt:lpstr>
      <vt:lpstr>wacc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xddddddddddd</dc:creator>
  <cp:lastModifiedBy>User</cp:lastModifiedBy>
  <dcterms:created xsi:type="dcterms:W3CDTF">2017-04-19T01:03:23Z</dcterms:created>
  <dcterms:modified xsi:type="dcterms:W3CDTF">2017-07-11T17:43:28Z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9b826afb-3b8c-4a89-b256-6e27c9d9367c</vt:lpwstr>
  </property>
</Properties>
</file>