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7B4EF305-F5E6-4B6E-83D8-E4AC33A07255}" xr6:coauthVersionLast="47" xr6:coauthVersionMax="47" xr10:uidLastSave="{00000000-0000-0000-0000-000000000000}"/>
  <bookViews>
    <workbookView xWindow="-110" yWindow="-110" windowWidth="19420" windowHeight="10300" tabRatio="927" activeTab="1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Sales'!$A$1:$T$4229</definedName>
    <definedName name="_xlnm._FilterDatabase" localSheetId="3" hidden="1">'Set up'!$A$1:$D$44</definedName>
    <definedName name="_xlnm.Print_Area" localSheetId="1">'Customer Aging'!$A$1:$H$73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58" r:id="rId11"/>
    <pivotCache cacheId="59" r:id="rId12"/>
    <pivotCache cacheId="60" r:id="rId13"/>
    <pivotCache cacheId="61" r:id="rId14"/>
    <pivotCache cacheId="62" r:id="rId15"/>
    <pivotCache cacheId="63" r:id="rId16"/>
    <pivotCache cacheId="64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881" i="4" l="1"/>
  <c r="O4226" i="4" l="1"/>
  <c r="P4226" i="4" s="1"/>
  <c r="O4225" i="4"/>
  <c r="P4225" i="4" s="1"/>
  <c r="O4224" i="4"/>
  <c r="P4224" i="4" s="1"/>
  <c r="O4223" i="4"/>
  <c r="P4223" i="4" s="1"/>
  <c r="O4222" i="4"/>
  <c r="P4222" i="4" s="1"/>
  <c r="O4221" i="4"/>
  <c r="P4221" i="4" s="1"/>
  <c r="O4220" i="4"/>
  <c r="P4220" i="4" s="1"/>
  <c r="O4219" i="4"/>
  <c r="P4219" i="4" s="1"/>
  <c r="O4218" i="4"/>
  <c r="P4218" i="4" s="1"/>
  <c r="O4217" i="4"/>
  <c r="P4217" i="4" s="1"/>
  <c r="O4087" i="4"/>
  <c r="P4109" i="4"/>
  <c r="P4108" i="4"/>
  <c r="P4054" i="4"/>
  <c r="P4053" i="4"/>
  <c r="O4229" i="4"/>
  <c r="P4229" i="4" s="1"/>
  <c r="O4228" i="4"/>
  <c r="P4228" i="4" s="1"/>
  <c r="O4227" i="4"/>
  <c r="P4227" i="4" s="1"/>
  <c r="O4208" i="4"/>
  <c r="P4208" i="4" s="1"/>
  <c r="O4207" i="4"/>
  <c r="P4207" i="4" s="1"/>
  <c r="O4195" i="4"/>
  <c r="P4195" i="4" s="1"/>
  <c r="O4194" i="4"/>
  <c r="P4194" i="4" s="1"/>
  <c r="P4187" i="4"/>
  <c r="P4186" i="4"/>
  <c r="P4185" i="4"/>
  <c r="P4184" i="4"/>
  <c r="P4183" i="4"/>
  <c r="P4182" i="4"/>
  <c r="P4157" i="4"/>
  <c r="O3631" i="4"/>
  <c r="O3630" i="4"/>
  <c r="O3629" i="4"/>
  <c r="P3629" i="4" s="1"/>
  <c r="O3632" i="4"/>
  <c r="O3628" i="4"/>
  <c r="P3628" i="4" s="1"/>
  <c r="O3592" i="4"/>
  <c r="P3592" i="4" s="1"/>
  <c r="O3591" i="4"/>
  <c r="P3591" i="4" s="1"/>
  <c r="O3590" i="4"/>
  <c r="P3590" i="4" s="1"/>
  <c r="O3589" i="4"/>
  <c r="P3589" i="4" s="1"/>
  <c r="O3588" i="4"/>
  <c r="P3588" i="4" s="1"/>
  <c r="O3587" i="4"/>
  <c r="P3587" i="4" s="1"/>
  <c r="O4197" i="4"/>
  <c r="P4197" i="4" s="1"/>
  <c r="O4196" i="4"/>
  <c r="P4196" i="4" s="1"/>
  <c r="O4176" i="4"/>
  <c r="P4176" i="4" s="1"/>
  <c r="O4175" i="4"/>
  <c r="P4175" i="4" s="1"/>
  <c r="O4174" i="4"/>
  <c r="P4174" i="4" s="1"/>
  <c r="O4173" i="4"/>
  <c r="P4173" i="4" s="1"/>
  <c r="O4172" i="4"/>
  <c r="P4172" i="4" s="1"/>
  <c r="O4171" i="4"/>
  <c r="P4171" i="4" s="1"/>
  <c r="O4140" i="4"/>
  <c r="P4140" i="4" s="1"/>
  <c r="O4139" i="4"/>
  <c r="P4139" i="4" s="1"/>
  <c r="O4138" i="4"/>
  <c r="P4138" i="4" s="1"/>
  <c r="O2484" i="4"/>
  <c r="O2483" i="4"/>
  <c r="O2482" i="4"/>
  <c r="O2890" i="4" l="1"/>
  <c r="O2889" i="4"/>
  <c r="O2866" i="4"/>
  <c r="O2865" i="4"/>
  <c r="O2863" i="4"/>
  <c r="O2864" i="4"/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I3440" i="4"/>
  <c r="J3440" i="4"/>
  <c r="I3441" i="4"/>
  <c r="J3441" i="4"/>
  <c r="I3442" i="4"/>
  <c r="J3442" i="4"/>
  <c r="I3443" i="4"/>
  <c r="J3443" i="4"/>
  <c r="I3444" i="4"/>
  <c r="J3444" i="4"/>
  <c r="I3445" i="4"/>
  <c r="J3445" i="4"/>
  <c r="I3446" i="4"/>
  <c r="J3446" i="4"/>
  <c r="I3447" i="4"/>
  <c r="J3447" i="4"/>
  <c r="I3448" i="4"/>
  <c r="J3448" i="4"/>
  <c r="I3449" i="4"/>
  <c r="J3449" i="4"/>
  <c r="I3450" i="4"/>
  <c r="J3450" i="4"/>
  <c r="I3451" i="4"/>
  <c r="J3451" i="4"/>
  <c r="I3452" i="4"/>
  <c r="J3452" i="4"/>
  <c r="I3453" i="4"/>
  <c r="J3453" i="4"/>
  <c r="I3454" i="4"/>
  <c r="J3454" i="4"/>
  <c r="I3455" i="4"/>
  <c r="J3455" i="4"/>
  <c r="I3456" i="4"/>
  <c r="J3456" i="4"/>
  <c r="I3457" i="4"/>
  <c r="J3457" i="4"/>
  <c r="I3458" i="4"/>
  <c r="J3458" i="4"/>
  <c r="I3459" i="4"/>
  <c r="J3459" i="4"/>
  <c r="I3460" i="4"/>
  <c r="J3460" i="4"/>
  <c r="I3461" i="4"/>
  <c r="J3461" i="4"/>
  <c r="I3462" i="4"/>
  <c r="J3462" i="4"/>
  <c r="I3463" i="4"/>
  <c r="J3463" i="4"/>
  <c r="I3464" i="4"/>
  <c r="J3464" i="4"/>
  <c r="I3465" i="4"/>
  <c r="J3465" i="4"/>
  <c r="I3466" i="4"/>
  <c r="J3466" i="4"/>
  <c r="I3467" i="4"/>
  <c r="J3467" i="4"/>
  <c r="I3468" i="4"/>
  <c r="J3468" i="4"/>
  <c r="I3469" i="4"/>
  <c r="J3469" i="4"/>
  <c r="I3470" i="4"/>
  <c r="J3470" i="4"/>
  <c r="I3471" i="4"/>
  <c r="J3471" i="4"/>
  <c r="I3472" i="4"/>
  <c r="J3472" i="4"/>
  <c r="I3473" i="4"/>
  <c r="J3473" i="4"/>
  <c r="I3474" i="4"/>
  <c r="J3474" i="4"/>
  <c r="I3475" i="4"/>
  <c r="J3475" i="4"/>
  <c r="I3476" i="4"/>
  <c r="J3476" i="4"/>
  <c r="I3477" i="4"/>
  <c r="J3477" i="4"/>
  <c r="I3478" i="4"/>
  <c r="J3478" i="4"/>
  <c r="I3479" i="4"/>
  <c r="J3479" i="4"/>
  <c r="I3480" i="4"/>
  <c r="J3480" i="4"/>
  <c r="I3481" i="4"/>
  <c r="J3481" i="4"/>
  <c r="I3482" i="4"/>
  <c r="J3482" i="4"/>
  <c r="I3483" i="4"/>
  <c r="J3483" i="4"/>
  <c r="I3484" i="4"/>
  <c r="J3484" i="4"/>
  <c r="I3485" i="4"/>
  <c r="J3485" i="4"/>
  <c r="I3486" i="4"/>
  <c r="J3486" i="4"/>
  <c r="I3487" i="4"/>
  <c r="J3487" i="4"/>
  <c r="I3488" i="4"/>
  <c r="J3488" i="4"/>
  <c r="I3489" i="4"/>
  <c r="J3489" i="4"/>
  <c r="I3490" i="4"/>
  <c r="J3490" i="4"/>
  <c r="I3491" i="4"/>
  <c r="J3491" i="4"/>
  <c r="I3492" i="4"/>
  <c r="J3492" i="4"/>
  <c r="I3493" i="4"/>
  <c r="J3493" i="4"/>
  <c r="I3494" i="4"/>
  <c r="J3494" i="4"/>
  <c r="I3495" i="4"/>
  <c r="J3495" i="4"/>
  <c r="I3496" i="4"/>
  <c r="J3496" i="4"/>
  <c r="I3497" i="4"/>
  <c r="J3497" i="4"/>
  <c r="I3498" i="4"/>
  <c r="J3498" i="4"/>
  <c r="I3499" i="4"/>
  <c r="J3499" i="4"/>
  <c r="I3500" i="4"/>
  <c r="J3500" i="4"/>
  <c r="I3501" i="4"/>
  <c r="J3501" i="4"/>
  <c r="I3502" i="4"/>
  <c r="J3502" i="4"/>
  <c r="I3503" i="4"/>
  <c r="J3503" i="4"/>
  <c r="I3504" i="4"/>
  <c r="J3504" i="4"/>
  <c r="I3505" i="4"/>
  <c r="J3505" i="4"/>
  <c r="I3506" i="4"/>
  <c r="J3506" i="4"/>
  <c r="I3507" i="4"/>
  <c r="J3507" i="4"/>
  <c r="I3508" i="4"/>
  <c r="J3508" i="4"/>
  <c r="I3509" i="4"/>
  <c r="J3509" i="4"/>
  <c r="I3510" i="4"/>
  <c r="J3510" i="4"/>
  <c r="I3511" i="4"/>
  <c r="J3511" i="4"/>
  <c r="I3512" i="4"/>
  <c r="J3512" i="4"/>
  <c r="I3513" i="4"/>
  <c r="J3513" i="4"/>
  <c r="I3514" i="4"/>
  <c r="J3514" i="4"/>
  <c r="I3515" i="4"/>
  <c r="J3515" i="4"/>
  <c r="I3516" i="4"/>
  <c r="J3516" i="4"/>
  <c r="I3517" i="4"/>
  <c r="J3517" i="4"/>
  <c r="I3518" i="4"/>
  <c r="J3518" i="4"/>
  <c r="I3519" i="4"/>
  <c r="J3519" i="4"/>
  <c r="I3520" i="4"/>
  <c r="J3520" i="4"/>
  <c r="I3521" i="4"/>
  <c r="J3521" i="4"/>
  <c r="I3522" i="4"/>
  <c r="J3522" i="4"/>
  <c r="I3523" i="4"/>
  <c r="J3523" i="4"/>
  <c r="I3524" i="4"/>
  <c r="J3524" i="4"/>
  <c r="I3525" i="4"/>
  <c r="J3525" i="4"/>
  <c r="I3526" i="4"/>
  <c r="J3526" i="4"/>
  <c r="I3527" i="4"/>
  <c r="J3527" i="4"/>
  <c r="I3528" i="4"/>
  <c r="J3528" i="4"/>
  <c r="I3529" i="4"/>
  <c r="J3529" i="4"/>
  <c r="I3530" i="4"/>
  <c r="J3530" i="4"/>
  <c r="I3531" i="4"/>
  <c r="J3531" i="4"/>
  <c r="I3532" i="4"/>
  <c r="J3532" i="4"/>
  <c r="I3533" i="4"/>
  <c r="J3533" i="4"/>
  <c r="I3534" i="4"/>
  <c r="J3534" i="4"/>
  <c r="I3535" i="4"/>
  <c r="J3535" i="4"/>
  <c r="I3536" i="4"/>
  <c r="J3536" i="4"/>
  <c r="I3537" i="4"/>
  <c r="J3537" i="4"/>
  <c r="I3538" i="4"/>
  <c r="J3538" i="4"/>
  <c r="I3539" i="4"/>
  <c r="J3539" i="4"/>
  <c r="I3540" i="4"/>
  <c r="J3540" i="4"/>
  <c r="I3541" i="4"/>
  <c r="J3541" i="4"/>
  <c r="I3542" i="4"/>
  <c r="J3542" i="4"/>
  <c r="I3543" i="4"/>
  <c r="J3543" i="4"/>
  <c r="I3544" i="4"/>
  <c r="J3544" i="4"/>
  <c r="I3545" i="4"/>
  <c r="J3545" i="4"/>
  <c r="I3546" i="4"/>
  <c r="J3546" i="4"/>
  <c r="I3547" i="4"/>
  <c r="J3547" i="4"/>
  <c r="I3548" i="4"/>
  <c r="J3548" i="4"/>
  <c r="I3549" i="4"/>
  <c r="J3549" i="4"/>
  <c r="I3550" i="4"/>
  <c r="J3550" i="4"/>
  <c r="I3551" i="4"/>
  <c r="J3551" i="4"/>
  <c r="I3552" i="4"/>
  <c r="J3552" i="4"/>
  <c r="I3553" i="4"/>
  <c r="J3553" i="4"/>
  <c r="I3554" i="4"/>
  <c r="J3554" i="4"/>
  <c r="I3555" i="4"/>
  <c r="J3555" i="4"/>
  <c r="I3556" i="4"/>
  <c r="J3556" i="4"/>
  <c r="I3557" i="4"/>
  <c r="J3557" i="4"/>
  <c r="I3558" i="4"/>
  <c r="J3558" i="4"/>
  <c r="I3559" i="4"/>
  <c r="J3559" i="4"/>
  <c r="I3560" i="4"/>
  <c r="J3560" i="4"/>
  <c r="I3561" i="4"/>
  <c r="J3561" i="4"/>
  <c r="I3562" i="4"/>
  <c r="J3562" i="4"/>
  <c r="I3563" i="4"/>
  <c r="J3563" i="4"/>
  <c r="I3564" i="4"/>
  <c r="J3564" i="4"/>
  <c r="I3565" i="4"/>
  <c r="J3565" i="4"/>
  <c r="I3566" i="4"/>
  <c r="J3566" i="4"/>
  <c r="I3567" i="4"/>
  <c r="J3567" i="4"/>
  <c r="I3568" i="4"/>
  <c r="J3568" i="4"/>
  <c r="I3569" i="4"/>
  <c r="J3569" i="4"/>
  <c r="I3570" i="4"/>
  <c r="J3570" i="4"/>
  <c r="I3571" i="4"/>
  <c r="J3571" i="4"/>
  <c r="I3572" i="4"/>
  <c r="J3572" i="4"/>
  <c r="I3573" i="4"/>
  <c r="J3573" i="4"/>
  <c r="I3574" i="4"/>
  <c r="J3574" i="4"/>
  <c r="I3575" i="4"/>
  <c r="J3575" i="4"/>
  <c r="I3576" i="4"/>
  <c r="J3576" i="4"/>
  <c r="I3577" i="4"/>
  <c r="J3577" i="4"/>
  <c r="I3578" i="4"/>
  <c r="J3578" i="4"/>
  <c r="I3579" i="4"/>
  <c r="J3579" i="4"/>
  <c r="I3580" i="4"/>
  <c r="J3580" i="4"/>
  <c r="I3581" i="4"/>
  <c r="J3581" i="4"/>
  <c r="I3582" i="4"/>
  <c r="J3582" i="4"/>
  <c r="I3583" i="4"/>
  <c r="J3583" i="4"/>
  <c r="I3584" i="4"/>
  <c r="J3584" i="4"/>
  <c r="I3585" i="4"/>
  <c r="J3585" i="4"/>
  <c r="I3586" i="4"/>
  <c r="J3586" i="4"/>
  <c r="I3587" i="4"/>
  <c r="J3587" i="4"/>
  <c r="I3588" i="4"/>
  <c r="J3588" i="4"/>
  <c r="I3589" i="4"/>
  <c r="J3589" i="4"/>
  <c r="I3590" i="4"/>
  <c r="J3590" i="4"/>
  <c r="I3591" i="4"/>
  <c r="J3591" i="4"/>
  <c r="I3592" i="4"/>
  <c r="J3592" i="4"/>
  <c r="I3593" i="4"/>
  <c r="J3593" i="4"/>
  <c r="I3594" i="4"/>
  <c r="J3594" i="4"/>
  <c r="I3595" i="4"/>
  <c r="J3595" i="4"/>
  <c r="I3596" i="4"/>
  <c r="J3596" i="4"/>
  <c r="I3597" i="4"/>
  <c r="J3597" i="4"/>
  <c r="I3598" i="4"/>
  <c r="J3598" i="4"/>
  <c r="I3599" i="4"/>
  <c r="J3599" i="4"/>
  <c r="I3600" i="4"/>
  <c r="J3600" i="4"/>
  <c r="I3601" i="4"/>
  <c r="J3601" i="4"/>
  <c r="I3602" i="4"/>
  <c r="J3602" i="4"/>
  <c r="I3603" i="4"/>
  <c r="J3603" i="4"/>
  <c r="I3604" i="4"/>
  <c r="J3604" i="4"/>
  <c r="I3605" i="4"/>
  <c r="J3605" i="4"/>
  <c r="I3606" i="4"/>
  <c r="J3606" i="4"/>
  <c r="I3607" i="4"/>
  <c r="J3607" i="4"/>
  <c r="I3608" i="4"/>
  <c r="J3608" i="4"/>
  <c r="I3609" i="4"/>
  <c r="J3609" i="4"/>
  <c r="I3610" i="4"/>
  <c r="J3610" i="4"/>
  <c r="I3611" i="4"/>
  <c r="J3611" i="4"/>
  <c r="I3612" i="4"/>
  <c r="J3612" i="4"/>
  <c r="I3613" i="4"/>
  <c r="J3613" i="4"/>
  <c r="I3614" i="4"/>
  <c r="J3614" i="4"/>
  <c r="I3615" i="4"/>
  <c r="J3615" i="4"/>
  <c r="I3616" i="4"/>
  <c r="J3616" i="4"/>
  <c r="I3617" i="4"/>
  <c r="J3617" i="4"/>
  <c r="I3618" i="4"/>
  <c r="J3618" i="4"/>
  <c r="I3619" i="4"/>
  <c r="J3619" i="4"/>
  <c r="I3620" i="4"/>
  <c r="J3620" i="4"/>
  <c r="I3621" i="4"/>
  <c r="J3621" i="4"/>
  <c r="I3622" i="4"/>
  <c r="J3622" i="4"/>
  <c r="I3623" i="4"/>
  <c r="J3623" i="4"/>
  <c r="I3624" i="4"/>
  <c r="J3624" i="4"/>
  <c r="I3625" i="4"/>
  <c r="J3625" i="4"/>
  <c r="I3626" i="4"/>
  <c r="J3626" i="4"/>
  <c r="I3627" i="4"/>
  <c r="J3627" i="4"/>
  <c r="I3628" i="4"/>
  <c r="J3628" i="4"/>
  <c r="I3629" i="4"/>
  <c r="J3629" i="4"/>
  <c r="I3630" i="4"/>
  <c r="J3630" i="4"/>
  <c r="I3631" i="4"/>
  <c r="J3631" i="4"/>
  <c r="I3632" i="4"/>
  <c r="J3632" i="4"/>
  <c r="I3633" i="4"/>
  <c r="J3633" i="4"/>
  <c r="I3634" i="4"/>
  <c r="J3634" i="4"/>
  <c r="I3635" i="4"/>
  <c r="J3635" i="4"/>
  <c r="I3636" i="4"/>
  <c r="J3636" i="4"/>
  <c r="I3637" i="4"/>
  <c r="J3637" i="4"/>
  <c r="I3638" i="4"/>
  <c r="J3638" i="4"/>
  <c r="I3639" i="4"/>
  <c r="J3639" i="4"/>
  <c r="I3640" i="4"/>
  <c r="J3640" i="4"/>
  <c r="I3641" i="4"/>
  <c r="J3641" i="4"/>
  <c r="I3642" i="4"/>
  <c r="J3642" i="4"/>
  <c r="I3643" i="4"/>
  <c r="J3643" i="4"/>
  <c r="I3644" i="4"/>
  <c r="J3644" i="4"/>
  <c r="I3645" i="4"/>
  <c r="J3645" i="4"/>
  <c r="I3646" i="4"/>
  <c r="J3646" i="4"/>
  <c r="I3647" i="4"/>
  <c r="J3647" i="4"/>
  <c r="I3648" i="4"/>
  <c r="J3648" i="4"/>
  <c r="I3649" i="4"/>
  <c r="J3649" i="4"/>
  <c r="I3650" i="4"/>
  <c r="J3650" i="4"/>
  <c r="I3651" i="4"/>
  <c r="J3651" i="4"/>
  <c r="I3652" i="4"/>
  <c r="J3652" i="4"/>
  <c r="I3653" i="4"/>
  <c r="J3653" i="4"/>
  <c r="I3654" i="4"/>
  <c r="J3654" i="4"/>
  <c r="I3655" i="4"/>
  <c r="J3655" i="4"/>
  <c r="I3656" i="4"/>
  <c r="J3656" i="4"/>
  <c r="I3657" i="4"/>
  <c r="J3657" i="4"/>
  <c r="I3658" i="4"/>
  <c r="J3658" i="4"/>
  <c r="I3659" i="4"/>
  <c r="J3659" i="4"/>
  <c r="I3660" i="4"/>
  <c r="J3660" i="4"/>
  <c r="I3661" i="4"/>
  <c r="J3661" i="4"/>
  <c r="I3662" i="4"/>
  <c r="J3662" i="4"/>
  <c r="I3663" i="4"/>
  <c r="J3663" i="4"/>
  <c r="I3664" i="4"/>
  <c r="J3664" i="4"/>
  <c r="I3665" i="4"/>
  <c r="J3665" i="4"/>
  <c r="I3666" i="4"/>
  <c r="J3666" i="4"/>
  <c r="I3667" i="4"/>
  <c r="J3667" i="4"/>
  <c r="I3668" i="4"/>
  <c r="J3668" i="4"/>
  <c r="I3669" i="4"/>
  <c r="J3669" i="4"/>
  <c r="I3670" i="4"/>
  <c r="J3670" i="4"/>
  <c r="I3671" i="4"/>
  <c r="J3671" i="4"/>
  <c r="I3672" i="4"/>
  <c r="J3672" i="4"/>
  <c r="I3673" i="4"/>
  <c r="J3673" i="4"/>
  <c r="I3674" i="4"/>
  <c r="J3674" i="4"/>
  <c r="I3675" i="4"/>
  <c r="J3675" i="4"/>
  <c r="I3676" i="4"/>
  <c r="J3676" i="4"/>
  <c r="I3677" i="4"/>
  <c r="J3677" i="4"/>
  <c r="I3678" i="4"/>
  <c r="J3678" i="4"/>
  <c r="I3679" i="4"/>
  <c r="J3679" i="4"/>
  <c r="I3680" i="4"/>
  <c r="J3680" i="4"/>
  <c r="I3681" i="4"/>
  <c r="J3681" i="4"/>
  <c r="I3682" i="4"/>
  <c r="J3682" i="4"/>
  <c r="I3683" i="4"/>
  <c r="J3683" i="4"/>
  <c r="I3684" i="4"/>
  <c r="J3684" i="4"/>
  <c r="I3685" i="4"/>
  <c r="J3685" i="4"/>
  <c r="I3686" i="4"/>
  <c r="J3686" i="4"/>
  <c r="I3687" i="4"/>
  <c r="J3687" i="4"/>
  <c r="I3688" i="4"/>
  <c r="J3688" i="4"/>
  <c r="I3689" i="4"/>
  <c r="J3689" i="4"/>
  <c r="I3690" i="4"/>
  <c r="J3690" i="4"/>
  <c r="I3691" i="4"/>
  <c r="J3691" i="4"/>
  <c r="I3692" i="4"/>
  <c r="J3692" i="4"/>
  <c r="I3693" i="4"/>
  <c r="J3693" i="4"/>
  <c r="I3694" i="4"/>
  <c r="J3694" i="4"/>
  <c r="I3695" i="4"/>
  <c r="J3695" i="4"/>
  <c r="I3696" i="4"/>
  <c r="J3696" i="4"/>
  <c r="I3697" i="4"/>
  <c r="J3697" i="4"/>
  <c r="I3698" i="4"/>
  <c r="J3698" i="4"/>
  <c r="I3699" i="4"/>
  <c r="J3699" i="4"/>
  <c r="I3700" i="4"/>
  <c r="J3700" i="4"/>
  <c r="I3701" i="4"/>
  <c r="J3701" i="4"/>
  <c r="I3702" i="4"/>
  <c r="J3702" i="4"/>
  <c r="I3703" i="4"/>
  <c r="J3703" i="4"/>
  <c r="I3704" i="4"/>
  <c r="J3704" i="4"/>
  <c r="I3705" i="4"/>
  <c r="J3705" i="4"/>
  <c r="I3706" i="4"/>
  <c r="J3706" i="4"/>
  <c r="I3707" i="4"/>
  <c r="J3707" i="4"/>
  <c r="I3708" i="4"/>
  <c r="J3708" i="4"/>
  <c r="I3709" i="4"/>
  <c r="J3709" i="4"/>
  <c r="I3710" i="4"/>
  <c r="J3710" i="4"/>
  <c r="I3711" i="4"/>
  <c r="J3711" i="4"/>
  <c r="I3712" i="4"/>
  <c r="J3712" i="4"/>
  <c r="I3713" i="4"/>
  <c r="J3713" i="4"/>
  <c r="I3714" i="4"/>
  <c r="J3714" i="4"/>
  <c r="I3715" i="4"/>
  <c r="J3715" i="4"/>
  <c r="I3716" i="4"/>
  <c r="J3716" i="4"/>
  <c r="I3717" i="4"/>
  <c r="J3717" i="4"/>
  <c r="I3718" i="4"/>
  <c r="J3718" i="4"/>
  <c r="I3719" i="4"/>
  <c r="J3719" i="4"/>
  <c r="I3720" i="4"/>
  <c r="J3720" i="4"/>
  <c r="I3721" i="4"/>
  <c r="J3721" i="4"/>
  <c r="I3722" i="4"/>
  <c r="J3722" i="4"/>
  <c r="I3723" i="4"/>
  <c r="J3723" i="4"/>
  <c r="I3724" i="4"/>
  <c r="J3724" i="4"/>
  <c r="I3725" i="4"/>
  <c r="J3725" i="4"/>
  <c r="I3726" i="4"/>
  <c r="J3726" i="4"/>
  <c r="I3727" i="4"/>
  <c r="J3727" i="4"/>
  <c r="I3728" i="4"/>
  <c r="J3728" i="4"/>
  <c r="I3729" i="4"/>
  <c r="J3729" i="4"/>
  <c r="I3730" i="4"/>
  <c r="J3730" i="4"/>
  <c r="I3731" i="4"/>
  <c r="J3731" i="4"/>
  <c r="I3732" i="4"/>
  <c r="J3732" i="4"/>
  <c r="I3733" i="4"/>
  <c r="J3733" i="4"/>
  <c r="I3734" i="4"/>
  <c r="J3734" i="4"/>
  <c r="I3735" i="4"/>
  <c r="J3735" i="4"/>
  <c r="I3736" i="4"/>
  <c r="J3736" i="4"/>
  <c r="I3737" i="4"/>
  <c r="J3737" i="4"/>
  <c r="I3738" i="4"/>
  <c r="J3738" i="4"/>
  <c r="I3739" i="4"/>
  <c r="J3739" i="4"/>
  <c r="I3740" i="4"/>
  <c r="J3740" i="4"/>
  <c r="I3741" i="4"/>
  <c r="J3741" i="4"/>
  <c r="I3742" i="4"/>
  <c r="J3742" i="4"/>
  <c r="I3743" i="4"/>
  <c r="J3743" i="4"/>
  <c r="I3744" i="4"/>
  <c r="J3744" i="4"/>
  <c r="I3745" i="4"/>
  <c r="J3745" i="4"/>
  <c r="I3746" i="4"/>
  <c r="J3746" i="4"/>
  <c r="I3747" i="4"/>
  <c r="J3747" i="4"/>
  <c r="I3748" i="4"/>
  <c r="J3748" i="4"/>
  <c r="I3749" i="4"/>
  <c r="J3749" i="4"/>
  <c r="I3750" i="4"/>
  <c r="J3750" i="4"/>
  <c r="I3751" i="4"/>
  <c r="J3751" i="4"/>
  <c r="I3752" i="4"/>
  <c r="J3752" i="4"/>
  <c r="I3753" i="4"/>
  <c r="J3753" i="4"/>
  <c r="I3754" i="4"/>
  <c r="J3754" i="4"/>
  <c r="I3755" i="4"/>
  <c r="J3755" i="4"/>
  <c r="I3756" i="4"/>
  <c r="J3756" i="4"/>
  <c r="I3757" i="4"/>
  <c r="J3757" i="4"/>
  <c r="I3758" i="4"/>
  <c r="J3758" i="4"/>
  <c r="I3759" i="4"/>
  <c r="J3759" i="4"/>
  <c r="I3760" i="4"/>
  <c r="J3760" i="4"/>
  <c r="I3761" i="4"/>
  <c r="J3761" i="4"/>
  <c r="I3762" i="4"/>
  <c r="J3762" i="4"/>
  <c r="I3763" i="4"/>
  <c r="J3763" i="4"/>
  <c r="I3764" i="4"/>
  <c r="J3764" i="4"/>
  <c r="I3765" i="4"/>
  <c r="J3765" i="4"/>
  <c r="I3766" i="4"/>
  <c r="J3766" i="4"/>
  <c r="I3767" i="4"/>
  <c r="J3767" i="4"/>
  <c r="I3768" i="4"/>
  <c r="J3768" i="4"/>
  <c r="I3769" i="4"/>
  <c r="J3769" i="4"/>
  <c r="I3770" i="4"/>
  <c r="J3770" i="4"/>
  <c r="I3771" i="4"/>
  <c r="J3771" i="4"/>
  <c r="I3772" i="4"/>
  <c r="J3772" i="4"/>
  <c r="I3773" i="4"/>
  <c r="J3773" i="4"/>
  <c r="I3774" i="4"/>
  <c r="J3774" i="4"/>
  <c r="I3775" i="4"/>
  <c r="J3775" i="4"/>
  <c r="I3776" i="4"/>
  <c r="J3776" i="4"/>
  <c r="I3777" i="4"/>
  <c r="J3777" i="4"/>
  <c r="I3778" i="4"/>
  <c r="J3778" i="4"/>
  <c r="I3779" i="4"/>
  <c r="J3779" i="4"/>
  <c r="I3780" i="4"/>
  <c r="J3780" i="4"/>
  <c r="I3781" i="4"/>
  <c r="J3781" i="4"/>
  <c r="I3782" i="4"/>
  <c r="J3782" i="4"/>
  <c r="I3783" i="4"/>
  <c r="J3783" i="4"/>
  <c r="I3784" i="4"/>
  <c r="J3784" i="4"/>
  <c r="I3785" i="4"/>
  <c r="J3785" i="4"/>
  <c r="I3786" i="4"/>
  <c r="J3786" i="4"/>
  <c r="I3787" i="4"/>
  <c r="J3787" i="4"/>
  <c r="I3788" i="4"/>
  <c r="J3788" i="4"/>
  <c r="I3789" i="4"/>
  <c r="J3789" i="4"/>
  <c r="I3790" i="4"/>
  <c r="J3790" i="4"/>
  <c r="I3791" i="4"/>
  <c r="J3791" i="4"/>
  <c r="I3792" i="4"/>
  <c r="J3792" i="4"/>
  <c r="I3793" i="4"/>
  <c r="J3793" i="4"/>
  <c r="I3794" i="4"/>
  <c r="J3794" i="4"/>
  <c r="I3795" i="4"/>
  <c r="J3795" i="4"/>
  <c r="I3796" i="4"/>
  <c r="J3796" i="4"/>
  <c r="I3797" i="4"/>
  <c r="J3797" i="4"/>
  <c r="I3798" i="4"/>
  <c r="J3798" i="4"/>
  <c r="I3799" i="4"/>
  <c r="J3799" i="4"/>
  <c r="I3800" i="4"/>
  <c r="J3800" i="4"/>
  <c r="I3801" i="4"/>
  <c r="J3801" i="4"/>
  <c r="I3802" i="4"/>
  <c r="J3802" i="4"/>
  <c r="I3803" i="4"/>
  <c r="J3803" i="4"/>
  <c r="I3804" i="4"/>
  <c r="J3804" i="4"/>
  <c r="I3805" i="4"/>
  <c r="J3805" i="4"/>
  <c r="I3806" i="4"/>
  <c r="J3806" i="4"/>
  <c r="I3807" i="4"/>
  <c r="J3807" i="4"/>
  <c r="I3808" i="4"/>
  <c r="J3808" i="4"/>
  <c r="I3809" i="4"/>
  <c r="J3809" i="4"/>
  <c r="I3810" i="4"/>
  <c r="J3810" i="4"/>
  <c r="I3811" i="4"/>
  <c r="J3811" i="4"/>
  <c r="I3812" i="4"/>
  <c r="J3812" i="4"/>
  <c r="I3813" i="4"/>
  <c r="J3813" i="4"/>
  <c r="I3814" i="4"/>
  <c r="J3814" i="4"/>
  <c r="I3815" i="4"/>
  <c r="J3815" i="4"/>
  <c r="I3816" i="4"/>
  <c r="J3816" i="4"/>
  <c r="I3817" i="4"/>
  <c r="J3817" i="4"/>
  <c r="I3818" i="4"/>
  <c r="J3818" i="4"/>
  <c r="I3819" i="4"/>
  <c r="J3819" i="4"/>
  <c r="I3820" i="4"/>
  <c r="J3820" i="4"/>
  <c r="I3821" i="4"/>
  <c r="J3821" i="4"/>
  <c r="I3822" i="4"/>
  <c r="J3822" i="4"/>
  <c r="I3823" i="4"/>
  <c r="J3823" i="4"/>
  <c r="I3824" i="4"/>
  <c r="J3824" i="4"/>
  <c r="I3825" i="4"/>
  <c r="J3825" i="4"/>
  <c r="I3826" i="4"/>
  <c r="J3826" i="4"/>
  <c r="I3827" i="4"/>
  <c r="J3827" i="4"/>
  <c r="I3828" i="4"/>
  <c r="J3828" i="4"/>
  <c r="I3829" i="4"/>
  <c r="J3829" i="4"/>
  <c r="I3830" i="4"/>
  <c r="J3830" i="4"/>
  <c r="I3831" i="4"/>
  <c r="J3831" i="4"/>
  <c r="I3832" i="4"/>
  <c r="J3832" i="4"/>
  <c r="I3833" i="4"/>
  <c r="J3833" i="4"/>
  <c r="I3834" i="4"/>
  <c r="J3834" i="4"/>
  <c r="I3835" i="4"/>
  <c r="J3835" i="4"/>
  <c r="I3836" i="4"/>
  <c r="J3836" i="4"/>
  <c r="I3837" i="4"/>
  <c r="J3837" i="4"/>
  <c r="I3838" i="4"/>
  <c r="J3838" i="4"/>
  <c r="I3839" i="4"/>
  <c r="J3839" i="4"/>
  <c r="I3840" i="4"/>
  <c r="J3840" i="4"/>
  <c r="I3841" i="4"/>
  <c r="J3841" i="4"/>
  <c r="I3842" i="4"/>
  <c r="J3842" i="4"/>
  <c r="I3843" i="4"/>
  <c r="J3843" i="4"/>
  <c r="I3844" i="4"/>
  <c r="J3844" i="4"/>
  <c r="I3845" i="4"/>
  <c r="J3845" i="4"/>
  <c r="I3846" i="4"/>
  <c r="J3846" i="4"/>
  <c r="I3847" i="4"/>
  <c r="J3847" i="4"/>
  <c r="I3848" i="4"/>
  <c r="J3848" i="4"/>
  <c r="I3849" i="4"/>
  <c r="J3849" i="4"/>
  <c r="I3850" i="4"/>
  <c r="J3850" i="4"/>
  <c r="I3851" i="4"/>
  <c r="J3851" i="4"/>
  <c r="I3852" i="4"/>
  <c r="J3852" i="4"/>
  <c r="I3853" i="4"/>
  <c r="J3853" i="4"/>
  <c r="I3854" i="4"/>
  <c r="J3854" i="4"/>
  <c r="I3855" i="4"/>
  <c r="J3855" i="4"/>
  <c r="I3856" i="4"/>
  <c r="J3856" i="4"/>
  <c r="I3857" i="4"/>
  <c r="J3857" i="4"/>
  <c r="I3858" i="4"/>
  <c r="J3858" i="4"/>
  <c r="I3859" i="4"/>
  <c r="J3859" i="4"/>
  <c r="I3860" i="4"/>
  <c r="J3860" i="4"/>
  <c r="I3861" i="4"/>
  <c r="J3861" i="4"/>
  <c r="I3862" i="4"/>
  <c r="J3862" i="4"/>
  <c r="I3863" i="4"/>
  <c r="J3863" i="4"/>
  <c r="I3864" i="4"/>
  <c r="J3864" i="4"/>
  <c r="I3865" i="4"/>
  <c r="J3865" i="4"/>
  <c r="I3866" i="4"/>
  <c r="J3866" i="4"/>
  <c r="I3867" i="4"/>
  <c r="J3867" i="4"/>
  <c r="I3868" i="4"/>
  <c r="J3868" i="4"/>
  <c r="I3869" i="4"/>
  <c r="J3869" i="4"/>
  <c r="I3870" i="4"/>
  <c r="J3870" i="4"/>
  <c r="I3871" i="4"/>
  <c r="J3871" i="4"/>
  <c r="I3872" i="4"/>
  <c r="J3872" i="4"/>
  <c r="I3873" i="4"/>
  <c r="J3873" i="4"/>
  <c r="I3874" i="4"/>
  <c r="J3874" i="4"/>
  <c r="I3875" i="4"/>
  <c r="J3875" i="4"/>
  <c r="I3876" i="4"/>
  <c r="J3876" i="4"/>
  <c r="I3877" i="4"/>
  <c r="J3877" i="4"/>
  <c r="I3878" i="4"/>
  <c r="J3878" i="4"/>
  <c r="I3879" i="4"/>
  <c r="J3879" i="4"/>
  <c r="I3880" i="4"/>
  <c r="J3880" i="4"/>
  <c r="I3881" i="4"/>
  <c r="J3881" i="4"/>
  <c r="I3882" i="4"/>
  <c r="J3882" i="4"/>
  <c r="I3883" i="4"/>
  <c r="J3883" i="4"/>
  <c r="I3884" i="4"/>
  <c r="J3884" i="4"/>
  <c r="I3885" i="4"/>
  <c r="J3885" i="4"/>
  <c r="I3886" i="4"/>
  <c r="J3886" i="4"/>
  <c r="I3887" i="4"/>
  <c r="J3887" i="4"/>
  <c r="I3888" i="4"/>
  <c r="J3888" i="4"/>
  <c r="I3889" i="4"/>
  <c r="J3889" i="4"/>
  <c r="I3890" i="4"/>
  <c r="J3890" i="4"/>
  <c r="I3891" i="4"/>
  <c r="J3891" i="4"/>
  <c r="I3892" i="4"/>
  <c r="J3892" i="4"/>
  <c r="I3893" i="4"/>
  <c r="J3893" i="4"/>
  <c r="I3894" i="4"/>
  <c r="J3894" i="4"/>
  <c r="I3895" i="4"/>
  <c r="J3895" i="4"/>
  <c r="I3896" i="4"/>
  <c r="J3896" i="4"/>
  <c r="I3897" i="4"/>
  <c r="J3897" i="4"/>
  <c r="I3898" i="4"/>
  <c r="J3898" i="4"/>
  <c r="I3899" i="4"/>
  <c r="J3899" i="4"/>
  <c r="I3900" i="4"/>
  <c r="J3900" i="4"/>
  <c r="I3901" i="4"/>
  <c r="J3901" i="4"/>
  <c r="I3902" i="4"/>
  <c r="J3902" i="4"/>
  <c r="I3903" i="4"/>
  <c r="J3903" i="4"/>
  <c r="I3904" i="4"/>
  <c r="J3904" i="4"/>
  <c r="I3905" i="4"/>
  <c r="J3905" i="4"/>
  <c r="I3906" i="4"/>
  <c r="J3906" i="4"/>
  <c r="I3907" i="4"/>
  <c r="J3907" i="4"/>
  <c r="I3908" i="4"/>
  <c r="J3908" i="4"/>
  <c r="I3909" i="4"/>
  <c r="J3909" i="4"/>
  <c r="I3910" i="4"/>
  <c r="J3910" i="4"/>
  <c r="I3911" i="4"/>
  <c r="J3911" i="4"/>
  <c r="I3912" i="4"/>
  <c r="J3912" i="4"/>
  <c r="I3913" i="4"/>
  <c r="J3913" i="4"/>
  <c r="I3914" i="4"/>
  <c r="J3914" i="4"/>
  <c r="I3915" i="4"/>
  <c r="J3915" i="4"/>
  <c r="I3916" i="4"/>
  <c r="J3916" i="4"/>
  <c r="I3917" i="4"/>
  <c r="J3917" i="4"/>
  <c r="I3918" i="4"/>
  <c r="J3918" i="4"/>
  <c r="I3919" i="4"/>
  <c r="J3919" i="4"/>
  <c r="I3920" i="4"/>
  <c r="J3920" i="4"/>
  <c r="I3921" i="4"/>
  <c r="J3921" i="4"/>
  <c r="I3922" i="4"/>
  <c r="J3922" i="4"/>
  <c r="I3923" i="4"/>
  <c r="J3923" i="4"/>
  <c r="I3924" i="4"/>
  <c r="J3924" i="4"/>
  <c r="I3925" i="4"/>
  <c r="J3925" i="4"/>
  <c r="I3926" i="4"/>
  <c r="J3926" i="4"/>
  <c r="I3927" i="4"/>
  <c r="J3927" i="4"/>
  <c r="I3928" i="4"/>
  <c r="J3928" i="4"/>
  <c r="I3929" i="4"/>
  <c r="J3929" i="4"/>
  <c r="I3930" i="4"/>
  <c r="J3930" i="4"/>
  <c r="I3931" i="4"/>
  <c r="J3931" i="4"/>
  <c r="I3932" i="4"/>
  <c r="J3932" i="4"/>
  <c r="I3933" i="4"/>
  <c r="J3933" i="4"/>
  <c r="I3934" i="4"/>
  <c r="J3934" i="4"/>
  <c r="I3935" i="4"/>
  <c r="J3935" i="4"/>
  <c r="I3936" i="4"/>
  <c r="J3936" i="4"/>
  <c r="I3937" i="4"/>
  <c r="J3937" i="4"/>
  <c r="I3938" i="4"/>
  <c r="J3938" i="4"/>
  <c r="I3939" i="4"/>
  <c r="J3939" i="4"/>
  <c r="I3940" i="4"/>
  <c r="J3940" i="4"/>
  <c r="I3941" i="4"/>
  <c r="J3941" i="4"/>
  <c r="I3942" i="4"/>
  <c r="J3942" i="4"/>
  <c r="I3943" i="4"/>
  <c r="J3943" i="4"/>
  <c r="I3944" i="4"/>
  <c r="J3944" i="4"/>
  <c r="I3945" i="4"/>
  <c r="J3945" i="4"/>
  <c r="I3946" i="4"/>
  <c r="J3946" i="4"/>
  <c r="I3947" i="4"/>
  <c r="J3947" i="4"/>
  <c r="I3948" i="4"/>
  <c r="J3948" i="4"/>
  <c r="I3949" i="4"/>
  <c r="J3949" i="4"/>
  <c r="I3950" i="4"/>
  <c r="J3950" i="4"/>
  <c r="I3951" i="4"/>
  <c r="J3951" i="4"/>
  <c r="I3952" i="4"/>
  <c r="J3952" i="4"/>
  <c r="I3953" i="4"/>
  <c r="J3953" i="4"/>
  <c r="I3954" i="4"/>
  <c r="J3954" i="4"/>
  <c r="I3955" i="4"/>
  <c r="J3955" i="4"/>
  <c r="I3956" i="4"/>
  <c r="J3956" i="4"/>
  <c r="I3957" i="4"/>
  <c r="J3957" i="4"/>
  <c r="I3958" i="4"/>
  <c r="J3958" i="4"/>
  <c r="I3959" i="4"/>
  <c r="J3959" i="4"/>
  <c r="I3960" i="4"/>
  <c r="J3960" i="4"/>
  <c r="I3961" i="4"/>
  <c r="J3961" i="4"/>
  <c r="I3962" i="4"/>
  <c r="J3962" i="4"/>
  <c r="I3963" i="4"/>
  <c r="J3963" i="4"/>
  <c r="I3964" i="4"/>
  <c r="J3964" i="4"/>
  <c r="I3965" i="4"/>
  <c r="J3965" i="4"/>
  <c r="I3966" i="4"/>
  <c r="J3966" i="4"/>
  <c r="I3967" i="4"/>
  <c r="J3967" i="4"/>
  <c r="I3968" i="4"/>
  <c r="J3968" i="4"/>
  <c r="I3969" i="4"/>
  <c r="J3969" i="4"/>
  <c r="I3970" i="4"/>
  <c r="J3970" i="4"/>
  <c r="I3971" i="4"/>
  <c r="J3971" i="4"/>
  <c r="I3972" i="4"/>
  <c r="J3972" i="4"/>
  <c r="I3973" i="4"/>
  <c r="J3973" i="4"/>
  <c r="I3974" i="4"/>
  <c r="J3974" i="4"/>
  <c r="I3975" i="4"/>
  <c r="J3975" i="4"/>
  <c r="I3976" i="4"/>
  <c r="J3976" i="4"/>
  <c r="I3977" i="4"/>
  <c r="J3977" i="4"/>
  <c r="I3978" i="4"/>
  <c r="J3978" i="4"/>
  <c r="I3979" i="4"/>
  <c r="J3979" i="4"/>
  <c r="I3980" i="4"/>
  <c r="J3980" i="4"/>
  <c r="I3981" i="4"/>
  <c r="J3981" i="4"/>
  <c r="I3982" i="4"/>
  <c r="J3982" i="4"/>
  <c r="I3983" i="4"/>
  <c r="J3983" i="4"/>
  <c r="I3984" i="4"/>
  <c r="J3984" i="4"/>
  <c r="I3985" i="4"/>
  <c r="J3985" i="4"/>
  <c r="I3986" i="4"/>
  <c r="J3986" i="4"/>
  <c r="I3987" i="4"/>
  <c r="J3987" i="4"/>
  <c r="I3988" i="4"/>
  <c r="J3988" i="4"/>
  <c r="I3989" i="4"/>
  <c r="J3989" i="4"/>
  <c r="I3990" i="4"/>
  <c r="J3990" i="4"/>
  <c r="I3991" i="4"/>
  <c r="J3991" i="4"/>
  <c r="I3992" i="4"/>
  <c r="J3992" i="4"/>
  <c r="I3993" i="4"/>
  <c r="J3993" i="4"/>
  <c r="I3994" i="4"/>
  <c r="J3994" i="4"/>
  <c r="I3995" i="4"/>
  <c r="J3995" i="4"/>
  <c r="I3996" i="4"/>
  <c r="J3996" i="4"/>
  <c r="I3997" i="4"/>
  <c r="J3997" i="4"/>
  <c r="I3998" i="4"/>
  <c r="J3998" i="4"/>
  <c r="I3999" i="4"/>
  <c r="J3999" i="4"/>
  <c r="I4000" i="4"/>
  <c r="J4000" i="4"/>
  <c r="I4001" i="4"/>
  <c r="J4001" i="4"/>
  <c r="I4002" i="4"/>
  <c r="J4002" i="4"/>
  <c r="I4003" i="4"/>
  <c r="J4003" i="4"/>
  <c r="I4004" i="4"/>
  <c r="J4004" i="4"/>
  <c r="I4005" i="4"/>
  <c r="J4005" i="4"/>
  <c r="I4006" i="4"/>
  <c r="J4006" i="4"/>
  <c r="I4007" i="4"/>
  <c r="J4007" i="4"/>
  <c r="I4008" i="4"/>
  <c r="J4008" i="4"/>
  <c r="I4009" i="4"/>
  <c r="J4009" i="4"/>
  <c r="I4010" i="4"/>
  <c r="J4010" i="4"/>
  <c r="I4011" i="4"/>
  <c r="J4011" i="4"/>
  <c r="I4012" i="4"/>
  <c r="J4012" i="4"/>
  <c r="I4013" i="4"/>
  <c r="J4013" i="4"/>
  <c r="I4014" i="4"/>
  <c r="J4014" i="4"/>
  <c r="I4015" i="4"/>
  <c r="J4015" i="4"/>
  <c r="I4016" i="4"/>
  <c r="J4016" i="4"/>
  <c r="I4017" i="4"/>
  <c r="J4017" i="4"/>
  <c r="I4018" i="4"/>
  <c r="J4018" i="4"/>
  <c r="I4019" i="4"/>
  <c r="J4019" i="4"/>
  <c r="I4020" i="4"/>
  <c r="J4020" i="4"/>
  <c r="I4021" i="4"/>
  <c r="J4021" i="4"/>
  <c r="I4022" i="4"/>
  <c r="J4022" i="4"/>
  <c r="I4023" i="4"/>
  <c r="J4023" i="4"/>
  <c r="I4024" i="4"/>
  <c r="J4024" i="4"/>
  <c r="I4025" i="4"/>
  <c r="J4025" i="4"/>
  <c r="I4026" i="4"/>
  <c r="J4026" i="4"/>
  <c r="I4027" i="4"/>
  <c r="J4027" i="4"/>
  <c r="I4028" i="4"/>
  <c r="J4028" i="4"/>
  <c r="I4029" i="4"/>
  <c r="J4029" i="4"/>
  <c r="I4030" i="4"/>
  <c r="J4030" i="4"/>
  <c r="I4031" i="4"/>
  <c r="J4031" i="4"/>
  <c r="I4032" i="4"/>
  <c r="J4032" i="4"/>
  <c r="I4033" i="4"/>
  <c r="J4033" i="4"/>
  <c r="I4034" i="4"/>
  <c r="J4034" i="4"/>
  <c r="I4035" i="4"/>
  <c r="J4035" i="4"/>
  <c r="I4036" i="4"/>
  <c r="J4036" i="4"/>
  <c r="I4037" i="4"/>
  <c r="J4037" i="4"/>
  <c r="I4038" i="4"/>
  <c r="J4038" i="4"/>
  <c r="I4039" i="4"/>
  <c r="J4039" i="4"/>
  <c r="I4040" i="4"/>
  <c r="J4040" i="4"/>
  <c r="I4041" i="4"/>
  <c r="J4041" i="4"/>
  <c r="I4042" i="4"/>
  <c r="J4042" i="4"/>
  <c r="I4043" i="4"/>
  <c r="J4043" i="4"/>
  <c r="I4044" i="4"/>
  <c r="J4044" i="4"/>
  <c r="I4045" i="4"/>
  <c r="J4045" i="4"/>
  <c r="I4046" i="4"/>
  <c r="J4046" i="4"/>
  <c r="I4047" i="4"/>
  <c r="J4047" i="4"/>
  <c r="I4048" i="4"/>
  <c r="J4048" i="4"/>
  <c r="I4049" i="4"/>
  <c r="J4049" i="4"/>
  <c r="I4050" i="4"/>
  <c r="J4050" i="4"/>
  <c r="I4051" i="4"/>
  <c r="J4051" i="4"/>
  <c r="I4052" i="4"/>
  <c r="J4052" i="4"/>
  <c r="I4053" i="4"/>
  <c r="J4053" i="4"/>
  <c r="I4054" i="4"/>
  <c r="J4054" i="4"/>
  <c r="I4055" i="4"/>
  <c r="J4055" i="4"/>
  <c r="I4056" i="4"/>
  <c r="J4056" i="4"/>
  <c r="I4057" i="4"/>
  <c r="J4057" i="4"/>
  <c r="I4058" i="4"/>
  <c r="J4058" i="4"/>
  <c r="I4059" i="4"/>
  <c r="J4059" i="4"/>
  <c r="I4060" i="4"/>
  <c r="J4060" i="4"/>
  <c r="I4061" i="4"/>
  <c r="J4061" i="4"/>
  <c r="I4062" i="4"/>
  <c r="J4062" i="4"/>
  <c r="I4063" i="4"/>
  <c r="J4063" i="4"/>
  <c r="I4064" i="4"/>
  <c r="J4064" i="4"/>
  <c r="I4065" i="4"/>
  <c r="J4065" i="4"/>
  <c r="I4066" i="4"/>
  <c r="J4066" i="4"/>
  <c r="I4067" i="4"/>
  <c r="J4067" i="4"/>
  <c r="I4068" i="4"/>
  <c r="J4068" i="4"/>
  <c r="I4069" i="4"/>
  <c r="J4069" i="4"/>
  <c r="I4070" i="4"/>
  <c r="J4070" i="4"/>
  <c r="I4071" i="4"/>
  <c r="J4071" i="4"/>
  <c r="I4072" i="4"/>
  <c r="J4072" i="4"/>
  <c r="I4073" i="4"/>
  <c r="J4073" i="4"/>
  <c r="I4074" i="4"/>
  <c r="J4074" i="4"/>
  <c r="I4075" i="4"/>
  <c r="J4075" i="4"/>
  <c r="I4076" i="4"/>
  <c r="J4076" i="4"/>
  <c r="I4077" i="4"/>
  <c r="J4077" i="4"/>
  <c r="I4078" i="4"/>
  <c r="J4078" i="4"/>
  <c r="I4079" i="4"/>
  <c r="J4079" i="4"/>
  <c r="I4080" i="4"/>
  <c r="J4080" i="4"/>
  <c r="I4081" i="4"/>
  <c r="J4081" i="4"/>
  <c r="I4082" i="4"/>
  <c r="J4082" i="4"/>
  <c r="I4083" i="4"/>
  <c r="J4083" i="4"/>
  <c r="I4084" i="4"/>
  <c r="J4084" i="4"/>
  <c r="I4085" i="4"/>
  <c r="J4085" i="4"/>
  <c r="I4086" i="4"/>
  <c r="J4086" i="4"/>
  <c r="I4087" i="4"/>
  <c r="J4087" i="4"/>
  <c r="I4088" i="4"/>
  <c r="J4088" i="4"/>
  <c r="I4089" i="4"/>
  <c r="J4089" i="4"/>
  <c r="I4090" i="4"/>
  <c r="J4090" i="4"/>
  <c r="I4091" i="4"/>
  <c r="J4091" i="4"/>
  <c r="I4092" i="4"/>
  <c r="J4092" i="4"/>
  <c r="I4093" i="4"/>
  <c r="J4093" i="4"/>
  <c r="I4094" i="4"/>
  <c r="J4094" i="4"/>
  <c r="I4095" i="4"/>
  <c r="J4095" i="4"/>
  <c r="I4096" i="4"/>
  <c r="J4096" i="4"/>
  <c r="I4097" i="4"/>
  <c r="J4097" i="4"/>
  <c r="I4098" i="4"/>
  <c r="J4098" i="4"/>
  <c r="I4099" i="4"/>
  <c r="J4099" i="4"/>
  <c r="I4100" i="4"/>
  <c r="J4100" i="4"/>
  <c r="I4101" i="4"/>
  <c r="J4101" i="4"/>
  <c r="I4102" i="4"/>
  <c r="J4102" i="4"/>
  <c r="I4103" i="4"/>
  <c r="J4103" i="4"/>
  <c r="I4104" i="4"/>
  <c r="J4104" i="4"/>
  <c r="I4105" i="4"/>
  <c r="J4105" i="4"/>
  <c r="I4106" i="4"/>
  <c r="J4106" i="4"/>
  <c r="I4107" i="4"/>
  <c r="J4107" i="4"/>
  <c r="I4108" i="4"/>
  <c r="J4108" i="4"/>
  <c r="I4109" i="4"/>
  <c r="J4109" i="4"/>
  <c r="I4110" i="4"/>
  <c r="J4110" i="4"/>
  <c r="I4111" i="4"/>
  <c r="J4111" i="4"/>
  <c r="I4112" i="4"/>
  <c r="J4112" i="4"/>
  <c r="I4113" i="4"/>
  <c r="J4113" i="4"/>
  <c r="I4114" i="4"/>
  <c r="J4114" i="4"/>
  <c r="I4115" i="4"/>
  <c r="J4115" i="4"/>
  <c r="I4116" i="4"/>
  <c r="J4116" i="4"/>
  <c r="I4117" i="4"/>
  <c r="J4117" i="4"/>
  <c r="I4118" i="4"/>
  <c r="J4118" i="4"/>
  <c r="I4119" i="4"/>
  <c r="J4119" i="4"/>
  <c r="I4120" i="4"/>
  <c r="J4120" i="4"/>
  <c r="I4121" i="4"/>
  <c r="J4121" i="4"/>
  <c r="I4122" i="4"/>
  <c r="J4122" i="4"/>
  <c r="I4123" i="4"/>
  <c r="J4123" i="4"/>
  <c r="I4124" i="4"/>
  <c r="J4124" i="4"/>
  <c r="I4125" i="4"/>
  <c r="J4125" i="4"/>
  <c r="I4126" i="4"/>
  <c r="J4126" i="4"/>
  <c r="I4127" i="4"/>
  <c r="J4127" i="4"/>
  <c r="I4128" i="4"/>
  <c r="J4128" i="4"/>
  <c r="I4129" i="4"/>
  <c r="J4129" i="4"/>
  <c r="I4130" i="4"/>
  <c r="J4130" i="4"/>
  <c r="I4131" i="4"/>
  <c r="J4131" i="4"/>
  <c r="I4132" i="4"/>
  <c r="J4132" i="4"/>
  <c r="I4133" i="4"/>
  <c r="J4133" i="4"/>
  <c r="I4134" i="4"/>
  <c r="J4134" i="4"/>
  <c r="I4135" i="4"/>
  <c r="J4135" i="4"/>
  <c r="I4136" i="4"/>
  <c r="J4136" i="4"/>
  <c r="I4137" i="4"/>
  <c r="J4137" i="4"/>
  <c r="I4138" i="4"/>
  <c r="J4138" i="4"/>
  <c r="I4139" i="4"/>
  <c r="J4139" i="4"/>
  <c r="I4140" i="4"/>
  <c r="J4140" i="4"/>
  <c r="I4141" i="4"/>
  <c r="J4141" i="4"/>
  <c r="I4142" i="4"/>
  <c r="J4142" i="4"/>
  <c r="I4143" i="4"/>
  <c r="J4143" i="4"/>
  <c r="I4144" i="4"/>
  <c r="J4144" i="4"/>
  <c r="I4145" i="4"/>
  <c r="J4145" i="4"/>
  <c r="I4146" i="4"/>
  <c r="J4146" i="4"/>
  <c r="I4147" i="4"/>
  <c r="J4147" i="4"/>
  <c r="I4148" i="4"/>
  <c r="J4148" i="4"/>
  <c r="I4149" i="4"/>
  <c r="J4149" i="4"/>
  <c r="I4150" i="4"/>
  <c r="J4150" i="4"/>
  <c r="I4151" i="4"/>
  <c r="J4151" i="4"/>
  <c r="I4152" i="4"/>
  <c r="J4152" i="4"/>
  <c r="I4153" i="4"/>
  <c r="J4153" i="4"/>
  <c r="I4154" i="4"/>
  <c r="J4154" i="4"/>
  <c r="I4155" i="4"/>
  <c r="J4155" i="4"/>
  <c r="I4156" i="4"/>
  <c r="J4156" i="4"/>
  <c r="I4157" i="4"/>
  <c r="J4157" i="4"/>
  <c r="I4158" i="4"/>
  <c r="J4158" i="4"/>
  <c r="I4159" i="4"/>
  <c r="J4159" i="4"/>
  <c r="I4160" i="4"/>
  <c r="J4160" i="4"/>
  <c r="I4161" i="4"/>
  <c r="J4161" i="4"/>
  <c r="I4162" i="4"/>
  <c r="J4162" i="4"/>
  <c r="I4163" i="4"/>
  <c r="J4163" i="4"/>
  <c r="I4164" i="4"/>
  <c r="J4164" i="4"/>
  <c r="I4165" i="4"/>
  <c r="J4165" i="4"/>
  <c r="I4166" i="4"/>
  <c r="J4166" i="4"/>
  <c r="I4167" i="4"/>
  <c r="J4167" i="4"/>
  <c r="I4168" i="4"/>
  <c r="J4168" i="4"/>
  <c r="I4169" i="4"/>
  <c r="J4169" i="4"/>
  <c r="I4170" i="4"/>
  <c r="J4170" i="4"/>
  <c r="I4171" i="4"/>
  <c r="J4171" i="4"/>
  <c r="I4172" i="4"/>
  <c r="J4172" i="4"/>
  <c r="I4173" i="4"/>
  <c r="J4173" i="4"/>
  <c r="I4174" i="4"/>
  <c r="J4174" i="4"/>
  <c r="I4175" i="4"/>
  <c r="J4175" i="4"/>
  <c r="I4176" i="4"/>
  <c r="J4176" i="4"/>
  <c r="I4177" i="4"/>
  <c r="J4177" i="4"/>
  <c r="I4178" i="4"/>
  <c r="J4178" i="4"/>
  <c r="I4179" i="4"/>
  <c r="J4179" i="4"/>
  <c r="I4180" i="4"/>
  <c r="J4180" i="4"/>
  <c r="I4181" i="4"/>
  <c r="J4181" i="4"/>
  <c r="I4182" i="4"/>
  <c r="J4182" i="4"/>
  <c r="I4183" i="4"/>
  <c r="J4183" i="4"/>
  <c r="I4184" i="4"/>
  <c r="J4184" i="4"/>
  <c r="I4185" i="4"/>
  <c r="J4185" i="4"/>
  <c r="I4186" i="4"/>
  <c r="J4186" i="4"/>
  <c r="I4187" i="4"/>
  <c r="J4187" i="4"/>
  <c r="I4188" i="4"/>
  <c r="J4188" i="4"/>
  <c r="I4189" i="4"/>
  <c r="J4189" i="4"/>
  <c r="I4190" i="4"/>
  <c r="J4190" i="4"/>
  <c r="I4191" i="4"/>
  <c r="J4191" i="4"/>
  <c r="I4192" i="4"/>
  <c r="J4192" i="4"/>
  <c r="I4193" i="4"/>
  <c r="J4193" i="4"/>
  <c r="I4194" i="4"/>
  <c r="J4194" i="4"/>
  <c r="I4195" i="4"/>
  <c r="J4195" i="4"/>
  <c r="I4196" i="4"/>
  <c r="J4196" i="4"/>
  <c r="I4197" i="4"/>
  <c r="J4197" i="4"/>
  <c r="I4198" i="4"/>
  <c r="J4198" i="4"/>
  <c r="I4199" i="4"/>
  <c r="J4199" i="4"/>
  <c r="I4200" i="4"/>
  <c r="J4200" i="4"/>
  <c r="I4201" i="4"/>
  <c r="J4201" i="4"/>
  <c r="I4202" i="4"/>
  <c r="J4202" i="4"/>
  <c r="I4203" i="4"/>
  <c r="J4203" i="4"/>
  <c r="I4204" i="4"/>
  <c r="J4204" i="4"/>
  <c r="I4205" i="4"/>
  <c r="J4205" i="4"/>
  <c r="I4206" i="4"/>
  <c r="J4206" i="4"/>
  <c r="I4207" i="4"/>
  <c r="J4207" i="4"/>
  <c r="I4208" i="4"/>
  <c r="J4208" i="4"/>
  <c r="I4209" i="4"/>
  <c r="J4209" i="4"/>
  <c r="I4210" i="4"/>
  <c r="J4210" i="4"/>
  <c r="I4211" i="4"/>
  <c r="J4211" i="4"/>
  <c r="I4212" i="4"/>
  <c r="J4212" i="4"/>
  <c r="I4213" i="4"/>
  <c r="J4213" i="4"/>
  <c r="I4214" i="4"/>
  <c r="J4214" i="4"/>
  <c r="I4215" i="4"/>
  <c r="J4215" i="4"/>
  <c r="I4216" i="4"/>
  <c r="J4216" i="4"/>
  <c r="I4217" i="4"/>
  <c r="J4217" i="4"/>
  <c r="I4218" i="4"/>
  <c r="J4218" i="4"/>
  <c r="I4219" i="4"/>
  <c r="J4219" i="4"/>
  <c r="I4220" i="4"/>
  <c r="J4220" i="4"/>
  <c r="I4221" i="4"/>
  <c r="J4221" i="4"/>
  <c r="I4222" i="4"/>
  <c r="J4222" i="4"/>
  <c r="I4223" i="4"/>
  <c r="J4223" i="4"/>
  <c r="I4224" i="4"/>
  <c r="J4224" i="4"/>
  <c r="I4225" i="4"/>
  <c r="J4225" i="4"/>
  <c r="I4226" i="4"/>
  <c r="J4226" i="4"/>
  <c r="I4227" i="4"/>
  <c r="J4227" i="4"/>
  <c r="I4228" i="4"/>
  <c r="J4228" i="4"/>
  <c r="I4229" i="4"/>
  <c r="J4229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B1194" i="4"/>
  <c r="C1194" i="4"/>
  <c r="B1195" i="4"/>
  <c r="C1195" i="4"/>
  <c r="B1196" i="4"/>
  <c r="C1196" i="4"/>
  <c r="B1197" i="4"/>
  <c r="C1197" i="4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55" i="4"/>
  <c r="C1255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68" i="4"/>
  <c r="C1268" i="4"/>
  <c r="B1269" i="4"/>
  <c r="C1269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B1319" i="4"/>
  <c r="C1319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61" i="4"/>
  <c r="C1361" i="4"/>
  <c r="B1362" i="4"/>
  <c r="C1362" i="4"/>
  <c r="B1363" i="4"/>
  <c r="C1363" i="4"/>
  <c r="B1364" i="4"/>
  <c r="C1364" i="4"/>
  <c r="B1365" i="4"/>
  <c r="C1365" i="4"/>
  <c r="B1366" i="4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429" i="4"/>
  <c r="C1429" i="4"/>
  <c r="B1430" i="4"/>
  <c r="C1430" i="4"/>
  <c r="B1431" i="4"/>
  <c r="C1431" i="4"/>
  <c r="B1432" i="4"/>
  <c r="C1432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B1527" i="4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B1578" i="4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B1728" i="4"/>
  <c r="C1728" i="4"/>
  <c r="B1729" i="4"/>
  <c r="C1729" i="4"/>
  <c r="B1730" i="4"/>
  <c r="C1730" i="4"/>
  <c r="B1731" i="4"/>
  <c r="C1731" i="4"/>
  <c r="B1732" i="4"/>
  <c r="C1732" i="4"/>
  <c r="B1733" i="4"/>
  <c r="C1733" i="4"/>
  <c r="B1734" i="4"/>
  <c r="C1734" i="4"/>
  <c r="B1735" i="4"/>
  <c r="C1735" i="4"/>
  <c r="B1736" i="4"/>
  <c r="C1736" i="4"/>
  <c r="B1737" i="4"/>
  <c r="C1737" i="4"/>
  <c r="B1738" i="4"/>
  <c r="C1738" i="4"/>
  <c r="B1739" i="4"/>
  <c r="C1739" i="4"/>
  <c r="B1740" i="4"/>
  <c r="C1740" i="4"/>
  <c r="B1741" i="4"/>
  <c r="C1741" i="4"/>
  <c r="B1742" i="4"/>
  <c r="C1742" i="4"/>
  <c r="B1743" i="4"/>
  <c r="C1743" i="4"/>
  <c r="B1744" i="4"/>
  <c r="C1744" i="4"/>
  <c r="B1745" i="4"/>
  <c r="C1745" i="4"/>
  <c r="B1746" i="4"/>
  <c r="C1746" i="4"/>
  <c r="B1747" i="4"/>
  <c r="C1747" i="4"/>
  <c r="B1748" i="4"/>
  <c r="C1748" i="4"/>
  <c r="B1749" i="4"/>
  <c r="C1749" i="4"/>
  <c r="B1750" i="4"/>
  <c r="C1750" i="4"/>
  <c r="B1751" i="4"/>
  <c r="C1751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B1826" i="4"/>
  <c r="C1826" i="4"/>
  <c r="B1827" i="4"/>
  <c r="C1827" i="4"/>
  <c r="B1828" i="4"/>
  <c r="C1828" i="4"/>
  <c r="B1829" i="4"/>
  <c r="C1829" i="4"/>
  <c r="B1830" i="4"/>
  <c r="C1830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40" i="4"/>
  <c r="C1840" i="4"/>
  <c r="B1841" i="4"/>
  <c r="C1841" i="4"/>
  <c r="B1842" i="4"/>
  <c r="C1842" i="4"/>
  <c r="B1843" i="4"/>
  <c r="C1843" i="4"/>
  <c r="B1844" i="4"/>
  <c r="C1844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B1884" i="4"/>
  <c r="C1884" i="4"/>
  <c r="B1885" i="4"/>
  <c r="C1885" i="4"/>
  <c r="B1886" i="4"/>
  <c r="C1886" i="4"/>
  <c r="B1887" i="4"/>
  <c r="C1887" i="4"/>
  <c r="B1888" i="4"/>
  <c r="C1888" i="4"/>
  <c r="B1889" i="4"/>
  <c r="C1889" i="4"/>
  <c r="B1890" i="4"/>
  <c r="C1890" i="4"/>
  <c r="B1891" i="4"/>
  <c r="C1891" i="4"/>
  <c r="B1892" i="4"/>
  <c r="C1892" i="4"/>
  <c r="B1893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27" i="4"/>
  <c r="C2427" i="4"/>
  <c r="B2428" i="4"/>
  <c r="C2428" i="4"/>
  <c r="B2429" i="4"/>
  <c r="C2429" i="4"/>
  <c r="B2430" i="4"/>
  <c r="C2430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59" i="4"/>
  <c r="C2459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B3179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B3186" i="4"/>
  <c r="C3186" i="4"/>
  <c r="B3187" i="4"/>
  <c r="C3187" i="4"/>
  <c r="B3188" i="4"/>
  <c r="C3188" i="4"/>
  <c r="B3189" i="4"/>
  <c r="C3189" i="4"/>
  <c r="B3190" i="4"/>
  <c r="C3190" i="4"/>
  <c r="B3191" i="4"/>
  <c r="C3191" i="4"/>
  <c r="B3192" i="4"/>
  <c r="C3192" i="4"/>
  <c r="B3193" i="4"/>
  <c r="C3193" i="4"/>
  <c r="B3194" i="4"/>
  <c r="C3194" i="4"/>
  <c r="B3195" i="4"/>
  <c r="C3195" i="4"/>
  <c r="B3196" i="4"/>
  <c r="C3196" i="4"/>
  <c r="B3197" i="4"/>
  <c r="C3197" i="4"/>
  <c r="B3198" i="4"/>
  <c r="C3198" i="4"/>
  <c r="B3199" i="4"/>
  <c r="C3199" i="4"/>
  <c r="B3200" i="4"/>
  <c r="C3200" i="4"/>
  <c r="B3201" i="4"/>
  <c r="C3201" i="4"/>
  <c r="B3202" i="4"/>
  <c r="C3202" i="4"/>
  <c r="B3203" i="4"/>
  <c r="C3203" i="4"/>
  <c r="B3204" i="4"/>
  <c r="C3204" i="4"/>
  <c r="B3205" i="4"/>
  <c r="C3205" i="4"/>
  <c r="B3206" i="4"/>
  <c r="C3206" i="4"/>
  <c r="B3207" i="4"/>
  <c r="C3207" i="4"/>
  <c r="B3208" i="4"/>
  <c r="C3208" i="4"/>
  <c r="B3209" i="4"/>
  <c r="C3209" i="4"/>
  <c r="B3210" i="4"/>
  <c r="C3210" i="4"/>
  <c r="B3211" i="4"/>
  <c r="C3211" i="4"/>
  <c r="B3212" i="4"/>
  <c r="C3212" i="4"/>
  <c r="B3213" i="4"/>
  <c r="C3213" i="4"/>
  <c r="B3214" i="4"/>
  <c r="C3214" i="4"/>
  <c r="B3215" i="4"/>
  <c r="C3215" i="4"/>
  <c r="B3216" i="4"/>
  <c r="C3216" i="4"/>
  <c r="B3217" i="4"/>
  <c r="C3217" i="4"/>
  <c r="B3218" i="4"/>
  <c r="C3218" i="4"/>
  <c r="B3219" i="4"/>
  <c r="C3219" i="4"/>
  <c r="B3220" i="4"/>
  <c r="C3220" i="4"/>
  <c r="B3221" i="4"/>
  <c r="C3221" i="4"/>
  <c r="B3222" i="4"/>
  <c r="C3222" i="4"/>
  <c r="B3223" i="4"/>
  <c r="C3223" i="4"/>
  <c r="B3224" i="4"/>
  <c r="C3224" i="4"/>
  <c r="B3225" i="4"/>
  <c r="C3225" i="4"/>
  <c r="B3226" i="4"/>
  <c r="C3226" i="4"/>
  <c r="B3227" i="4"/>
  <c r="C3227" i="4"/>
  <c r="B3228" i="4"/>
  <c r="C3228" i="4"/>
  <c r="B3229" i="4"/>
  <c r="C3229" i="4"/>
  <c r="B3230" i="4"/>
  <c r="C3230" i="4"/>
  <c r="B3231" i="4"/>
  <c r="C3231" i="4"/>
  <c r="B3232" i="4"/>
  <c r="C3232" i="4"/>
  <c r="B3233" i="4"/>
  <c r="C3233" i="4"/>
  <c r="B3234" i="4"/>
  <c r="C3234" i="4"/>
  <c r="B3235" i="4"/>
  <c r="C3235" i="4"/>
  <c r="B3236" i="4"/>
  <c r="C3236" i="4"/>
  <c r="B3237" i="4"/>
  <c r="C3237" i="4"/>
  <c r="B3238" i="4"/>
  <c r="C3238" i="4"/>
  <c r="B3239" i="4"/>
  <c r="C3239" i="4"/>
  <c r="B3240" i="4"/>
  <c r="C3240" i="4"/>
  <c r="B3241" i="4"/>
  <c r="C3241" i="4"/>
  <c r="B3242" i="4"/>
  <c r="C3242" i="4"/>
  <c r="B3243" i="4"/>
  <c r="C3243" i="4"/>
  <c r="B3244" i="4"/>
  <c r="C3244" i="4"/>
  <c r="B3245" i="4"/>
  <c r="C3245" i="4"/>
  <c r="B3246" i="4"/>
  <c r="C3246" i="4"/>
  <c r="B3247" i="4"/>
  <c r="C3247" i="4"/>
  <c r="B3248" i="4"/>
  <c r="C3248" i="4"/>
  <c r="B3249" i="4"/>
  <c r="C3249" i="4"/>
  <c r="B3250" i="4"/>
  <c r="C3250" i="4"/>
  <c r="B3251" i="4"/>
  <c r="C3251" i="4"/>
  <c r="B3252" i="4"/>
  <c r="C3252" i="4"/>
  <c r="B3253" i="4"/>
  <c r="C3253" i="4"/>
  <c r="B3254" i="4"/>
  <c r="C3254" i="4"/>
  <c r="B3255" i="4"/>
  <c r="C3255" i="4"/>
  <c r="B3256" i="4"/>
  <c r="C3256" i="4"/>
  <c r="B3257" i="4"/>
  <c r="C3257" i="4"/>
  <c r="B3258" i="4"/>
  <c r="C3258" i="4"/>
  <c r="B3259" i="4"/>
  <c r="C3259" i="4"/>
  <c r="B3260" i="4"/>
  <c r="C3260" i="4"/>
  <c r="B3261" i="4"/>
  <c r="C3261" i="4"/>
  <c r="B3262" i="4"/>
  <c r="C3262" i="4"/>
  <c r="B3263" i="4"/>
  <c r="C3263" i="4"/>
  <c r="B3264" i="4"/>
  <c r="C3264" i="4"/>
  <c r="B3265" i="4"/>
  <c r="C3265" i="4"/>
  <c r="B3266" i="4"/>
  <c r="C3266" i="4"/>
  <c r="B3267" i="4"/>
  <c r="C3267" i="4"/>
  <c r="B3268" i="4"/>
  <c r="C3268" i="4"/>
  <c r="B3269" i="4"/>
  <c r="C3269" i="4"/>
  <c r="B3270" i="4"/>
  <c r="C3270" i="4"/>
  <c r="B3271" i="4"/>
  <c r="C3271" i="4"/>
  <c r="B3272" i="4"/>
  <c r="C3272" i="4"/>
  <c r="B3273" i="4"/>
  <c r="C3273" i="4"/>
  <c r="B3274" i="4"/>
  <c r="C3274" i="4"/>
  <c r="B3275" i="4"/>
  <c r="C3275" i="4"/>
  <c r="B3276" i="4"/>
  <c r="C3276" i="4"/>
  <c r="B3277" i="4"/>
  <c r="C3277" i="4"/>
  <c r="B3278" i="4"/>
  <c r="C3278" i="4"/>
  <c r="B3279" i="4"/>
  <c r="C3279" i="4"/>
  <c r="B3280" i="4"/>
  <c r="C3280" i="4"/>
  <c r="B3281" i="4"/>
  <c r="C3281" i="4"/>
  <c r="B3282" i="4"/>
  <c r="C3282" i="4"/>
  <c r="B3283" i="4"/>
  <c r="C3283" i="4"/>
  <c r="B3284" i="4"/>
  <c r="C3284" i="4"/>
  <c r="B3285" i="4"/>
  <c r="C3285" i="4"/>
  <c r="B3286" i="4"/>
  <c r="C3286" i="4"/>
  <c r="B3287" i="4"/>
  <c r="C3287" i="4"/>
  <c r="B3288" i="4"/>
  <c r="C3288" i="4"/>
  <c r="B3289" i="4"/>
  <c r="C3289" i="4"/>
  <c r="B3290" i="4"/>
  <c r="C3290" i="4"/>
  <c r="B3291" i="4"/>
  <c r="C3291" i="4"/>
  <c r="B3292" i="4"/>
  <c r="C3292" i="4"/>
  <c r="B3293" i="4"/>
  <c r="C3293" i="4"/>
  <c r="B3294" i="4"/>
  <c r="C3294" i="4"/>
  <c r="B3295" i="4"/>
  <c r="C3295" i="4"/>
  <c r="B3296" i="4"/>
  <c r="C3296" i="4"/>
  <c r="B3297" i="4"/>
  <c r="C3297" i="4"/>
  <c r="B3298" i="4"/>
  <c r="C3298" i="4"/>
  <c r="B3299" i="4"/>
  <c r="C3299" i="4"/>
  <c r="B3300" i="4"/>
  <c r="C3300" i="4"/>
  <c r="B3301" i="4"/>
  <c r="C3301" i="4"/>
  <c r="B3302" i="4"/>
  <c r="C3302" i="4"/>
  <c r="B3303" i="4"/>
  <c r="C3303" i="4"/>
  <c r="B3304" i="4"/>
  <c r="C3304" i="4"/>
  <c r="B3305" i="4"/>
  <c r="C3305" i="4"/>
  <c r="B3306" i="4"/>
  <c r="C3306" i="4"/>
  <c r="B3307" i="4"/>
  <c r="C3307" i="4"/>
  <c r="B3308" i="4"/>
  <c r="C3308" i="4"/>
  <c r="B3309" i="4"/>
  <c r="C3309" i="4"/>
  <c r="B3310" i="4"/>
  <c r="C3310" i="4"/>
  <c r="B3311" i="4"/>
  <c r="C3311" i="4"/>
  <c r="B3312" i="4"/>
  <c r="C3312" i="4"/>
  <c r="B3313" i="4"/>
  <c r="C3313" i="4"/>
  <c r="B3314" i="4"/>
  <c r="C3314" i="4"/>
  <c r="B3315" i="4"/>
  <c r="C3315" i="4"/>
  <c r="B3316" i="4"/>
  <c r="C3316" i="4"/>
  <c r="B3317" i="4"/>
  <c r="C3317" i="4"/>
  <c r="B3318" i="4"/>
  <c r="C3318" i="4"/>
  <c r="B3319" i="4"/>
  <c r="C3319" i="4"/>
  <c r="B3320" i="4"/>
  <c r="C3320" i="4"/>
  <c r="B3321" i="4"/>
  <c r="C3321" i="4"/>
  <c r="B3322" i="4"/>
  <c r="C3322" i="4"/>
  <c r="B3323" i="4"/>
  <c r="C3323" i="4"/>
  <c r="B3324" i="4"/>
  <c r="C3324" i="4"/>
  <c r="B3325" i="4"/>
  <c r="C3325" i="4"/>
  <c r="B3326" i="4"/>
  <c r="C3326" i="4"/>
  <c r="B3327" i="4"/>
  <c r="C3327" i="4"/>
  <c r="B3328" i="4"/>
  <c r="C3328" i="4"/>
  <c r="B3329" i="4"/>
  <c r="C3329" i="4"/>
  <c r="B3330" i="4"/>
  <c r="C3330" i="4"/>
  <c r="B3331" i="4"/>
  <c r="C3331" i="4"/>
  <c r="B3332" i="4"/>
  <c r="C3332" i="4"/>
  <c r="B3333" i="4"/>
  <c r="C3333" i="4"/>
  <c r="B3334" i="4"/>
  <c r="C3334" i="4"/>
  <c r="B3335" i="4"/>
  <c r="C3335" i="4"/>
  <c r="B3336" i="4"/>
  <c r="C3336" i="4"/>
  <c r="B3337" i="4"/>
  <c r="C3337" i="4"/>
  <c r="B3338" i="4"/>
  <c r="C3338" i="4"/>
  <c r="B3339" i="4"/>
  <c r="C3339" i="4"/>
  <c r="B3340" i="4"/>
  <c r="C3340" i="4"/>
  <c r="B3341" i="4"/>
  <c r="C3341" i="4"/>
  <c r="B3342" i="4"/>
  <c r="C3342" i="4"/>
  <c r="B3343" i="4"/>
  <c r="C3343" i="4"/>
  <c r="B3344" i="4"/>
  <c r="C3344" i="4"/>
  <c r="B3345" i="4"/>
  <c r="C3345" i="4"/>
  <c r="B3346" i="4"/>
  <c r="C3346" i="4"/>
  <c r="B3347" i="4"/>
  <c r="C3347" i="4"/>
  <c r="B3348" i="4"/>
  <c r="C3348" i="4"/>
  <c r="B3349" i="4"/>
  <c r="C3349" i="4"/>
  <c r="B3350" i="4"/>
  <c r="C3350" i="4"/>
  <c r="B3351" i="4"/>
  <c r="C3351" i="4"/>
  <c r="B3352" i="4"/>
  <c r="C3352" i="4"/>
  <c r="B3353" i="4"/>
  <c r="C3353" i="4"/>
  <c r="B3354" i="4"/>
  <c r="C3354" i="4"/>
  <c r="B3355" i="4"/>
  <c r="C3355" i="4"/>
  <c r="B3356" i="4"/>
  <c r="C3356" i="4"/>
  <c r="B3357" i="4"/>
  <c r="C3357" i="4"/>
  <c r="B3358" i="4"/>
  <c r="C3358" i="4"/>
  <c r="B3359" i="4"/>
  <c r="C3359" i="4"/>
  <c r="B3360" i="4"/>
  <c r="C3360" i="4"/>
  <c r="B3361" i="4"/>
  <c r="C3361" i="4"/>
  <c r="B3362" i="4"/>
  <c r="C3362" i="4"/>
  <c r="B3363" i="4"/>
  <c r="C3363" i="4"/>
  <c r="B3364" i="4"/>
  <c r="C3364" i="4"/>
  <c r="B3365" i="4"/>
  <c r="C3365" i="4"/>
  <c r="B3366" i="4"/>
  <c r="C3366" i="4"/>
  <c r="B3367" i="4"/>
  <c r="C3367" i="4"/>
  <c r="B3368" i="4"/>
  <c r="C3368" i="4"/>
  <c r="B3369" i="4"/>
  <c r="C3369" i="4"/>
  <c r="B3370" i="4"/>
  <c r="C3370" i="4"/>
  <c r="B3371" i="4"/>
  <c r="C3371" i="4"/>
  <c r="B3372" i="4"/>
  <c r="C3372" i="4"/>
  <c r="B3373" i="4"/>
  <c r="C3373" i="4"/>
  <c r="B3374" i="4"/>
  <c r="C3374" i="4"/>
  <c r="B3375" i="4"/>
  <c r="C3375" i="4"/>
  <c r="B3376" i="4"/>
  <c r="C3376" i="4"/>
  <c r="B3377" i="4"/>
  <c r="C3377" i="4"/>
  <c r="B3378" i="4"/>
  <c r="C3378" i="4"/>
  <c r="B3379" i="4"/>
  <c r="C3379" i="4"/>
  <c r="B3380" i="4"/>
  <c r="C3380" i="4"/>
  <c r="B3381" i="4"/>
  <c r="C3381" i="4"/>
  <c r="B3382" i="4"/>
  <c r="C3382" i="4"/>
  <c r="B3383" i="4"/>
  <c r="C3383" i="4"/>
  <c r="B3384" i="4"/>
  <c r="C3384" i="4"/>
  <c r="B3385" i="4"/>
  <c r="C3385" i="4"/>
  <c r="B3386" i="4"/>
  <c r="C3386" i="4"/>
  <c r="B3387" i="4"/>
  <c r="C3387" i="4"/>
  <c r="B3388" i="4"/>
  <c r="C3388" i="4"/>
  <c r="B3389" i="4"/>
  <c r="C3389" i="4"/>
  <c r="B3390" i="4"/>
  <c r="C3390" i="4"/>
  <c r="B3391" i="4"/>
  <c r="C3391" i="4"/>
  <c r="B3392" i="4"/>
  <c r="C3392" i="4"/>
  <c r="B3393" i="4"/>
  <c r="C3393" i="4"/>
  <c r="B3394" i="4"/>
  <c r="C3394" i="4"/>
  <c r="B3395" i="4"/>
  <c r="C3395" i="4"/>
  <c r="B3396" i="4"/>
  <c r="C3396" i="4"/>
  <c r="B3397" i="4"/>
  <c r="C3397" i="4"/>
  <c r="B3398" i="4"/>
  <c r="C3398" i="4"/>
  <c r="B3399" i="4"/>
  <c r="C3399" i="4"/>
  <c r="B3400" i="4"/>
  <c r="C3400" i="4"/>
  <c r="B3401" i="4"/>
  <c r="C3401" i="4"/>
  <c r="B3402" i="4"/>
  <c r="C3402" i="4"/>
  <c r="B3403" i="4"/>
  <c r="C3403" i="4"/>
  <c r="B3404" i="4"/>
  <c r="C3404" i="4"/>
  <c r="B3405" i="4"/>
  <c r="C3405" i="4"/>
  <c r="B3406" i="4"/>
  <c r="C3406" i="4"/>
  <c r="B3407" i="4"/>
  <c r="C3407" i="4"/>
  <c r="B3408" i="4"/>
  <c r="C3408" i="4"/>
  <c r="B3409" i="4"/>
  <c r="C3409" i="4"/>
  <c r="B3410" i="4"/>
  <c r="C3410" i="4"/>
  <c r="B3411" i="4"/>
  <c r="C3411" i="4"/>
  <c r="B3412" i="4"/>
  <c r="C3412" i="4"/>
  <c r="B3413" i="4"/>
  <c r="C3413" i="4"/>
  <c r="B3414" i="4"/>
  <c r="C3414" i="4"/>
  <c r="B3415" i="4"/>
  <c r="C3415" i="4"/>
  <c r="B3416" i="4"/>
  <c r="C3416" i="4"/>
  <c r="B3417" i="4"/>
  <c r="C3417" i="4"/>
  <c r="B3418" i="4"/>
  <c r="C3418" i="4"/>
  <c r="B3419" i="4"/>
  <c r="C3419" i="4"/>
  <c r="B3420" i="4"/>
  <c r="C3420" i="4"/>
  <c r="B3421" i="4"/>
  <c r="C3421" i="4"/>
  <c r="B3422" i="4"/>
  <c r="C3422" i="4"/>
  <c r="B3423" i="4"/>
  <c r="C3423" i="4"/>
  <c r="B3424" i="4"/>
  <c r="C3424" i="4"/>
  <c r="B3425" i="4"/>
  <c r="C3425" i="4"/>
  <c r="B3426" i="4"/>
  <c r="C3426" i="4"/>
  <c r="B3427" i="4"/>
  <c r="C3427" i="4"/>
  <c r="B3428" i="4"/>
  <c r="C3428" i="4"/>
  <c r="B3429" i="4"/>
  <c r="C3429" i="4"/>
  <c r="B3430" i="4"/>
  <c r="C3430" i="4"/>
  <c r="B3431" i="4"/>
  <c r="C3431" i="4"/>
  <c r="B3432" i="4"/>
  <c r="C3432" i="4"/>
  <c r="B3433" i="4"/>
  <c r="C3433" i="4"/>
  <c r="B3434" i="4"/>
  <c r="C3434" i="4"/>
  <c r="B3435" i="4"/>
  <c r="C3435" i="4"/>
  <c r="B3436" i="4"/>
  <c r="C3436" i="4"/>
  <c r="B3437" i="4"/>
  <c r="C3437" i="4"/>
  <c r="B3438" i="4"/>
  <c r="C3438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B3556" i="4"/>
  <c r="C3556" i="4"/>
  <c r="B3557" i="4"/>
  <c r="C3557" i="4"/>
  <c r="B3558" i="4"/>
  <c r="C3558" i="4"/>
  <c r="B3559" i="4"/>
  <c r="C3559" i="4"/>
  <c r="B3560" i="4"/>
  <c r="C3560" i="4"/>
  <c r="B3561" i="4"/>
  <c r="C3561" i="4"/>
  <c r="B3562" i="4"/>
  <c r="C3562" i="4"/>
  <c r="B3563" i="4"/>
  <c r="C3563" i="4"/>
  <c r="B3564" i="4"/>
  <c r="C3564" i="4"/>
  <c r="B3565" i="4"/>
  <c r="C3565" i="4"/>
  <c r="B3566" i="4"/>
  <c r="C3566" i="4"/>
  <c r="B3567" i="4"/>
  <c r="C3567" i="4"/>
  <c r="B3568" i="4"/>
  <c r="C3568" i="4"/>
  <c r="B3569" i="4"/>
  <c r="C3569" i="4"/>
  <c r="B3570" i="4"/>
  <c r="C3570" i="4"/>
  <c r="B3571" i="4"/>
  <c r="C3571" i="4"/>
  <c r="B3572" i="4"/>
  <c r="C3572" i="4"/>
  <c r="B3573" i="4"/>
  <c r="C3573" i="4"/>
  <c r="B3574" i="4"/>
  <c r="C3574" i="4"/>
  <c r="B3575" i="4"/>
  <c r="C3575" i="4"/>
  <c r="B3576" i="4"/>
  <c r="C3576" i="4"/>
  <c r="B3577" i="4"/>
  <c r="C3577" i="4"/>
  <c r="B3578" i="4"/>
  <c r="C3578" i="4"/>
  <c r="B3579" i="4"/>
  <c r="C3579" i="4"/>
  <c r="B3580" i="4"/>
  <c r="C3580" i="4"/>
  <c r="B3581" i="4"/>
  <c r="C3581" i="4"/>
  <c r="B3582" i="4"/>
  <c r="C3582" i="4"/>
  <c r="B3583" i="4"/>
  <c r="C3583" i="4"/>
  <c r="B3584" i="4"/>
  <c r="C3584" i="4"/>
  <c r="B3585" i="4"/>
  <c r="C3585" i="4"/>
  <c r="B3586" i="4"/>
  <c r="C3586" i="4"/>
  <c r="B3587" i="4"/>
  <c r="C3587" i="4"/>
  <c r="B3588" i="4"/>
  <c r="C3588" i="4"/>
  <c r="B3589" i="4"/>
  <c r="C3589" i="4"/>
  <c r="B3590" i="4"/>
  <c r="C3590" i="4"/>
  <c r="B3591" i="4"/>
  <c r="C3591" i="4"/>
  <c r="B3592" i="4"/>
  <c r="C3592" i="4"/>
  <c r="B3593" i="4"/>
  <c r="C3593" i="4"/>
  <c r="B3594" i="4"/>
  <c r="C3594" i="4"/>
  <c r="B3595" i="4"/>
  <c r="C3595" i="4"/>
  <c r="B3596" i="4"/>
  <c r="C3596" i="4"/>
  <c r="B3597" i="4"/>
  <c r="C3597" i="4"/>
  <c r="B3598" i="4"/>
  <c r="C3598" i="4"/>
  <c r="B3599" i="4"/>
  <c r="C3599" i="4"/>
  <c r="B3600" i="4"/>
  <c r="C3600" i="4"/>
  <c r="B3601" i="4"/>
  <c r="C3601" i="4"/>
  <c r="B3602" i="4"/>
  <c r="C3602" i="4"/>
  <c r="B3603" i="4"/>
  <c r="C3603" i="4"/>
  <c r="B3604" i="4"/>
  <c r="C3604" i="4"/>
  <c r="B3605" i="4"/>
  <c r="C3605" i="4"/>
  <c r="B3606" i="4"/>
  <c r="C3606" i="4"/>
  <c r="B3607" i="4"/>
  <c r="C3607" i="4"/>
  <c r="B3608" i="4"/>
  <c r="C3608" i="4"/>
  <c r="B3609" i="4"/>
  <c r="C3609" i="4"/>
  <c r="B3610" i="4"/>
  <c r="C3610" i="4"/>
  <c r="B3611" i="4"/>
  <c r="C3611" i="4"/>
  <c r="B3612" i="4"/>
  <c r="C3612" i="4"/>
  <c r="B3613" i="4"/>
  <c r="C3613" i="4"/>
  <c r="B3614" i="4"/>
  <c r="C3614" i="4"/>
  <c r="B3615" i="4"/>
  <c r="C3615" i="4"/>
  <c r="B3616" i="4"/>
  <c r="C3616" i="4"/>
  <c r="B3617" i="4"/>
  <c r="C3617" i="4"/>
  <c r="B3618" i="4"/>
  <c r="C3618" i="4"/>
  <c r="B3619" i="4"/>
  <c r="C3619" i="4"/>
  <c r="B3620" i="4"/>
  <c r="C3620" i="4"/>
  <c r="B3621" i="4"/>
  <c r="C3621" i="4"/>
  <c r="B3622" i="4"/>
  <c r="C3622" i="4"/>
  <c r="B3623" i="4"/>
  <c r="C3623" i="4"/>
  <c r="B3624" i="4"/>
  <c r="C3624" i="4"/>
  <c r="B3625" i="4"/>
  <c r="C3625" i="4"/>
  <c r="B3626" i="4"/>
  <c r="C3626" i="4"/>
  <c r="B3627" i="4"/>
  <c r="C3627" i="4"/>
  <c r="B3628" i="4"/>
  <c r="C3628" i="4"/>
  <c r="B3629" i="4"/>
  <c r="C3629" i="4"/>
  <c r="B3630" i="4"/>
  <c r="C3630" i="4"/>
  <c r="B3631" i="4"/>
  <c r="C3631" i="4"/>
  <c r="B3632" i="4"/>
  <c r="C3632" i="4"/>
  <c r="B3633" i="4"/>
  <c r="C3633" i="4"/>
  <c r="B3634" i="4"/>
  <c r="C3634" i="4"/>
  <c r="B3635" i="4"/>
  <c r="C3635" i="4"/>
  <c r="B3636" i="4"/>
  <c r="C3636" i="4"/>
  <c r="B3637" i="4"/>
  <c r="C3637" i="4"/>
  <c r="B3638" i="4"/>
  <c r="C3638" i="4"/>
  <c r="B3639" i="4"/>
  <c r="C3639" i="4"/>
  <c r="B3640" i="4"/>
  <c r="C3640" i="4"/>
  <c r="B3641" i="4"/>
  <c r="C3641" i="4"/>
  <c r="B3642" i="4"/>
  <c r="C3642" i="4"/>
  <c r="B3643" i="4"/>
  <c r="C3643" i="4"/>
  <c r="B3644" i="4"/>
  <c r="C3644" i="4"/>
  <c r="B3645" i="4"/>
  <c r="C3645" i="4"/>
  <c r="B3646" i="4"/>
  <c r="C3646" i="4"/>
  <c r="B3647" i="4"/>
  <c r="C3647" i="4"/>
  <c r="B3648" i="4"/>
  <c r="C3648" i="4"/>
  <c r="B3649" i="4"/>
  <c r="C3649" i="4"/>
  <c r="B3650" i="4"/>
  <c r="C3650" i="4"/>
  <c r="B3651" i="4"/>
  <c r="C3651" i="4"/>
  <c r="B3652" i="4"/>
  <c r="C3652" i="4"/>
  <c r="B3653" i="4"/>
  <c r="C3653" i="4"/>
  <c r="B3654" i="4"/>
  <c r="C3654" i="4"/>
  <c r="B3655" i="4"/>
  <c r="C3655" i="4"/>
  <c r="B3656" i="4"/>
  <c r="C3656" i="4"/>
  <c r="B3657" i="4"/>
  <c r="C3657" i="4"/>
  <c r="B3658" i="4"/>
  <c r="C3658" i="4"/>
  <c r="B3659" i="4"/>
  <c r="C3659" i="4"/>
  <c r="B3660" i="4"/>
  <c r="C3660" i="4"/>
  <c r="B3661" i="4"/>
  <c r="C3661" i="4"/>
  <c r="B3662" i="4"/>
  <c r="C3662" i="4"/>
  <c r="B3663" i="4"/>
  <c r="C3663" i="4"/>
  <c r="B3664" i="4"/>
  <c r="C3664" i="4"/>
  <c r="B3665" i="4"/>
  <c r="C3665" i="4"/>
  <c r="B3666" i="4"/>
  <c r="C3666" i="4"/>
  <c r="B3667" i="4"/>
  <c r="C3667" i="4"/>
  <c r="B3668" i="4"/>
  <c r="C3668" i="4"/>
  <c r="B3669" i="4"/>
  <c r="C3669" i="4"/>
  <c r="B3670" i="4"/>
  <c r="C3670" i="4"/>
  <c r="B3671" i="4"/>
  <c r="C3671" i="4"/>
  <c r="B3672" i="4"/>
  <c r="C3672" i="4"/>
  <c r="B3673" i="4"/>
  <c r="C3673" i="4"/>
  <c r="B3674" i="4"/>
  <c r="C3674" i="4"/>
  <c r="B3675" i="4"/>
  <c r="C3675" i="4"/>
  <c r="B3676" i="4"/>
  <c r="C3676" i="4"/>
  <c r="B3677" i="4"/>
  <c r="C3677" i="4"/>
  <c r="B3678" i="4"/>
  <c r="C3678" i="4"/>
  <c r="B3679" i="4"/>
  <c r="C3679" i="4"/>
  <c r="B3680" i="4"/>
  <c r="C3680" i="4"/>
  <c r="B3681" i="4"/>
  <c r="C3681" i="4"/>
  <c r="B3682" i="4"/>
  <c r="C3682" i="4"/>
  <c r="B3683" i="4"/>
  <c r="C3683" i="4"/>
  <c r="B3684" i="4"/>
  <c r="C3684" i="4"/>
  <c r="B3685" i="4"/>
  <c r="C3685" i="4"/>
  <c r="B3686" i="4"/>
  <c r="C3686" i="4"/>
  <c r="B3687" i="4"/>
  <c r="C3687" i="4"/>
  <c r="B3688" i="4"/>
  <c r="C3688" i="4"/>
  <c r="B3689" i="4"/>
  <c r="C3689" i="4"/>
  <c r="B3690" i="4"/>
  <c r="C3690" i="4"/>
  <c r="B3691" i="4"/>
  <c r="C3691" i="4"/>
  <c r="B3692" i="4"/>
  <c r="C3692" i="4"/>
  <c r="B3693" i="4"/>
  <c r="C3693" i="4"/>
  <c r="B3694" i="4"/>
  <c r="C3694" i="4"/>
  <c r="B3695" i="4"/>
  <c r="C3695" i="4"/>
  <c r="B3696" i="4"/>
  <c r="C3696" i="4"/>
  <c r="B3697" i="4"/>
  <c r="C3697" i="4"/>
  <c r="B3698" i="4"/>
  <c r="C3698" i="4"/>
  <c r="B3699" i="4"/>
  <c r="C3699" i="4"/>
  <c r="B3700" i="4"/>
  <c r="C3700" i="4"/>
  <c r="B3701" i="4"/>
  <c r="C3701" i="4"/>
  <c r="B3702" i="4"/>
  <c r="C3702" i="4"/>
  <c r="B3703" i="4"/>
  <c r="C3703" i="4"/>
  <c r="B3704" i="4"/>
  <c r="C3704" i="4"/>
  <c r="B3705" i="4"/>
  <c r="C3705" i="4"/>
  <c r="B3706" i="4"/>
  <c r="C3706" i="4"/>
  <c r="B3707" i="4"/>
  <c r="C3707" i="4"/>
  <c r="B3708" i="4"/>
  <c r="C3708" i="4"/>
  <c r="B3709" i="4"/>
  <c r="C3709" i="4"/>
  <c r="B3710" i="4"/>
  <c r="C3710" i="4"/>
  <c r="B3711" i="4"/>
  <c r="C3711" i="4"/>
  <c r="B3712" i="4"/>
  <c r="C3712" i="4"/>
  <c r="B3713" i="4"/>
  <c r="C3713" i="4"/>
  <c r="B3714" i="4"/>
  <c r="C3714" i="4"/>
  <c r="B3715" i="4"/>
  <c r="C3715" i="4"/>
  <c r="B3716" i="4"/>
  <c r="C3716" i="4"/>
  <c r="B3717" i="4"/>
  <c r="C3717" i="4"/>
  <c r="B3718" i="4"/>
  <c r="C3718" i="4"/>
  <c r="B3719" i="4"/>
  <c r="C3719" i="4"/>
  <c r="B3720" i="4"/>
  <c r="C3720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B4126" i="4"/>
  <c r="C4126" i="4"/>
  <c r="B4127" i="4"/>
  <c r="C4127" i="4"/>
  <c r="B4128" i="4"/>
  <c r="C4128" i="4"/>
  <c r="B4129" i="4"/>
  <c r="C4129" i="4"/>
  <c r="B4130" i="4"/>
  <c r="C4130" i="4"/>
  <c r="B4131" i="4"/>
  <c r="C4131" i="4"/>
  <c r="B4132" i="4"/>
  <c r="C4132" i="4"/>
  <c r="B4133" i="4"/>
  <c r="C4133" i="4"/>
  <c r="B4134" i="4"/>
  <c r="C4134" i="4"/>
  <c r="B4135" i="4"/>
  <c r="C4135" i="4"/>
  <c r="B4136" i="4"/>
  <c r="C4136" i="4"/>
  <c r="B4137" i="4"/>
  <c r="C4137" i="4"/>
  <c r="B4138" i="4"/>
  <c r="C4138" i="4"/>
  <c r="B4139" i="4"/>
  <c r="C4139" i="4"/>
  <c r="B4140" i="4"/>
  <c r="C4140" i="4"/>
  <c r="B4141" i="4"/>
  <c r="C4141" i="4"/>
  <c r="B4142" i="4"/>
  <c r="C4142" i="4"/>
  <c r="B4143" i="4"/>
  <c r="C4143" i="4"/>
  <c r="B4144" i="4"/>
  <c r="C4144" i="4"/>
  <c r="B4145" i="4"/>
  <c r="C4145" i="4"/>
  <c r="B4146" i="4"/>
  <c r="C4146" i="4"/>
  <c r="B4147" i="4"/>
  <c r="C4147" i="4"/>
  <c r="B4148" i="4"/>
  <c r="C4148" i="4"/>
  <c r="B4149" i="4"/>
  <c r="C4149" i="4"/>
  <c r="B4150" i="4"/>
  <c r="C4150" i="4"/>
  <c r="B4151" i="4"/>
  <c r="C4151" i="4"/>
  <c r="B4152" i="4"/>
  <c r="C4152" i="4"/>
  <c r="B4153" i="4"/>
  <c r="C4153" i="4"/>
  <c r="B4154" i="4"/>
  <c r="C4154" i="4"/>
  <c r="B4155" i="4"/>
  <c r="C4155" i="4"/>
  <c r="B4156" i="4"/>
  <c r="C4156" i="4"/>
  <c r="B4157" i="4"/>
  <c r="C4157" i="4"/>
  <c r="B4158" i="4"/>
  <c r="C4158" i="4"/>
  <c r="B4159" i="4"/>
  <c r="C4159" i="4"/>
  <c r="B4160" i="4"/>
  <c r="C4160" i="4"/>
  <c r="B4161" i="4"/>
  <c r="C4161" i="4"/>
  <c r="B4162" i="4"/>
  <c r="C4162" i="4"/>
  <c r="B4163" i="4"/>
  <c r="C4163" i="4"/>
  <c r="B4164" i="4"/>
  <c r="C4164" i="4"/>
  <c r="B4165" i="4"/>
  <c r="C4165" i="4"/>
  <c r="B4166" i="4"/>
  <c r="C4166" i="4"/>
  <c r="B4167" i="4"/>
  <c r="C4167" i="4"/>
  <c r="B4168" i="4"/>
  <c r="C4168" i="4"/>
  <c r="B4169" i="4"/>
  <c r="C4169" i="4"/>
  <c r="B4170" i="4"/>
  <c r="C4170" i="4"/>
  <c r="B4171" i="4"/>
  <c r="C4171" i="4"/>
  <c r="B4172" i="4"/>
  <c r="C4172" i="4"/>
  <c r="B4173" i="4"/>
  <c r="C4173" i="4"/>
  <c r="B4174" i="4"/>
  <c r="C4174" i="4"/>
  <c r="B4175" i="4"/>
  <c r="C4175" i="4"/>
  <c r="B4176" i="4"/>
  <c r="C4176" i="4"/>
  <c r="B4177" i="4"/>
  <c r="C4177" i="4"/>
  <c r="B4178" i="4"/>
  <c r="C4178" i="4"/>
  <c r="B4179" i="4"/>
  <c r="C4179" i="4"/>
  <c r="B4180" i="4"/>
  <c r="C4180" i="4"/>
  <c r="B4181" i="4"/>
  <c r="C4181" i="4"/>
  <c r="B4182" i="4"/>
  <c r="C4182" i="4"/>
  <c r="B4183" i="4"/>
  <c r="C4183" i="4"/>
  <c r="B4184" i="4"/>
  <c r="C4184" i="4"/>
  <c r="B4185" i="4"/>
  <c r="C4185" i="4"/>
  <c r="B4186" i="4"/>
  <c r="C4186" i="4"/>
  <c r="B4187" i="4"/>
  <c r="C4187" i="4"/>
  <c r="B4188" i="4"/>
  <c r="C4188" i="4"/>
  <c r="B4189" i="4"/>
  <c r="C4189" i="4"/>
  <c r="B4190" i="4"/>
  <c r="C4190" i="4"/>
  <c r="B4191" i="4"/>
  <c r="C4191" i="4"/>
  <c r="B4192" i="4"/>
  <c r="C4192" i="4"/>
  <c r="B4193" i="4"/>
  <c r="C4193" i="4"/>
  <c r="B4194" i="4"/>
  <c r="C4194" i="4"/>
  <c r="B4195" i="4"/>
  <c r="C4195" i="4"/>
  <c r="B4196" i="4"/>
  <c r="C4196" i="4"/>
  <c r="B4197" i="4"/>
  <c r="C4197" i="4"/>
  <c r="B4198" i="4"/>
  <c r="C4198" i="4"/>
  <c r="B4199" i="4"/>
  <c r="C4199" i="4"/>
  <c r="B4200" i="4"/>
  <c r="C4200" i="4"/>
  <c r="B4201" i="4"/>
  <c r="C4201" i="4"/>
  <c r="B4202" i="4"/>
  <c r="C4202" i="4"/>
  <c r="B4203" i="4"/>
  <c r="C4203" i="4"/>
  <c r="B4204" i="4"/>
  <c r="C4204" i="4"/>
  <c r="B4205" i="4"/>
  <c r="C4205" i="4"/>
  <c r="B4206" i="4"/>
  <c r="C4206" i="4"/>
  <c r="B4207" i="4"/>
  <c r="C4207" i="4"/>
  <c r="B4208" i="4"/>
  <c r="C4208" i="4"/>
  <c r="B4209" i="4"/>
  <c r="C4209" i="4"/>
  <c r="B4210" i="4"/>
  <c r="C4210" i="4"/>
  <c r="B4211" i="4"/>
  <c r="C4211" i="4"/>
  <c r="B4212" i="4"/>
  <c r="C4212" i="4"/>
  <c r="B4213" i="4"/>
  <c r="C4213" i="4"/>
  <c r="B4214" i="4"/>
  <c r="C4214" i="4"/>
  <c r="B4215" i="4"/>
  <c r="C4215" i="4"/>
  <c r="B4216" i="4"/>
  <c r="C4216" i="4"/>
  <c r="B4217" i="4"/>
  <c r="C4217" i="4"/>
  <c r="B4218" i="4"/>
  <c r="C4218" i="4"/>
  <c r="B4219" i="4"/>
  <c r="C4219" i="4"/>
  <c r="B4220" i="4"/>
  <c r="C4220" i="4"/>
  <c r="B4221" i="4"/>
  <c r="C4221" i="4"/>
  <c r="B4222" i="4"/>
  <c r="C4222" i="4"/>
  <c r="B4223" i="4"/>
  <c r="C4223" i="4"/>
  <c r="B4224" i="4"/>
  <c r="C4224" i="4"/>
  <c r="B4225" i="4"/>
  <c r="C4225" i="4"/>
  <c r="B4226" i="4"/>
  <c r="C4226" i="4"/>
  <c r="B4227" i="4"/>
  <c r="C4227" i="4"/>
  <c r="B4228" i="4"/>
  <c r="C4228" i="4"/>
  <c r="B4229" i="4"/>
  <c r="C4229" i="4"/>
  <c r="N4233" i="4"/>
  <c r="O3712" i="4" l="1"/>
  <c r="O3741" i="4"/>
  <c r="O3740" i="4"/>
  <c r="O3755" i="4"/>
  <c r="O3792" i="4"/>
  <c r="O3794" i="4"/>
  <c r="O3803" i="4"/>
  <c r="O3802" i="4"/>
  <c r="O3797" i="4"/>
  <c r="O3796" i="4"/>
  <c r="O3795" i="4"/>
  <c r="O3793" i="4"/>
  <c r="O3791" i="4"/>
  <c r="O3775" i="4"/>
  <c r="O3774" i="4"/>
  <c r="O3773" i="4"/>
  <c r="O3759" i="4"/>
  <c r="O3758" i="4"/>
  <c r="O3757" i="4"/>
  <c r="O3756" i="4"/>
  <c r="O3754" i="4"/>
  <c r="O3753" i="4"/>
  <c r="O3744" i="4"/>
  <c r="O3743" i="4"/>
  <c r="O3742" i="4"/>
  <c r="O3739" i="4"/>
  <c r="O3715" i="4"/>
  <c r="O3714" i="4"/>
  <c r="O3713" i="4"/>
  <c r="O3711" i="4"/>
  <c r="O3710" i="4"/>
  <c r="O3709" i="4"/>
  <c r="O3708" i="4"/>
  <c r="O3707" i="4"/>
  <c r="O3706" i="4"/>
  <c r="O3705" i="4"/>
  <c r="O3704" i="4"/>
  <c r="O3693" i="4"/>
  <c r="O3692" i="4"/>
  <c r="O3691" i="4"/>
  <c r="O3673" i="4"/>
  <c r="O3672" i="4"/>
  <c r="O3670" i="4"/>
  <c r="O3668" i="4"/>
  <c r="O3661" i="4"/>
  <c r="O3660" i="4"/>
  <c r="O3659" i="4"/>
  <c r="O3658" i="4"/>
  <c r="O3657" i="4"/>
  <c r="O3656" i="4"/>
  <c r="O3655" i="4"/>
  <c r="O3654" i="4"/>
  <c r="O3652" i="4"/>
  <c r="O3650" i="4"/>
  <c r="O3649" i="4"/>
  <c r="O3648" i="4"/>
  <c r="O3653" i="4"/>
  <c r="O3669" i="4"/>
  <c r="O3671" i="4"/>
  <c r="O3694" i="4"/>
  <c r="O4125" i="4" l="1"/>
  <c r="O4124" i="4"/>
  <c r="O4123" i="4"/>
  <c r="O4122" i="4"/>
  <c r="O4121" i="4"/>
  <c r="O4120" i="4"/>
  <c r="O4071" i="4"/>
  <c r="O4070" i="4"/>
  <c r="O4069" i="4"/>
  <c r="O4068" i="4"/>
  <c r="P4068" i="4" s="1"/>
  <c r="O4067" i="4"/>
  <c r="O4055" i="4"/>
  <c r="O4077" i="4"/>
  <c r="O4076" i="4"/>
  <c r="O4075" i="4"/>
  <c r="O4074" i="4"/>
  <c r="O4073" i="4"/>
  <c r="O4072" i="4"/>
  <c r="O3958" i="4"/>
  <c r="O3957" i="4"/>
  <c r="O3956" i="4"/>
  <c r="O3955" i="4"/>
  <c r="O4000" i="4"/>
  <c r="O3999" i="4"/>
  <c r="O3998" i="4"/>
  <c r="O3997" i="4"/>
  <c r="O3996" i="4"/>
  <c r="O3763" i="4"/>
  <c r="O3762" i="4"/>
  <c r="O3761" i="4"/>
  <c r="O3760" i="4"/>
  <c r="P3760" i="4" s="1"/>
  <c r="O4037" i="4"/>
  <c r="O4036" i="4"/>
  <c r="O4035" i="4"/>
  <c r="O4034" i="4"/>
  <c r="O4033" i="4"/>
  <c r="O4032" i="4"/>
  <c r="O4031" i="4"/>
  <c r="O4030" i="4"/>
  <c r="O4029" i="4"/>
  <c r="O4028" i="4"/>
  <c r="O4027" i="4"/>
  <c r="O3613" i="4"/>
  <c r="O3647" i="4"/>
  <c r="O3646" i="4"/>
  <c r="O3627" i="4"/>
  <c r="O3626" i="4"/>
  <c r="O3625" i="4"/>
  <c r="O3624" i="4"/>
  <c r="O3623" i="4"/>
  <c r="O3617" i="4"/>
  <c r="O3616" i="4"/>
  <c r="O3615" i="4"/>
  <c r="O3614" i="4"/>
  <c r="O3612" i="4"/>
  <c r="O3611" i="4"/>
  <c r="O3610" i="4"/>
  <c r="O3609" i="4"/>
  <c r="O3608" i="4"/>
  <c r="O3607" i="4"/>
  <c r="O3598" i="4"/>
  <c r="O3597" i="4"/>
  <c r="O3596" i="4"/>
  <c r="O3595" i="4"/>
  <c r="P3671" i="4"/>
  <c r="O2828" i="4"/>
  <c r="O2831" i="4"/>
  <c r="O2830" i="4"/>
  <c r="O2829" i="4"/>
  <c r="O2816" i="4"/>
  <c r="O2815" i="4"/>
  <c r="O2795" i="4"/>
  <c r="O2794" i="4"/>
  <c r="O2781" i="4"/>
  <c r="R2" i="4"/>
  <c r="E2" i="4"/>
  <c r="J2" i="4"/>
  <c r="I2" i="4"/>
  <c r="P4125" i="4" l="1"/>
  <c r="K4125" i="4"/>
  <c r="L4125" i="4" s="1"/>
  <c r="P4124" i="4"/>
  <c r="K4124" i="4"/>
  <c r="M4124" i="4" s="1"/>
  <c r="P4123" i="4"/>
  <c r="K4123" i="4"/>
  <c r="P4122" i="4"/>
  <c r="K4122" i="4"/>
  <c r="P4121" i="4"/>
  <c r="K4121" i="4"/>
  <c r="L4121" i="4" s="1"/>
  <c r="P4120" i="4"/>
  <c r="K4120" i="4"/>
  <c r="M4120" i="4" s="1"/>
  <c r="P4119" i="4"/>
  <c r="K4119" i="4"/>
  <c r="P4118" i="4"/>
  <c r="K4118" i="4"/>
  <c r="P4117" i="4"/>
  <c r="K4117" i="4"/>
  <c r="L4117" i="4" s="1"/>
  <c r="P4116" i="4"/>
  <c r="K4116" i="4"/>
  <c r="M4116" i="4" s="1"/>
  <c r="P4115" i="4"/>
  <c r="K4115" i="4"/>
  <c r="P4114" i="4"/>
  <c r="K4114" i="4"/>
  <c r="P4113" i="4"/>
  <c r="K4113" i="4"/>
  <c r="L4113" i="4" s="1"/>
  <c r="P4112" i="4"/>
  <c r="K4112" i="4"/>
  <c r="M4112" i="4" s="1"/>
  <c r="P4111" i="4"/>
  <c r="K4111" i="4"/>
  <c r="P4110" i="4"/>
  <c r="K4110" i="4"/>
  <c r="K4109" i="4"/>
  <c r="L4109" i="4" s="1"/>
  <c r="K4108" i="4"/>
  <c r="M4108" i="4" s="1"/>
  <c r="P4107" i="4"/>
  <c r="K4107" i="4"/>
  <c r="P4106" i="4"/>
  <c r="K4106" i="4"/>
  <c r="P4105" i="4"/>
  <c r="K4105" i="4"/>
  <c r="L4105" i="4" s="1"/>
  <c r="P4104" i="4"/>
  <c r="K4104" i="4"/>
  <c r="M4104" i="4" s="1"/>
  <c r="P4103" i="4"/>
  <c r="K4103" i="4"/>
  <c r="P4102" i="4"/>
  <c r="K4102" i="4"/>
  <c r="P4101" i="4"/>
  <c r="K4101" i="4"/>
  <c r="L4101" i="4" s="1"/>
  <c r="P4100" i="4"/>
  <c r="K4100" i="4"/>
  <c r="M4100" i="4" s="1"/>
  <c r="P4099" i="4"/>
  <c r="K4099" i="4"/>
  <c r="P4098" i="4"/>
  <c r="K4098" i="4"/>
  <c r="P4097" i="4"/>
  <c r="K4097" i="4"/>
  <c r="L4097" i="4" s="1"/>
  <c r="P4096" i="4"/>
  <c r="K4096" i="4"/>
  <c r="M4096" i="4" s="1"/>
  <c r="P4095" i="4"/>
  <c r="K4095" i="4"/>
  <c r="P4094" i="4"/>
  <c r="K4094" i="4"/>
  <c r="P4093" i="4"/>
  <c r="K4093" i="4"/>
  <c r="M4093" i="4" s="1"/>
  <c r="P4092" i="4"/>
  <c r="K4092" i="4"/>
  <c r="M4092" i="4" s="1"/>
  <c r="P4091" i="4"/>
  <c r="K4091" i="4"/>
  <c r="P4090" i="4"/>
  <c r="K4090" i="4"/>
  <c r="P4089" i="4"/>
  <c r="K4089" i="4"/>
  <c r="M4089" i="4" s="1"/>
  <c r="P4088" i="4"/>
  <c r="K4088" i="4"/>
  <c r="M4088" i="4" s="1"/>
  <c r="P4087" i="4"/>
  <c r="K4087" i="4"/>
  <c r="P4086" i="4"/>
  <c r="K4086" i="4"/>
  <c r="P4085" i="4"/>
  <c r="K4085" i="4"/>
  <c r="L4085" i="4" s="1"/>
  <c r="P4084" i="4"/>
  <c r="K4084" i="4"/>
  <c r="M4084" i="4" s="1"/>
  <c r="P4083" i="4"/>
  <c r="K4083" i="4"/>
  <c r="P4082" i="4"/>
  <c r="K4082" i="4"/>
  <c r="P4081" i="4"/>
  <c r="K4081" i="4"/>
  <c r="L4081" i="4" s="1"/>
  <c r="P4080" i="4"/>
  <c r="K4080" i="4"/>
  <c r="M4080" i="4" s="1"/>
  <c r="P4079" i="4"/>
  <c r="K4079" i="4"/>
  <c r="P4078" i="4"/>
  <c r="K4078" i="4"/>
  <c r="P4077" i="4"/>
  <c r="K4077" i="4"/>
  <c r="M4077" i="4" s="1"/>
  <c r="P4076" i="4"/>
  <c r="K4076" i="4"/>
  <c r="M4076" i="4" s="1"/>
  <c r="P4075" i="4"/>
  <c r="K4075" i="4"/>
  <c r="P4074" i="4"/>
  <c r="K4074" i="4"/>
  <c r="P4073" i="4"/>
  <c r="K4073" i="4"/>
  <c r="M4073" i="4" s="1"/>
  <c r="P4072" i="4"/>
  <c r="K4072" i="4"/>
  <c r="M4072" i="4" s="1"/>
  <c r="P4071" i="4"/>
  <c r="K4071" i="4"/>
  <c r="P4070" i="4"/>
  <c r="K4070" i="4"/>
  <c r="L4070" i="4" s="1"/>
  <c r="P4069" i="4"/>
  <c r="K4069" i="4"/>
  <c r="L4069" i="4" s="1"/>
  <c r="K4068" i="4"/>
  <c r="M4068" i="4" s="1"/>
  <c r="P4067" i="4"/>
  <c r="K4067" i="4"/>
  <c r="P4066" i="4"/>
  <c r="K4066" i="4"/>
  <c r="L4066" i="4" s="1"/>
  <c r="P4065" i="4"/>
  <c r="K4065" i="4"/>
  <c r="M4065" i="4" s="1"/>
  <c r="P4064" i="4"/>
  <c r="K4064" i="4"/>
  <c r="M4064" i="4" s="1"/>
  <c r="P4063" i="4"/>
  <c r="K4063" i="4"/>
  <c r="P4062" i="4"/>
  <c r="K4062" i="4"/>
  <c r="L4062" i="4" s="1"/>
  <c r="P4061" i="4"/>
  <c r="K4061" i="4"/>
  <c r="M4061" i="4" s="1"/>
  <c r="P4060" i="4"/>
  <c r="K4060" i="4"/>
  <c r="M4060" i="4" s="1"/>
  <c r="P4059" i="4"/>
  <c r="K4059" i="4"/>
  <c r="P4058" i="4"/>
  <c r="K4058" i="4"/>
  <c r="L4058" i="4" s="1"/>
  <c r="P4057" i="4"/>
  <c r="K4057" i="4"/>
  <c r="L4057" i="4" s="1"/>
  <c r="P4056" i="4"/>
  <c r="K4056" i="4"/>
  <c r="M4056" i="4" s="1"/>
  <c r="P4055" i="4"/>
  <c r="K4055" i="4"/>
  <c r="K4054" i="4"/>
  <c r="L4054" i="4" s="1"/>
  <c r="K4053" i="4"/>
  <c r="M4053" i="4" s="1"/>
  <c r="P4052" i="4"/>
  <c r="K4052" i="4"/>
  <c r="P4051" i="4"/>
  <c r="K4051" i="4"/>
  <c r="P4050" i="4"/>
  <c r="K4050" i="4"/>
  <c r="M4050" i="4" s="1"/>
  <c r="P4049" i="4"/>
  <c r="K4049" i="4"/>
  <c r="M4049" i="4" s="1"/>
  <c r="P4048" i="4"/>
  <c r="K4048" i="4"/>
  <c r="P4047" i="4"/>
  <c r="K4047" i="4"/>
  <c r="P4046" i="4"/>
  <c r="K4046" i="4"/>
  <c r="L4046" i="4" s="1"/>
  <c r="P4045" i="4"/>
  <c r="K4045" i="4"/>
  <c r="M4045" i="4" s="1"/>
  <c r="P4044" i="4"/>
  <c r="K4044" i="4"/>
  <c r="P4043" i="4"/>
  <c r="K4043" i="4"/>
  <c r="P4042" i="4"/>
  <c r="K4042" i="4"/>
  <c r="M4042" i="4" s="1"/>
  <c r="P4041" i="4"/>
  <c r="K4041" i="4"/>
  <c r="M4041" i="4" s="1"/>
  <c r="P4040" i="4"/>
  <c r="K4040" i="4"/>
  <c r="P4039" i="4"/>
  <c r="K4039" i="4"/>
  <c r="M4039" i="4" s="1"/>
  <c r="P4038" i="4"/>
  <c r="K4038" i="4"/>
  <c r="P4037" i="4"/>
  <c r="K4037" i="4"/>
  <c r="P4036" i="4"/>
  <c r="K4036" i="4"/>
  <c r="P4035" i="4"/>
  <c r="K4035" i="4"/>
  <c r="L4035" i="4" s="1"/>
  <c r="P4034" i="4"/>
  <c r="K4034" i="4"/>
  <c r="P4033" i="4"/>
  <c r="K4033" i="4"/>
  <c r="P4032" i="4"/>
  <c r="K4032" i="4"/>
  <c r="P4031" i="4"/>
  <c r="K4031" i="4"/>
  <c r="P4030" i="4"/>
  <c r="K4030" i="4"/>
  <c r="P4029" i="4"/>
  <c r="K4029" i="4"/>
  <c r="L4029" i="4" s="1"/>
  <c r="P4028" i="4"/>
  <c r="K4028" i="4"/>
  <c r="M4028" i="4" s="1"/>
  <c r="P4027" i="4"/>
  <c r="K4027" i="4"/>
  <c r="P4026" i="4"/>
  <c r="K4026" i="4"/>
  <c r="P4025" i="4"/>
  <c r="K4025" i="4"/>
  <c r="L4025" i="4" s="1"/>
  <c r="P4024" i="4"/>
  <c r="K4024" i="4"/>
  <c r="M4024" i="4" s="1"/>
  <c r="P4023" i="4"/>
  <c r="K4023" i="4"/>
  <c r="P4022" i="4"/>
  <c r="K4022" i="4"/>
  <c r="L4064" i="4" l="1"/>
  <c r="M4085" i="4"/>
  <c r="L4104" i="4"/>
  <c r="L4108" i="4"/>
  <c r="L4076" i="4"/>
  <c r="L4065" i="4"/>
  <c r="M4057" i="4"/>
  <c r="M4069" i="4"/>
  <c r="M4101" i="4"/>
  <c r="M4109" i="4"/>
  <c r="M4117" i="4"/>
  <c r="M4105" i="4"/>
  <c r="M4121" i="4"/>
  <c r="L4077" i="4"/>
  <c r="L4092" i="4"/>
  <c r="L4084" i="4"/>
  <c r="L4093" i="4"/>
  <c r="M4046" i="4"/>
  <c r="M4081" i="4"/>
  <c r="L4124" i="4"/>
  <c r="L4042" i="4"/>
  <c r="L4050" i="4"/>
  <c r="L4061" i="4"/>
  <c r="M4070" i="4"/>
  <c r="L4073" i="4"/>
  <c r="L4080" i="4"/>
  <c r="L4089" i="4"/>
  <c r="L4096" i="4"/>
  <c r="M4113" i="4"/>
  <c r="L4120" i="4"/>
  <c r="M4054" i="4"/>
  <c r="L4088" i="4"/>
  <c r="M4097" i="4"/>
  <c r="M4038" i="4"/>
  <c r="L4038" i="4"/>
  <c r="M4052" i="4"/>
  <c r="L4052" i="4"/>
  <c r="M4059" i="4"/>
  <c r="L4059" i="4"/>
  <c r="M4026" i="4"/>
  <c r="L4026" i="4"/>
  <c r="L4027" i="4"/>
  <c r="M4027" i="4"/>
  <c r="M4032" i="4"/>
  <c r="L4032" i="4"/>
  <c r="L4037" i="4"/>
  <c r="M4037" i="4"/>
  <c r="L4051" i="4"/>
  <c r="M4051" i="4"/>
  <c r="L4024" i="4"/>
  <c r="M4025" i="4"/>
  <c r="L4028" i="4"/>
  <c r="M4029" i="4"/>
  <c r="M4036" i="4"/>
  <c r="L4036" i="4"/>
  <c r="M4044" i="4"/>
  <c r="L4044" i="4"/>
  <c r="L4047" i="4"/>
  <c r="M4047" i="4"/>
  <c r="M4022" i="4"/>
  <c r="L4022" i="4"/>
  <c r="L4033" i="4"/>
  <c r="M4033" i="4"/>
  <c r="M4063" i="4"/>
  <c r="L4063" i="4"/>
  <c r="L4023" i="4"/>
  <c r="M4023" i="4"/>
  <c r="M4030" i="4"/>
  <c r="L4030" i="4"/>
  <c r="M4031" i="4"/>
  <c r="L4031" i="4"/>
  <c r="M4048" i="4"/>
  <c r="L4048" i="4"/>
  <c r="M4034" i="4"/>
  <c r="L4034" i="4"/>
  <c r="M4040" i="4"/>
  <c r="L4040" i="4"/>
  <c r="L4043" i="4"/>
  <c r="M4043" i="4"/>
  <c r="M4055" i="4"/>
  <c r="L4055" i="4"/>
  <c r="M4071" i="4"/>
  <c r="L4071" i="4"/>
  <c r="M4074" i="4"/>
  <c r="L4074" i="4"/>
  <c r="M4075" i="4"/>
  <c r="L4075" i="4"/>
  <c r="M4090" i="4"/>
  <c r="L4090" i="4"/>
  <c r="M4091" i="4"/>
  <c r="L4091" i="4"/>
  <c r="M4110" i="4"/>
  <c r="L4110" i="4"/>
  <c r="M4111" i="4"/>
  <c r="L4111" i="4"/>
  <c r="L4039" i="4"/>
  <c r="M4058" i="4"/>
  <c r="M4086" i="4"/>
  <c r="L4086" i="4"/>
  <c r="M4087" i="4"/>
  <c r="L4087" i="4"/>
  <c r="M4098" i="4"/>
  <c r="L4098" i="4"/>
  <c r="M4099" i="4"/>
  <c r="L4099" i="4"/>
  <c r="L4112" i="4"/>
  <c r="M4114" i="4"/>
  <c r="L4114" i="4"/>
  <c r="M4125" i="4"/>
  <c r="M4035" i="4"/>
  <c r="L4041" i="4"/>
  <c r="L4045" i="4"/>
  <c r="L4049" i="4"/>
  <c r="L4053" i="4"/>
  <c r="L4056" i="4"/>
  <c r="M4062" i="4"/>
  <c r="L4072" i="4"/>
  <c r="M4082" i="4"/>
  <c r="L4082" i="4"/>
  <c r="M4083" i="4"/>
  <c r="L4083" i="4"/>
  <c r="L4100" i="4"/>
  <c r="M4102" i="4"/>
  <c r="L4102" i="4"/>
  <c r="M4103" i="4"/>
  <c r="L4103" i="4"/>
  <c r="L4116" i="4"/>
  <c r="M4118" i="4"/>
  <c r="L4118" i="4"/>
  <c r="M4119" i="4"/>
  <c r="L4119" i="4"/>
  <c r="L4068" i="4"/>
  <c r="M4115" i="4"/>
  <c r="L4115" i="4"/>
  <c r="L4060" i="4"/>
  <c r="M4066" i="4"/>
  <c r="M4067" i="4"/>
  <c r="L4067" i="4"/>
  <c r="M4078" i="4"/>
  <c r="L4078" i="4"/>
  <c r="M4079" i="4"/>
  <c r="L4079" i="4"/>
  <c r="M4094" i="4"/>
  <c r="L4094" i="4"/>
  <c r="M4095" i="4"/>
  <c r="L4095" i="4"/>
  <c r="M4106" i="4"/>
  <c r="L4106" i="4"/>
  <c r="M4107" i="4"/>
  <c r="L4107" i="4"/>
  <c r="M4122" i="4"/>
  <c r="L4122" i="4"/>
  <c r="M4123" i="4"/>
  <c r="L4123" i="4"/>
  <c r="O3863" i="4" l="1"/>
  <c r="O3862" i="4"/>
  <c r="O3861" i="4"/>
  <c r="O3910" i="4"/>
  <c r="O3498" i="4" l="1"/>
  <c r="P3498" i="4" s="1"/>
  <c r="O3469" i="4"/>
  <c r="O3468" i="4"/>
  <c r="O3467" i="4"/>
  <c r="O3466" i="4"/>
  <c r="O3465" i="4"/>
  <c r="O3464" i="4"/>
  <c r="O3463" i="4"/>
  <c r="O3913" i="4"/>
  <c r="O3912" i="4"/>
  <c r="O3911" i="4"/>
  <c r="O3778" i="4"/>
  <c r="O3777" i="4"/>
  <c r="O3776" i="4"/>
  <c r="O3969" i="4"/>
  <c r="O3968" i="4"/>
  <c r="O3967" i="4"/>
  <c r="O3966" i="4"/>
  <c r="O3965" i="4"/>
  <c r="O3964" i="4"/>
  <c r="O3963" i="4"/>
  <c r="O3962" i="4"/>
  <c r="O3938" i="4"/>
  <c r="O3937" i="4"/>
  <c r="O3936" i="4"/>
  <c r="O3935" i="4"/>
  <c r="O3916" i="4"/>
  <c r="O3915" i="4"/>
  <c r="O3914" i="4"/>
  <c r="O3900" i="4"/>
  <c r="O3899" i="4"/>
  <c r="O3876" i="4"/>
  <c r="O3875" i="4"/>
  <c r="O3874" i="4"/>
  <c r="O3873" i="4"/>
  <c r="O3872" i="4"/>
  <c r="O3995" i="4"/>
  <c r="O3994" i="4"/>
  <c r="O3993" i="4"/>
  <c r="O3928" i="4"/>
  <c r="O3927" i="4"/>
  <c r="O3908" i="4"/>
  <c r="O3907" i="4"/>
  <c r="O3594" i="4"/>
  <c r="O3593" i="4"/>
  <c r="O3586" i="4"/>
  <c r="O3585" i="4"/>
  <c r="O3583" i="4"/>
  <c r="O3582" i="4"/>
  <c r="O3581" i="4"/>
  <c r="O3580" i="4"/>
  <c r="O3578" i="4"/>
  <c r="O3577" i="4"/>
  <c r="O3565" i="4"/>
  <c r="O3564" i="4"/>
  <c r="O3561" i="4"/>
  <c r="O3545" i="4"/>
  <c r="O3544" i="4"/>
  <c r="O3531" i="4"/>
  <c r="O3530" i="4"/>
  <c r="O3529" i="4"/>
  <c r="O3527" i="4"/>
  <c r="O3508" i="4"/>
  <c r="O3507" i="4"/>
  <c r="O3506" i="4"/>
  <c r="O3505" i="4"/>
  <c r="O3504" i="4"/>
  <c r="O3503" i="4"/>
  <c r="O3497" i="4"/>
  <c r="O3496" i="4"/>
  <c r="O3495" i="4"/>
  <c r="O3493" i="4"/>
  <c r="O3480" i="4"/>
  <c r="O3479" i="4"/>
  <c r="O3478" i="4"/>
  <c r="O3477" i="4"/>
  <c r="O3474" i="4"/>
  <c r="O3457" i="4"/>
  <c r="O3456" i="4"/>
  <c r="O3455" i="4"/>
  <c r="O3454" i="4"/>
  <c r="O3452" i="4"/>
  <c r="O3444" i="4"/>
  <c r="O3443" i="4"/>
  <c r="O3442" i="4"/>
  <c r="O3441" i="4"/>
  <c r="O3440" i="4"/>
  <c r="O3584" i="4"/>
  <c r="O3579" i="4"/>
  <c r="O3566" i="4"/>
  <c r="O3563" i="4"/>
  <c r="O3562" i="4"/>
  <c r="O3543" i="4"/>
  <c r="O3532" i="4"/>
  <c r="O3528" i="4"/>
  <c r="O3494" i="4"/>
  <c r="O3453" i="4"/>
  <c r="O2780" i="4"/>
  <c r="O2779" i="4"/>
  <c r="O2778" i="4"/>
  <c r="O2758" i="4"/>
  <c r="O2757" i="4"/>
  <c r="O2756" i="4"/>
  <c r="O2728" i="4"/>
  <c r="O2727" i="4"/>
  <c r="P4021" i="4" l="1"/>
  <c r="K4021" i="4"/>
  <c r="P4020" i="4"/>
  <c r="K4020" i="4"/>
  <c r="L4020" i="4" s="1"/>
  <c r="P4019" i="4"/>
  <c r="K4019" i="4"/>
  <c r="M4019" i="4" s="1"/>
  <c r="P4018" i="4"/>
  <c r="K4018" i="4"/>
  <c r="P4017" i="4"/>
  <c r="K4017" i="4"/>
  <c r="L4017" i="4" s="1"/>
  <c r="P4016" i="4"/>
  <c r="K4016" i="4"/>
  <c r="M4016" i="4" s="1"/>
  <c r="P4015" i="4"/>
  <c r="K4015" i="4"/>
  <c r="P4014" i="4"/>
  <c r="K4014" i="4"/>
  <c r="P4013" i="4"/>
  <c r="K4013" i="4"/>
  <c r="L4013" i="4" s="1"/>
  <c r="P4012" i="4"/>
  <c r="K4012" i="4"/>
  <c r="P4011" i="4"/>
  <c r="K4011" i="4"/>
  <c r="M4011" i="4" s="1"/>
  <c r="P4010" i="4"/>
  <c r="K4010" i="4"/>
  <c r="P4009" i="4"/>
  <c r="K4009" i="4"/>
  <c r="L4009" i="4" s="1"/>
  <c r="P4008" i="4"/>
  <c r="K4008" i="4"/>
  <c r="P4007" i="4"/>
  <c r="K4007" i="4"/>
  <c r="P4006" i="4"/>
  <c r="K4006" i="4"/>
  <c r="P4005" i="4"/>
  <c r="K4005" i="4"/>
  <c r="P4004" i="4"/>
  <c r="K4004" i="4"/>
  <c r="M4004" i="4" s="1"/>
  <c r="P4003" i="4"/>
  <c r="K4003" i="4"/>
  <c r="M4003" i="4" s="1"/>
  <c r="P4002" i="4"/>
  <c r="K4002" i="4"/>
  <c r="P4001" i="4"/>
  <c r="K4001" i="4"/>
  <c r="L4001" i="4" s="1"/>
  <c r="P4000" i="4"/>
  <c r="K4000" i="4"/>
  <c r="P3999" i="4"/>
  <c r="K3999" i="4"/>
  <c r="P3998" i="4"/>
  <c r="K3998" i="4"/>
  <c r="P3997" i="4"/>
  <c r="K3997" i="4"/>
  <c r="P3996" i="4"/>
  <c r="K3996" i="4"/>
  <c r="P3995" i="4"/>
  <c r="K3995" i="4"/>
  <c r="P3994" i="4"/>
  <c r="K3994" i="4"/>
  <c r="P3993" i="4"/>
  <c r="K3993" i="4"/>
  <c r="P3992" i="4"/>
  <c r="K3992" i="4"/>
  <c r="P3991" i="4"/>
  <c r="K3991" i="4"/>
  <c r="P3990" i="4"/>
  <c r="K3990" i="4"/>
  <c r="P3989" i="4"/>
  <c r="K3989" i="4"/>
  <c r="P3988" i="4"/>
  <c r="K3988" i="4"/>
  <c r="P3987" i="4"/>
  <c r="K3987" i="4"/>
  <c r="P3986" i="4"/>
  <c r="K3986" i="4"/>
  <c r="P3985" i="4"/>
  <c r="K3985" i="4"/>
  <c r="P3984" i="4"/>
  <c r="K3984" i="4"/>
  <c r="P3983" i="4"/>
  <c r="K3983" i="4"/>
  <c r="P3982" i="4"/>
  <c r="K3982" i="4"/>
  <c r="P3981" i="4"/>
  <c r="K3981" i="4"/>
  <c r="P3980" i="4"/>
  <c r="K3980" i="4"/>
  <c r="P3979" i="4"/>
  <c r="K3979" i="4"/>
  <c r="P3978" i="4"/>
  <c r="K3978" i="4"/>
  <c r="P3977" i="4"/>
  <c r="K3977" i="4"/>
  <c r="P3976" i="4"/>
  <c r="K3976" i="4"/>
  <c r="P3975" i="4"/>
  <c r="K3975" i="4"/>
  <c r="P3974" i="4"/>
  <c r="K3974" i="4"/>
  <c r="P3973" i="4"/>
  <c r="K3973" i="4"/>
  <c r="P3972" i="4"/>
  <c r="K3972" i="4"/>
  <c r="P3971" i="4"/>
  <c r="K3971" i="4"/>
  <c r="P3970" i="4"/>
  <c r="K3970" i="4"/>
  <c r="P3969" i="4"/>
  <c r="K3969" i="4"/>
  <c r="P3968" i="4"/>
  <c r="K3968" i="4"/>
  <c r="P3967" i="4"/>
  <c r="K3967" i="4"/>
  <c r="P3966" i="4"/>
  <c r="K3966" i="4"/>
  <c r="P3965" i="4"/>
  <c r="K3965" i="4"/>
  <c r="P3964" i="4"/>
  <c r="K3964" i="4"/>
  <c r="P3963" i="4"/>
  <c r="K3963" i="4"/>
  <c r="P3962" i="4"/>
  <c r="K3962" i="4"/>
  <c r="P3961" i="4"/>
  <c r="K3961" i="4"/>
  <c r="P3960" i="4"/>
  <c r="K3960" i="4"/>
  <c r="P3959" i="4"/>
  <c r="K3959" i="4"/>
  <c r="P3958" i="4"/>
  <c r="K3958" i="4"/>
  <c r="P3957" i="4"/>
  <c r="K3957" i="4"/>
  <c r="P3956" i="4"/>
  <c r="K3956" i="4"/>
  <c r="P3955" i="4"/>
  <c r="K3955" i="4"/>
  <c r="M3955" i="4" s="1"/>
  <c r="P3954" i="4"/>
  <c r="K3954" i="4"/>
  <c r="P3953" i="4"/>
  <c r="K3953" i="4"/>
  <c r="M3953" i="4" s="1"/>
  <c r="P3952" i="4"/>
  <c r="K3952" i="4"/>
  <c r="M3952" i="4" s="1"/>
  <c r="P3951" i="4"/>
  <c r="K3951" i="4"/>
  <c r="M3951" i="4" s="1"/>
  <c r="P3950" i="4"/>
  <c r="K3950" i="4"/>
  <c r="P3949" i="4"/>
  <c r="K3949" i="4"/>
  <c r="M3949" i="4" s="1"/>
  <c r="P3948" i="4"/>
  <c r="K3948" i="4"/>
  <c r="M3948" i="4" s="1"/>
  <c r="P3947" i="4"/>
  <c r="K3947" i="4"/>
  <c r="M3947" i="4" s="1"/>
  <c r="P3946" i="4"/>
  <c r="K3946" i="4"/>
  <c r="P3945" i="4"/>
  <c r="K3945" i="4"/>
  <c r="M3945" i="4" s="1"/>
  <c r="P3944" i="4"/>
  <c r="K3944" i="4"/>
  <c r="M3944" i="4" s="1"/>
  <c r="P3943" i="4"/>
  <c r="K3943" i="4"/>
  <c r="P3942" i="4"/>
  <c r="K3942" i="4"/>
  <c r="P3941" i="4"/>
  <c r="K3941" i="4"/>
  <c r="M3941" i="4" s="1"/>
  <c r="P3940" i="4"/>
  <c r="K3940" i="4"/>
  <c r="L3940" i="4" s="1"/>
  <c r="P3939" i="4"/>
  <c r="K3939" i="4"/>
  <c r="M3939" i="4" s="1"/>
  <c r="P3938" i="4"/>
  <c r="K3938" i="4"/>
  <c r="P3937" i="4"/>
  <c r="K3937" i="4"/>
  <c r="P3936" i="4"/>
  <c r="K3936" i="4"/>
  <c r="P3935" i="4"/>
  <c r="K3935" i="4"/>
  <c r="L3935" i="4" s="1"/>
  <c r="P3934" i="4"/>
  <c r="K3934" i="4"/>
  <c r="P3933" i="4"/>
  <c r="K3933" i="4"/>
  <c r="M3933" i="4" s="1"/>
  <c r="P3932" i="4"/>
  <c r="K3932" i="4"/>
  <c r="P3931" i="4"/>
  <c r="K3931" i="4"/>
  <c r="L3931" i="4" s="1"/>
  <c r="P3930" i="4"/>
  <c r="K3930" i="4"/>
  <c r="P3929" i="4"/>
  <c r="K3929" i="4"/>
  <c r="M3929" i="4" s="1"/>
  <c r="P3928" i="4"/>
  <c r="K3928" i="4"/>
  <c r="P3927" i="4"/>
  <c r="K3927" i="4"/>
  <c r="L3927" i="4" s="1"/>
  <c r="P3926" i="4"/>
  <c r="K3926" i="4"/>
  <c r="P3925" i="4"/>
  <c r="K3925" i="4"/>
  <c r="M3925" i="4" s="1"/>
  <c r="P3924" i="4"/>
  <c r="K3924" i="4"/>
  <c r="P3923" i="4"/>
  <c r="K3923" i="4"/>
  <c r="L3923" i="4" s="1"/>
  <c r="P3922" i="4"/>
  <c r="K3922" i="4"/>
  <c r="P3921" i="4"/>
  <c r="K3921" i="4"/>
  <c r="P3920" i="4"/>
  <c r="K3920" i="4"/>
  <c r="P3919" i="4"/>
  <c r="K3919" i="4"/>
  <c r="L3919" i="4" s="1"/>
  <c r="P3918" i="4"/>
  <c r="K3918" i="4"/>
  <c r="M3918" i="4" s="1"/>
  <c r="P3917" i="4"/>
  <c r="K3917" i="4"/>
  <c r="M3917" i="4" s="1"/>
  <c r="P3916" i="4"/>
  <c r="K3916" i="4"/>
  <c r="P3915" i="4"/>
  <c r="K3915" i="4"/>
  <c r="L3915" i="4" s="1"/>
  <c r="P3914" i="4"/>
  <c r="K3914" i="4"/>
  <c r="M3914" i="4" s="1"/>
  <c r="P3913" i="4"/>
  <c r="K3913" i="4"/>
  <c r="M3913" i="4" s="1"/>
  <c r="P3912" i="4"/>
  <c r="K3912" i="4"/>
  <c r="P3911" i="4"/>
  <c r="K3911" i="4"/>
  <c r="L3911" i="4" s="1"/>
  <c r="Q3910" i="4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Q4010" i="4" s="1"/>
  <c r="Q4011" i="4" s="1"/>
  <c r="Q4012" i="4" s="1"/>
  <c r="Q4013" i="4" s="1"/>
  <c r="Q4014" i="4" s="1"/>
  <c r="Q4015" i="4" s="1"/>
  <c r="Q4016" i="4" s="1"/>
  <c r="Q4017" i="4" s="1"/>
  <c r="Q4018" i="4" s="1"/>
  <c r="Q4019" i="4" s="1"/>
  <c r="Q4020" i="4" s="1"/>
  <c r="Q4021" i="4" s="1"/>
  <c r="Q4022" i="4" s="1"/>
  <c r="Q4023" i="4" s="1"/>
  <c r="Q4024" i="4" s="1"/>
  <c r="Q4025" i="4" s="1"/>
  <c r="Q4026" i="4" s="1"/>
  <c r="Q4027" i="4" s="1"/>
  <c r="Q4028" i="4" s="1"/>
  <c r="Q4029" i="4" s="1"/>
  <c r="Q4030" i="4" s="1"/>
  <c r="Q4031" i="4" s="1"/>
  <c r="Q4032" i="4" s="1"/>
  <c r="Q4033" i="4" s="1"/>
  <c r="Q4034" i="4" s="1"/>
  <c r="Q4035" i="4" s="1"/>
  <c r="Q4036" i="4" s="1"/>
  <c r="Q4037" i="4" s="1"/>
  <c r="Q4038" i="4" s="1"/>
  <c r="Q4039" i="4" s="1"/>
  <c r="Q4040" i="4" s="1"/>
  <c r="Q4041" i="4" s="1"/>
  <c r="Q4042" i="4" s="1"/>
  <c r="Q4043" i="4" s="1"/>
  <c r="Q4044" i="4" s="1"/>
  <c r="Q4045" i="4" s="1"/>
  <c r="Q4046" i="4" s="1"/>
  <c r="Q4047" i="4" s="1"/>
  <c r="Q4048" i="4" s="1"/>
  <c r="Q4049" i="4" s="1"/>
  <c r="Q4050" i="4" s="1"/>
  <c r="Q4051" i="4" s="1"/>
  <c r="Q4052" i="4" s="1"/>
  <c r="Q4053" i="4" s="1"/>
  <c r="Q4054" i="4" s="1"/>
  <c r="Q4055" i="4" s="1"/>
  <c r="Q4056" i="4" s="1"/>
  <c r="Q4057" i="4" s="1"/>
  <c r="Q4058" i="4" s="1"/>
  <c r="Q4059" i="4" s="1"/>
  <c r="Q4060" i="4" s="1"/>
  <c r="Q4061" i="4" s="1"/>
  <c r="Q4062" i="4" s="1"/>
  <c r="Q4063" i="4" s="1"/>
  <c r="Q4064" i="4" s="1"/>
  <c r="Q4065" i="4" s="1"/>
  <c r="Q4066" i="4" s="1"/>
  <c r="Q4067" i="4" s="1"/>
  <c r="Q4068" i="4" s="1"/>
  <c r="Q4069" i="4" s="1"/>
  <c r="Q4070" i="4" s="1"/>
  <c r="Q4071" i="4" s="1"/>
  <c r="Q4072" i="4" s="1"/>
  <c r="Q4073" i="4" s="1"/>
  <c r="Q4074" i="4" s="1"/>
  <c r="Q4075" i="4" s="1"/>
  <c r="Q4076" i="4" s="1"/>
  <c r="Q4077" i="4" s="1"/>
  <c r="Q4078" i="4" s="1"/>
  <c r="Q4079" i="4" s="1"/>
  <c r="Q4080" i="4" s="1"/>
  <c r="Q4081" i="4" s="1"/>
  <c r="Q4082" i="4" s="1"/>
  <c r="Q4083" i="4" s="1"/>
  <c r="Q4084" i="4" s="1"/>
  <c r="Q4085" i="4" s="1"/>
  <c r="Q4086" i="4" s="1"/>
  <c r="Q4087" i="4" s="1"/>
  <c r="Q4088" i="4" s="1"/>
  <c r="Q4089" i="4" s="1"/>
  <c r="Q4090" i="4" s="1"/>
  <c r="Q4091" i="4" s="1"/>
  <c r="Q4092" i="4" s="1"/>
  <c r="Q4093" i="4" s="1"/>
  <c r="Q4094" i="4" s="1"/>
  <c r="Q4095" i="4" s="1"/>
  <c r="Q4096" i="4" s="1"/>
  <c r="Q4097" i="4" s="1"/>
  <c r="Q4098" i="4" s="1"/>
  <c r="Q4099" i="4" s="1"/>
  <c r="Q4100" i="4" s="1"/>
  <c r="Q4101" i="4" s="1"/>
  <c r="Q4102" i="4" s="1"/>
  <c r="Q4103" i="4" s="1"/>
  <c r="Q4104" i="4" s="1"/>
  <c r="Q4105" i="4" s="1"/>
  <c r="Q4106" i="4" s="1"/>
  <c r="Q4107" i="4" s="1"/>
  <c r="Q4108" i="4" s="1"/>
  <c r="Q4109" i="4" s="1"/>
  <c r="Q4110" i="4" s="1"/>
  <c r="Q4111" i="4" s="1"/>
  <c r="Q4112" i="4" s="1"/>
  <c r="Q4113" i="4" s="1"/>
  <c r="Q4114" i="4" s="1"/>
  <c r="Q4115" i="4" s="1"/>
  <c r="Q4116" i="4" s="1"/>
  <c r="Q4117" i="4" s="1"/>
  <c r="Q4118" i="4" s="1"/>
  <c r="Q4119" i="4" s="1"/>
  <c r="Q4120" i="4" s="1"/>
  <c r="Q4121" i="4" s="1"/>
  <c r="Q4122" i="4" s="1"/>
  <c r="Q4123" i="4" s="1"/>
  <c r="Q4124" i="4" s="1"/>
  <c r="Q4125" i="4" s="1"/>
  <c r="P3910" i="4"/>
  <c r="K3910" i="4"/>
  <c r="M3940" i="4" l="1"/>
  <c r="L3930" i="4"/>
  <c r="M3930" i="4"/>
  <c r="M4017" i="4"/>
  <c r="M3934" i="4"/>
  <c r="L3934" i="4"/>
  <c r="L4011" i="4"/>
  <c r="L3953" i="4"/>
  <c r="M3921" i="4"/>
  <c r="L3921" i="4"/>
  <c r="M4008" i="4"/>
  <c r="L4008" i="4"/>
  <c r="L3910" i="4"/>
  <c r="M3910" i="4"/>
  <c r="L3922" i="4"/>
  <c r="M3922" i="4"/>
  <c r="M3943" i="4"/>
  <c r="L3943" i="4"/>
  <c r="L3964" i="4"/>
  <c r="M3964" i="4"/>
  <c r="L3980" i="4"/>
  <c r="M3980" i="4"/>
  <c r="L3996" i="4"/>
  <c r="M3996" i="4"/>
  <c r="M3937" i="4"/>
  <c r="L3937" i="4"/>
  <c r="L3992" i="4"/>
  <c r="M3992" i="4"/>
  <c r="L3926" i="4"/>
  <c r="M3926" i="4"/>
  <c r="L3968" i="4"/>
  <c r="M3968" i="4"/>
  <c r="L3984" i="4"/>
  <c r="M3984" i="4"/>
  <c r="L4000" i="4"/>
  <c r="M4000" i="4"/>
  <c r="L4012" i="4"/>
  <c r="M4012" i="4"/>
  <c r="L3960" i="4"/>
  <c r="M3960" i="4"/>
  <c r="L3976" i="4"/>
  <c r="M3976" i="4"/>
  <c r="L3956" i="4"/>
  <c r="M3956" i="4"/>
  <c r="L3972" i="4"/>
  <c r="M3972" i="4"/>
  <c r="L3988" i="4"/>
  <c r="M3988" i="4"/>
  <c r="M4007" i="4"/>
  <c r="L4007" i="4"/>
  <c r="L3914" i="4"/>
  <c r="M3927" i="4"/>
  <c r="L3952" i="4"/>
  <c r="M4020" i="4"/>
  <c r="L4004" i="4"/>
  <c r="L4016" i="4"/>
  <c r="M4001" i="4"/>
  <c r="M4013" i="4"/>
  <c r="L3918" i="4"/>
  <c r="L3944" i="4"/>
  <c r="L3948" i="4"/>
  <c r="M3911" i="4"/>
  <c r="M3924" i="4"/>
  <c r="L3924" i="4"/>
  <c r="M3932" i="4"/>
  <c r="L3932" i="4"/>
  <c r="M3936" i="4"/>
  <c r="L3936" i="4"/>
  <c r="M3916" i="4"/>
  <c r="L3916" i="4"/>
  <c r="M3920" i="4"/>
  <c r="L3920" i="4"/>
  <c r="M3912" i="4"/>
  <c r="L3912" i="4"/>
  <c r="M3928" i="4"/>
  <c r="L3928" i="4"/>
  <c r="M4006" i="4"/>
  <c r="L4006" i="4"/>
  <c r="L3925" i="4"/>
  <c r="L3939" i="4"/>
  <c r="L3946" i="4"/>
  <c r="M3946" i="4"/>
  <c r="L3955" i="4"/>
  <c r="L3958" i="4"/>
  <c r="M3958" i="4"/>
  <c r="M3959" i="4"/>
  <c r="L3959" i="4"/>
  <c r="L3962" i="4"/>
  <c r="M3962" i="4"/>
  <c r="M3963" i="4"/>
  <c r="L3963" i="4"/>
  <c r="L3966" i="4"/>
  <c r="M3966" i="4"/>
  <c r="M3967" i="4"/>
  <c r="L3967" i="4"/>
  <c r="L3970" i="4"/>
  <c r="M3970" i="4"/>
  <c r="M3971" i="4"/>
  <c r="L3971" i="4"/>
  <c r="L3974" i="4"/>
  <c r="M3974" i="4"/>
  <c r="M3975" i="4"/>
  <c r="L3975" i="4"/>
  <c r="L3978" i="4"/>
  <c r="M3978" i="4"/>
  <c r="L3994" i="4"/>
  <c r="M3994" i="4"/>
  <c r="M3995" i="4"/>
  <c r="L3995" i="4"/>
  <c r="M4010" i="4"/>
  <c r="L4010" i="4"/>
  <c r="M4015" i="4"/>
  <c r="L4015" i="4"/>
  <c r="L4021" i="4"/>
  <c r="M4021" i="4"/>
  <c r="L3913" i="4"/>
  <c r="M3919" i="4"/>
  <c r="L3929" i="4"/>
  <c r="M3935" i="4"/>
  <c r="L3942" i="4"/>
  <c r="M3942" i="4"/>
  <c r="L3945" i="4"/>
  <c r="L3951" i="4"/>
  <c r="L3957" i="4"/>
  <c r="M3957" i="4"/>
  <c r="L3961" i="4"/>
  <c r="M3961" i="4"/>
  <c r="L3965" i="4"/>
  <c r="M3965" i="4"/>
  <c r="L3969" i="4"/>
  <c r="M3969" i="4"/>
  <c r="L3973" i="4"/>
  <c r="M3973" i="4"/>
  <c r="L3977" i="4"/>
  <c r="M3977" i="4"/>
  <c r="L3981" i="4"/>
  <c r="M3981" i="4"/>
  <c r="L3985" i="4"/>
  <c r="M3985" i="4"/>
  <c r="L3989" i="4"/>
  <c r="M3989" i="4"/>
  <c r="M3993" i="4"/>
  <c r="L3993" i="4"/>
  <c r="L3997" i="4"/>
  <c r="M3997" i="4"/>
  <c r="L3950" i="4"/>
  <c r="M3950" i="4"/>
  <c r="M3915" i="4"/>
  <c r="M3931" i="4"/>
  <c r="L3949" i="4"/>
  <c r="M3979" i="4"/>
  <c r="L3979" i="4"/>
  <c r="L3982" i="4"/>
  <c r="M3982" i="4"/>
  <c r="M3983" i="4"/>
  <c r="L3983" i="4"/>
  <c r="L3986" i="4"/>
  <c r="M3986" i="4"/>
  <c r="M3987" i="4"/>
  <c r="L3987" i="4"/>
  <c r="L3990" i="4"/>
  <c r="M3990" i="4"/>
  <c r="M3991" i="4"/>
  <c r="L3991" i="4"/>
  <c r="L3998" i="4"/>
  <c r="M3998" i="4"/>
  <c r="M3999" i="4"/>
  <c r="L3999" i="4"/>
  <c r="L4005" i="4"/>
  <c r="M4005" i="4"/>
  <c r="L3917" i="4"/>
  <c r="M3923" i="4"/>
  <c r="L3933" i="4"/>
  <c r="L3938" i="4"/>
  <c r="M3938" i="4"/>
  <c r="L3941" i="4"/>
  <c r="L3947" i="4"/>
  <c r="L3954" i="4"/>
  <c r="M3954" i="4"/>
  <c r="M4002" i="4"/>
  <c r="L4002" i="4"/>
  <c r="M4018" i="4"/>
  <c r="L4018" i="4"/>
  <c r="L4003" i="4"/>
  <c r="M4009" i="4"/>
  <c r="L4019" i="4"/>
  <c r="M4014" i="4"/>
  <c r="L4014" i="4"/>
  <c r="P3469" i="4" l="1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P3439" i="4" s="1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P3440" i="4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690" i="4"/>
  <c r="O3689" i="4"/>
  <c r="O3688" i="4"/>
  <c r="O3687" i="4"/>
  <c r="O3651" i="4"/>
  <c r="O3857" i="4" l="1"/>
  <c r="P3857" i="4" s="1"/>
  <c r="O3856" i="4"/>
  <c r="P3856" i="4" s="1"/>
  <c r="O3844" i="4"/>
  <c r="P3844" i="4" s="1"/>
  <c r="O3843" i="4"/>
  <c r="P3843" i="4" s="1"/>
  <c r="O3842" i="4"/>
  <c r="P3842" i="4" s="1"/>
  <c r="O3841" i="4"/>
  <c r="P3841" i="4" s="1"/>
  <c r="O3840" i="4"/>
  <c r="P3840" i="4" s="1"/>
  <c r="O3839" i="4"/>
  <c r="P3839" i="4" s="1"/>
  <c r="O3870" i="4"/>
  <c r="P3870" i="4" s="1"/>
  <c r="O3869" i="4"/>
  <c r="P3869" i="4" s="1"/>
  <c r="O3868" i="4"/>
  <c r="P3868" i="4" s="1"/>
  <c r="O3867" i="4"/>
  <c r="P3867" i="4" s="1"/>
  <c r="O3860" i="4"/>
  <c r="P3860" i="4" s="1"/>
  <c r="O3859" i="4"/>
  <c r="O3858" i="4"/>
  <c r="P3858" i="4" s="1"/>
  <c r="O3830" i="4"/>
  <c r="O3829" i="4"/>
  <c r="O3828" i="4"/>
  <c r="O3827" i="4"/>
  <c r="O3787" i="4"/>
  <c r="O3790" i="4"/>
  <c r="O3789" i="4"/>
  <c r="O3788" i="4"/>
  <c r="O3832" i="4"/>
  <c r="O3831" i="4"/>
  <c r="P3831" i="4" s="1"/>
  <c r="O3767" i="4"/>
  <c r="O3766" i="4"/>
  <c r="O3765" i="4"/>
  <c r="O3764" i="4"/>
  <c r="O2664" i="4"/>
  <c r="O2695" i="4"/>
  <c r="O2721" i="4"/>
  <c r="O2726" i="4"/>
  <c r="O2725" i="4"/>
  <c r="O2724" i="4"/>
  <c r="O2723" i="4"/>
  <c r="O2722" i="4"/>
  <c r="O2696" i="4"/>
  <c r="O2666" i="4"/>
  <c r="O2665" i="4"/>
  <c r="O2663" i="4"/>
  <c r="O2662" i="4"/>
  <c r="O2661" i="4"/>
  <c r="P3832" i="4"/>
  <c r="P3833" i="4"/>
  <c r="P3834" i="4"/>
  <c r="P3835" i="4"/>
  <c r="P3836" i="4"/>
  <c r="P3837" i="4"/>
  <c r="P3838" i="4"/>
  <c r="P3845" i="4"/>
  <c r="P3846" i="4"/>
  <c r="P3847" i="4"/>
  <c r="P3848" i="4"/>
  <c r="P3849" i="4"/>
  <c r="P3850" i="4"/>
  <c r="P3851" i="4"/>
  <c r="P3852" i="4"/>
  <c r="P3853" i="4"/>
  <c r="P3854" i="4"/>
  <c r="P3855" i="4"/>
  <c r="P3859" i="4"/>
  <c r="P3861" i="4"/>
  <c r="P3862" i="4"/>
  <c r="P3863" i="4"/>
  <c r="P3864" i="4"/>
  <c r="P3865" i="4"/>
  <c r="P3866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M3843" i="4" s="1"/>
  <c r="K3842" i="4"/>
  <c r="K3841" i="4"/>
  <c r="K3840" i="4"/>
  <c r="K3839" i="4"/>
  <c r="K3838" i="4"/>
  <c r="K3837" i="4"/>
  <c r="K3836" i="4"/>
  <c r="K3835" i="4"/>
  <c r="K3834" i="4"/>
  <c r="M3834" i="4" s="1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M3818" i="4" s="1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M3802" i="4" s="1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M3786" i="4" s="1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M3770" i="4" s="1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M3754" i="4" s="1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M3738" i="4" s="1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M3722" i="4" s="1"/>
  <c r="K3721" i="4"/>
  <c r="K3720" i="4"/>
  <c r="L3720" i="4" s="1"/>
  <c r="K3719" i="4"/>
  <c r="L3719" i="4" s="1"/>
  <c r="K3718" i="4"/>
  <c r="L3718" i="4" s="1"/>
  <c r="K3717" i="4"/>
  <c r="L3717" i="4" s="1"/>
  <c r="K3716" i="4"/>
  <c r="L3716" i="4" s="1"/>
  <c r="K3715" i="4"/>
  <c r="L3715" i="4" s="1"/>
  <c r="K3714" i="4"/>
  <c r="L3714" i="4" s="1"/>
  <c r="K3713" i="4"/>
  <c r="L3713" i="4" s="1"/>
  <c r="K3712" i="4"/>
  <c r="L3712" i="4" s="1"/>
  <c r="K3711" i="4"/>
  <c r="L3711" i="4" s="1"/>
  <c r="K3710" i="4"/>
  <c r="L3710" i="4" s="1"/>
  <c r="K3709" i="4"/>
  <c r="L3709" i="4" s="1"/>
  <c r="K3708" i="4"/>
  <c r="L3708" i="4" s="1"/>
  <c r="K3707" i="4"/>
  <c r="L3707" i="4" s="1"/>
  <c r="K3706" i="4"/>
  <c r="L3706" i="4" s="1"/>
  <c r="K3705" i="4"/>
  <c r="L3705" i="4" s="1"/>
  <c r="K3704" i="4"/>
  <c r="L3704" i="4" s="1"/>
  <c r="K3703" i="4"/>
  <c r="L3703" i="4" s="1"/>
  <c r="K3702" i="4"/>
  <c r="L3702" i="4" s="1"/>
  <c r="K3701" i="4"/>
  <c r="L3701" i="4" s="1"/>
  <c r="K3700" i="4"/>
  <c r="L3700" i="4" s="1"/>
  <c r="K3699" i="4"/>
  <c r="L3699" i="4" s="1"/>
  <c r="K3698" i="4"/>
  <c r="L3698" i="4" s="1"/>
  <c r="K3697" i="4"/>
  <c r="L3697" i="4" s="1"/>
  <c r="K3696" i="4"/>
  <c r="L3696" i="4" s="1"/>
  <c r="K3695" i="4"/>
  <c r="L3695" i="4" s="1"/>
  <c r="K3694" i="4"/>
  <c r="L3694" i="4" s="1"/>
  <c r="K3693" i="4"/>
  <c r="L3693" i="4" s="1"/>
  <c r="K3692" i="4"/>
  <c r="L3692" i="4" s="1"/>
  <c r="K3691" i="4"/>
  <c r="L3691" i="4" s="1"/>
  <c r="K3690" i="4"/>
  <c r="L3690" i="4" s="1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M3847" i="4" l="1"/>
  <c r="L3847" i="4"/>
  <c r="M3849" i="4"/>
  <c r="L3849" i="4"/>
  <c r="M3851" i="4"/>
  <c r="L3851" i="4"/>
  <c r="M3853" i="4"/>
  <c r="L3853" i="4"/>
  <c r="M3855" i="4"/>
  <c r="L3855" i="4"/>
  <c r="M3857" i="4"/>
  <c r="L3857" i="4"/>
  <c r="M3859" i="4"/>
  <c r="L3859" i="4"/>
  <c r="M3861" i="4"/>
  <c r="L3861" i="4"/>
  <c r="M3863" i="4"/>
  <c r="L3863" i="4"/>
  <c r="M3865" i="4"/>
  <c r="L3865" i="4"/>
  <c r="M3867" i="4"/>
  <c r="L3867" i="4"/>
  <c r="M3869" i="4"/>
  <c r="L3869" i="4"/>
  <c r="M3871" i="4"/>
  <c r="L3871" i="4"/>
  <c r="M3873" i="4"/>
  <c r="L3873" i="4"/>
  <c r="M3875" i="4"/>
  <c r="L3875" i="4"/>
  <c r="M3877" i="4"/>
  <c r="L3877" i="4"/>
  <c r="M3879" i="4"/>
  <c r="L3879" i="4"/>
  <c r="M3881" i="4"/>
  <c r="L3881" i="4"/>
  <c r="M3883" i="4"/>
  <c r="L3883" i="4"/>
  <c r="M3885" i="4"/>
  <c r="L3885" i="4"/>
  <c r="M3887" i="4"/>
  <c r="L3887" i="4"/>
  <c r="M3889" i="4"/>
  <c r="L3889" i="4"/>
  <c r="M3891" i="4"/>
  <c r="L3891" i="4"/>
  <c r="M3893" i="4"/>
  <c r="L3893" i="4"/>
  <c r="M3895" i="4"/>
  <c r="L3895" i="4"/>
  <c r="M3897" i="4"/>
  <c r="L3897" i="4"/>
  <c r="M3899" i="4"/>
  <c r="L3899" i="4"/>
  <c r="M3901" i="4"/>
  <c r="L3901" i="4"/>
  <c r="M3903" i="4"/>
  <c r="L3903" i="4"/>
  <c r="M3905" i="4"/>
  <c r="L3905" i="4"/>
  <c r="M3907" i="4"/>
  <c r="L3907" i="4"/>
  <c r="M3909" i="4"/>
  <c r="L3909" i="4"/>
  <c r="M3724" i="4"/>
  <c r="L3724" i="4"/>
  <c r="M3728" i="4"/>
  <c r="L3728" i="4"/>
  <c r="M3732" i="4"/>
  <c r="L3732" i="4"/>
  <c r="M3736" i="4"/>
  <c r="L3736" i="4"/>
  <c r="M3740" i="4"/>
  <c r="L3740" i="4"/>
  <c r="M3744" i="4"/>
  <c r="L3744" i="4"/>
  <c r="M3748" i="4"/>
  <c r="L3748" i="4"/>
  <c r="M3752" i="4"/>
  <c r="L3752" i="4"/>
  <c r="M3756" i="4"/>
  <c r="L3756" i="4"/>
  <c r="M3760" i="4"/>
  <c r="L3760" i="4"/>
  <c r="M3764" i="4"/>
  <c r="L3764" i="4"/>
  <c r="M3768" i="4"/>
  <c r="L3768" i="4"/>
  <c r="M3772" i="4"/>
  <c r="L3772" i="4"/>
  <c r="M3776" i="4"/>
  <c r="L3776" i="4"/>
  <c r="M3780" i="4"/>
  <c r="L3780" i="4"/>
  <c r="M3784" i="4"/>
  <c r="L3784" i="4"/>
  <c r="M3788" i="4"/>
  <c r="L3788" i="4"/>
  <c r="M3792" i="4"/>
  <c r="L3792" i="4"/>
  <c r="M3796" i="4"/>
  <c r="L3796" i="4"/>
  <c r="M3800" i="4"/>
  <c r="L3800" i="4"/>
  <c r="M3804" i="4"/>
  <c r="L3804" i="4"/>
  <c r="M3808" i="4"/>
  <c r="L3808" i="4"/>
  <c r="M3812" i="4"/>
  <c r="L3812" i="4"/>
  <c r="M3816" i="4"/>
  <c r="L3816" i="4"/>
  <c r="M3820" i="4"/>
  <c r="L3820" i="4"/>
  <c r="M3824" i="4"/>
  <c r="L3824" i="4"/>
  <c r="M3828" i="4"/>
  <c r="L3828" i="4"/>
  <c r="M3832" i="4"/>
  <c r="L3832" i="4"/>
  <c r="M3836" i="4"/>
  <c r="L3836" i="4"/>
  <c r="M3840" i="4"/>
  <c r="L3840" i="4"/>
  <c r="M3844" i="4"/>
  <c r="L3844" i="4"/>
  <c r="M3846" i="4"/>
  <c r="L3846" i="4"/>
  <c r="M3848" i="4"/>
  <c r="L3848" i="4"/>
  <c r="M3850" i="4"/>
  <c r="L3850" i="4"/>
  <c r="M3852" i="4"/>
  <c r="L3852" i="4"/>
  <c r="M3854" i="4"/>
  <c r="L3854" i="4"/>
  <c r="M3856" i="4"/>
  <c r="L3856" i="4"/>
  <c r="M3858" i="4"/>
  <c r="L3858" i="4"/>
  <c r="M3860" i="4"/>
  <c r="L3860" i="4"/>
  <c r="M3862" i="4"/>
  <c r="L3862" i="4"/>
  <c r="M3864" i="4"/>
  <c r="L3864" i="4"/>
  <c r="M3866" i="4"/>
  <c r="L3866" i="4"/>
  <c r="M3868" i="4"/>
  <c r="L3868" i="4"/>
  <c r="M3870" i="4"/>
  <c r="L3870" i="4"/>
  <c r="M3872" i="4"/>
  <c r="L3872" i="4"/>
  <c r="M3874" i="4"/>
  <c r="L3874" i="4"/>
  <c r="M3876" i="4"/>
  <c r="L3876" i="4"/>
  <c r="M3878" i="4"/>
  <c r="L3878" i="4"/>
  <c r="M3880" i="4"/>
  <c r="L3880" i="4"/>
  <c r="M3882" i="4"/>
  <c r="L3882" i="4"/>
  <c r="M3884" i="4"/>
  <c r="L3884" i="4"/>
  <c r="M3886" i="4"/>
  <c r="L3886" i="4"/>
  <c r="M3888" i="4"/>
  <c r="L3888" i="4"/>
  <c r="M3890" i="4"/>
  <c r="L3890" i="4"/>
  <c r="M3892" i="4"/>
  <c r="L3892" i="4"/>
  <c r="M3894" i="4"/>
  <c r="L3894" i="4"/>
  <c r="M3896" i="4"/>
  <c r="L3896" i="4"/>
  <c r="M3898" i="4"/>
  <c r="L3898" i="4"/>
  <c r="M3900" i="4"/>
  <c r="L3900" i="4"/>
  <c r="M3902" i="4"/>
  <c r="L3902" i="4"/>
  <c r="M3904" i="4"/>
  <c r="L3904" i="4"/>
  <c r="M3906" i="4"/>
  <c r="L3906" i="4"/>
  <c r="M3908" i="4"/>
  <c r="L3908" i="4"/>
  <c r="M3721" i="4"/>
  <c r="L3721" i="4"/>
  <c r="M3723" i="4"/>
  <c r="L3723" i="4"/>
  <c r="M3725" i="4"/>
  <c r="L3725" i="4"/>
  <c r="M3727" i="4"/>
  <c r="L3727" i="4"/>
  <c r="M3729" i="4"/>
  <c r="L3729" i="4"/>
  <c r="M3731" i="4"/>
  <c r="L3731" i="4"/>
  <c r="M3733" i="4"/>
  <c r="L3733" i="4"/>
  <c r="M3735" i="4"/>
  <c r="L3735" i="4"/>
  <c r="M3737" i="4"/>
  <c r="L3737" i="4"/>
  <c r="M3739" i="4"/>
  <c r="L3739" i="4"/>
  <c r="M3741" i="4"/>
  <c r="L3741" i="4"/>
  <c r="M3743" i="4"/>
  <c r="L3743" i="4"/>
  <c r="M3745" i="4"/>
  <c r="L3745" i="4"/>
  <c r="M3747" i="4"/>
  <c r="L3747" i="4"/>
  <c r="M3749" i="4"/>
  <c r="L3749" i="4"/>
  <c r="M3751" i="4"/>
  <c r="L3751" i="4"/>
  <c r="M3753" i="4"/>
  <c r="L3753" i="4"/>
  <c r="M3755" i="4"/>
  <c r="L3755" i="4"/>
  <c r="M3757" i="4"/>
  <c r="L3757" i="4"/>
  <c r="M3759" i="4"/>
  <c r="L3759" i="4"/>
  <c r="M3761" i="4"/>
  <c r="L3761" i="4"/>
  <c r="M3763" i="4"/>
  <c r="L3763" i="4"/>
  <c r="M3765" i="4"/>
  <c r="L3765" i="4"/>
  <c r="M3767" i="4"/>
  <c r="L3767" i="4"/>
  <c r="M3769" i="4"/>
  <c r="L3769" i="4"/>
  <c r="M3771" i="4"/>
  <c r="L3771" i="4"/>
  <c r="M3773" i="4"/>
  <c r="L3773" i="4"/>
  <c r="M3775" i="4"/>
  <c r="L3775" i="4"/>
  <c r="M3777" i="4"/>
  <c r="L3777" i="4"/>
  <c r="M3779" i="4"/>
  <c r="L3779" i="4"/>
  <c r="M3781" i="4"/>
  <c r="L3781" i="4"/>
  <c r="M3783" i="4"/>
  <c r="L3783" i="4"/>
  <c r="M3785" i="4"/>
  <c r="L3785" i="4"/>
  <c r="M3787" i="4"/>
  <c r="L3787" i="4"/>
  <c r="M3789" i="4"/>
  <c r="L3789" i="4"/>
  <c r="M3791" i="4"/>
  <c r="L3791" i="4"/>
  <c r="M3793" i="4"/>
  <c r="L3793" i="4"/>
  <c r="M3795" i="4"/>
  <c r="L3795" i="4"/>
  <c r="M3797" i="4"/>
  <c r="L3797" i="4"/>
  <c r="M3799" i="4"/>
  <c r="L3799" i="4"/>
  <c r="M3801" i="4"/>
  <c r="L3801" i="4"/>
  <c r="M3803" i="4"/>
  <c r="L3803" i="4"/>
  <c r="M3805" i="4"/>
  <c r="L3805" i="4"/>
  <c r="M3807" i="4"/>
  <c r="L3807" i="4"/>
  <c r="M3809" i="4"/>
  <c r="L3809" i="4"/>
  <c r="M3811" i="4"/>
  <c r="L3811" i="4"/>
  <c r="M3813" i="4"/>
  <c r="L3813" i="4"/>
  <c r="M3815" i="4"/>
  <c r="L3815" i="4"/>
  <c r="M3817" i="4"/>
  <c r="L3817" i="4"/>
  <c r="M3819" i="4"/>
  <c r="L3819" i="4"/>
  <c r="M3821" i="4"/>
  <c r="L3821" i="4"/>
  <c r="M3823" i="4"/>
  <c r="L3823" i="4"/>
  <c r="M3825" i="4"/>
  <c r="L3825" i="4"/>
  <c r="M3827" i="4"/>
  <c r="L3827" i="4"/>
  <c r="M3829" i="4"/>
  <c r="L3829" i="4"/>
  <c r="M3831" i="4"/>
  <c r="L3831" i="4"/>
  <c r="M3833" i="4"/>
  <c r="L3833" i="4"/>
  <c r="M3835" i="4"/>
  <c r="L3835" i="4"/>
  <c r="M3837" i="4"/>
  <c r="L3837" i="4"/>
  <c r="M3839" i="4"/>
  <c r="L3839" i="4"/>
  <c r="M3841" i="4"/>
  <c r="L3841" i="4"/>
  <c r="M3845" i="4"/>
  <c r="L3845" i="4"/>
  <c r="L3818" i="4"/>
  <c r="L3754" i="4"/>
  <c r="L3802" i="4"/>
  <c r="L3738" i="4"/>
  <c r="M3726" i="4"/>
  <c r="L3726" i="4"/>
  <c r="M3730" i="4"/>
  <c r="L3730" i="4"/>
  <c r="M3734" i="4"/>
  <c r="L3734" i="4"/>
  <c r="M3742" i="4"/>
  <c r="L3742" i="4"/>
  <c r="M3746" i="4"/>
  <c r="L3746" i="4"/>
  <c r="M3750" i="4"/>
  <c r="L3750" i="4"/>
  <c r="M3758" i="4"/>
  <c r="L3758" i="4"/>
  <c r="M3762" i="4"/>
  <c r="L3762" i="4"/>
  <c r="M3766" i="4"/>
  <c r="L3766" i="4"/>
  <c r="M3774" i="4"/>
  <c r="L3774" i="4"/>
  <c r="M3778" i="4"/>
  <c r="L3778" i="4"/>
  <c r="M3782" i="4"/>
  <c r="L3782" i="4"/>
  <c r="M3790" i="4"/>
  <c r="L3790" i="4"/>
  <c r="M3794" i="4"/>
  <c r="L3794" i="4"/>
  <c r="M3798" i="4"/>
  <c r="L3798" i="4"/>
  <c r="M3806" i="4"/>
  <c r="L3806" i="4"/>
  <c r="M3810" i="4"/>
  <c r="L3810" i="4"/>
  <c r="M3814" i="4"/>
  <c r="L3814" i="4"/>
  <c r="M3822" i="4"/>
  <c r="L3822" i="4"/>
  <c r="M3826" i="4"/>
  <c r="L3826" i="4"/>
  <c r="M3830" i="4"/>
  <c r="L3830" i="4"/>
  <c r="M3838" i="4"/>
  <c r="L3838" i="4"/>
  <c r="M3842" i="4"/>
  <c r="L3842" i="4"/>
  <c r="L3843" i="4"/>
  <c r="L3786" i="4"/>
  <c r="L3722" i="4"/>
  <c r="L3834" i="4"/>
  <c r="L3770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M3655" i="4"/>
  <c r="M3659" i="4"/>
  <c r="L3665" i="4"/>
  <c r="L3669" i="4"/>
  <c r="L3673" i="4"/>
  <c r="L3677" i="4"/>
  <c r="L3681" i="4"/>
  <c r="L3685" i="4"/>
  <c r="M3688" i="4"/>
  <c r="M3689" i="4"/>
  <c r="M3697" i="4"/>
  <c r="M3705" i="4"/>
  <c r="M3713" i="4"/>
  <c r="M3716" i="4"/>
  <c r="M3676" i="4" l="1"/>
  <c r="L3676" i="4"/>
  <c r="M3668" i="4"/>
  <c r="L3668" i="4"/>
  <c r="M3712" i="4"/>
  <c r="M3680" i="4"/>
  <c r="L3680" i="4"/>
  <c r="M3684" i="4"/>
  <c r="L3684" i="4"/>
  <c r="M3704" i="4"/>
  <c r="M3672" i="4"/>
  <c r="L3672" i="4"/>
  <c r="M3664" i="4"/>
  <c r="L3664" i="4"/>
  <c r="M3720" i="4"/>
  <c r="M3696" i="4"/>
  <c r="L3688" i="4"/>
  <c r="M3717" i="4"/>
  <c r="M3708" i="4"/>
  <c r="M3693" i="4"/>
  <c r="M3700" i="4"/>
  <c r="M3709" i="4"/>
  <c r="M3692" i="4"/>
  <c r="M3701" i="4"/>
  <c r="L3689" i="4"/>
  <c r="L3658" i="4"/>
  <c r="M3658" i="4"/>
  <c r="M3719" i="4"/>
  <c r="M3703" i="4"/>
  <c r="M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657" i="4"/>
  <c r="M3657" i="4"/>
  <c r="M3715" i="4"/>
  <c r="M3707" i="4"/>
  <c r="M3699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P3548" i="4" s="1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K3556" i="4"/>
  <c r="K3557" i="4"/>
  <c r="L3557" i="4" s="1"/>
  <c r="K3558" i="4"/>
  <c r="K3559" i="4"/>
  <c r="K3560" i="4"/>
  <c r="K3561" i="4"/>
  <c r="L3561" i="4" s="1"/>
  <c r="K3562" i="4"/>
  <c r="K3563" i="4"/>
  <c r="K3564" i="4"/>
  <c r="K3565" i="4"/>
  <c r="L3565" i="4" s="1"/>
  <c r="K3566" i="4"/>
  <c r="K3567" i="4"/>
  <c r="L3567" i="4" s="1"/>
  <c r="K3568" i="4"/>
  <c r="K3569" i="4"/>
  <c r="L3569" i="4" s="1"/>
  <c r="K3570" i="4"/>
  <c r="K3571" i="4"/>
  <c r="K3572" i="4"/>
  <c r="K3573" i="4"/>
  <c r="L3573" i="4" s="1"/>
  <c r="K3574" i="4"/>
  <c r="K3575" i="4"/>
  <c r="L3575" i="4" s="1"/>
  <c r="K3576" i="4"/>
  <c r="K3577" i="4"/>
  <c r="L3577" i="4" s="1"/>
  <c r="K3578" i="4"/>
  <c r="K3579" i="4"/>
  <c r="K3580" i="4"/>
  <c r="K3581" i="4"/>
  <c r="L3581" i="4" s="1"/>
  <c r="K3582" i="4"/>
  <c r="K3583" i="4"/>
  <c r="K3584" i="4"/>
  <c r="K3585" i="4"/>
  <c r="L3585" i="4" s="1"/>
  <c r="K3586" i="4"/>
  <c r="K3587" i="4"/>
  <c r="K3588" i="4"/>
  <c r="K3589" i="4"/>
  <c r="L3589" i="4" s="1"/>
  <c r="K3590" i="4"/>
  <c r="K3591" i="4"/>
  <c r="K3592" i="4"/>
  <c r="M3592" i="4" s="1"/>
  <c r="K3593" i="4"/>
  <c r="L3593" i="4" s="1"/>
  <c r="K3594" i="4"/>
  <c r="K3595" i="4"/>
  <c r="K3596" i="4"/>
  <c r="M3596" i="4" s="1"/>
  <c r="K3597" i="4"/>
  <c r="L3597" i="4" s="1"/>
  <c r="K3598" i="4"/>
  <c r="K3599" i="4"/>
  <c r="K3600" i="4"/>
  <c r="K3601" i="4"/>
  <c r="L3601" i="4" s="1"/>
  <c r="K3602" i="4"/>
  <c r="K3603" i="4"/>
  <c r="K3604" i="4"/>
  <c r="K3605" i="4"/>
  <c r="L3605" i="4" s="1"/>
  <c r="K3606" i="4"/>
  <c r="K3607" i="4"/>
  <c r="M3607" i="4" s="1"/>
  <c r="K3608" i="4"/>
  <c r="L3608" i="4" s="1"/>
  <c r="K3609" i="4"/>
  <c r="K3610" i="4"/>
  <c r="L3612" i="4"/>
  <c r="L3616" i="4"/>
  <c r="L3620" i="4"/>
  <c r="M3623" i="4"/>
  <c r="L3624" i="4"/>
  <c r="L3628" i="4"/>
  <c r="L3630" i="4"/>
  <c r="L3632" i="4"/>
  <c r="L3634" i="4"/>
  <c r="L3636" i="4"/>
  <c r="L3640" i="4"/>
  <c r="L3644" i="4"/>
  <c r="L3646" i="4"/>
  <c r="L3648" i="4"/>
  <c r="P3650" i="4"/>
  <c r="P3649" i="4"/>
  <c r="P3648" i="4"/>
  <c r="P3647" i="4"/>
  <c r="P3646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2" i="4"/>
  <c r="P3601" i="4"/>
  <c r="P3600" i="4"/>
  <c r="P3599" i="4"/>
  <c r="P3598" i="4"/>
  <c r="P3597" i="4"/>
  <c r="P3596" i="4"/>
  <c r="P3595" i="4"/>
  <c r="P3594" i="4"/>
  <c r="P3593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0" i="4"/>
  <c r="P3559" i="4"/>
  <c r="P3558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K3439" i="4"/>
  <c r="M3439" i="4" s="1"/>
  <c r="K3440" i="4"/>
  <c r="K3441" i="4"/>
  <c r="K3442" i="4"/>
  <c r="K3443" i="4"/>
  <c r="M3443" i="4" s="1"/>
  <c r="K3444" i="4"/>
  <c r="K3445" i="4"/>
  <c r="K3446" i="4"/>
  <c r="L3446" i="4" s="1"/>
  <c r="K3447" i="4"/>
  <c r="M3447" i="4" s="1"/>
  <c r="K3448" i="4"/>
  <c r="K3449" i="4"/>
  <c r="K3450" i="4"/>
  <c r="L3450" i="4" s="1"/>
  <c r="K3451" i="4"/>
  <c r="M3451" i="4" s="1"/>
  <c r="K3452" i="4"/>
  <c r="K3453" i="4"/>
  <c r="K3454" i="4"/>
  <c r="K3455" i="4"/>
  <c r="M3455" i="4" s="1"/>
  <c r="K3456" i="4"/>
  <c r="K3457" i="4"/>
  <c r="K3458" i="4"/>
  <c r="K3459" i="4"/>
  <c r="M3459" i="4" s="1"/>
  <c r="K3460" i="4"/>
  <c r="K3461" i="4"/>
  <c r="K3462" i="4"/>
  <c r="K3463" i="4"/>
  <c r="M3463" i="4" s="1"/>
  <c r="K3464" i="4"/>
  <c r="K3465" i="4"/>
  <c r="K3466" i="4"/>
  <c r="L3466" i="4" s="1"/>
  <c r="K3467" i="4"/>
  <c r="M3467" i="4" s="1"/>
  <c r="K3468" i="4"/>
  <c r="K3469" i="4"/>
  <c r="K3470" i="4"/>
  <c r="L3470" i="4" s="1"/>
  <c r="K3471" i="4"/>
  <c r="M3471" i="4" s="1"/>
  <c r="K3472" i="4"/>
  <c r="K3473" i="4"/>
  <c r="K3474" i="4"/>
  <c r="K3475" i="4"/>
  <c r="M3475" i="4" s="1"/>
  <c r="K3476" i="4"/>
  <c r="K3477" i="4"/>
  <c r="K3478" i="4"/>
  <c r="L3478" i="4" s="1"/>
  <c r="K3479" i="4"/>
  <c r="M3479" i="4" s="1"/>
  <c r="K3480" i="4"/>
  <c r="K3481" i="4"/>
  <c r="K3482" i="4"/>
  <c r="K3483" i="4"/>
  <c r="M3483" i="4" s="1"/>
  <c r="K3484" i="4"/>
  <c r="K3485" i="4"/>
  <c r="K3486" i="4"/>
  <c r="L3486" i="4" s="1"/>
  <c r="K3487" i="4"/>
  <c r="M3487" i="4" s="1"/>
  <c r="K3488" i="4"/>
  <c r="K3489" i="4"/>
  <c r="K3490" i="4"/>
  <c r="K3491" i="4"/>
  <c r="M3491" i="4" s="1"/>
  <c r="K3492" i="4"/>
  <c r="K3493" i="4"/>
  <c r="K3494" i="4"/>
  <c r="L3494" i="4" s="1"/>
  <c r="K3495" i="4"/>
  <c r="M3495" i="4" s="1"/>
  <c r="K3496" i="4"/>
  <c r="K3497" i="4"/>
  <c r="K3498" i="4"/>
  <c r="K3499" i="4"/>
  <c r="M3499" i="4" s="1"/>
  <c r="K3500" i="4"/>
  <c r="K3501" i="4"/>
  <c r="L3501" i="4" s="1"/>
  <c r="K3502" i="4"/>
  <c r="K3503" i="4"/>
  <c r="M3503" i="4" s="1"/>
  <c r="K3504" i="4"/>
  <c r="K3505" i="4"/>
  <c r="L3505" i="4" s="1"/>
  <c r="K3506" i="4"/>
  <c r="K3507" i="4"/>
  <c r="M3507" i="4" s="1"/>
  <c r="K3508" i="4"/>
  <c r="K3509" i="4"/>
  <c r="L3509" i="4" s="1"/>
  <c r="K3510" i="4"/>
  <c r="K3511" i="4"/>
  <c r="M3511" i="4" s="1"/>
  <c r="K3512" i="4"/>
  <c r="K3513" i="4"/>
  <c r="L3513" i="4" s="1"/>
  <c r="K3514" i="4"/>
  <c r="K3515" i="4"/>
  <c r="M3515" i="4" s="1"/>
  <c r="K3516" i="4"/>
  <c r="K3517" i="4"/>
  <c r="L3517" i="4" s="1"/>
  <c r="K3518" i="4"/>
  <c r="L3518" i="4" s="1"/>
  <c r="K3519" i="4"/>
  <c r="M3519" i="4" s="1"/>
  <c r="K3520" i="4"/>
  <c r="K3521" i="4"/>
  <c r="L3521" i="4" s="1"/>
  <c r="K3522" i="4"/>
  <c r="L3522" i="4" s="1"/>
  <c r="K3523" i="4"/>
  <c r="K3524" i="4"/>
  <c r="K3525" i="4"/>
  <c r="L3525" i="4" s="1"/>
  <c r="K3526" i="4"/>
  <c r="K3527" i="4"/>
  <c r="M3527" i="4" s="1"/>
  <c r="K3528" i="4"/>
  <c r="K3529" i="4"/>
  <c r="L3529" i="4" s="1"/>
  <c r="K3530" i="4"/>
  <c r="K3531" i="4"/>
  <c r="M3531" i="4" s="1"/>
  <c r="K3532" i="4"/>
  <c r="K3533" i="4"/>
  <c r="L3533" i="4" s="1"/>
  <c r="K3534" i="4"/>
  <c r="K3535" i="4"/>
  <c r="M3535" i="4" s="1"/>
  <c r="K3536" i="4"/>
  <c r="K3537" i="4"/>
  <c r="L3537" i="4" s="1"/>
  <c r="K3538" i="4"/>
  <c r="K3539" i="4"/>
  <c r="M3539" i="4" s="1"/>
  <c r="K3540" i="4"/>
  <c r="K3541" i="4"/>
  <c r="L3541" i="4" s="1"/>
  <c r="K3542" i="4"/>
  <c r="K3543" i="4"/>
  <c r="M3543" i="4" s="1"/>
  <c r="K3544" i="4"/>
  <c r="K3545" i="4"/>
  <c r="L3545" i="4" s="1"/>
  <c r="K3546" i="4"/>
  <c r="K3547" i="4"/>
  <c r="M3547" i="4" s="1"/>
  <c r="K3548" i="4"/>
  <c r="K3549" i="4"/>
  <c r="L3549" i="4" s="1"/>
  <c r="K3550" i="4"/>
  <c r="K3551" i="4"/>
  <c r="M3551" i="4" s="1"/>
  <c r="K3552" i="4"/>
  <c r="M3552" i="4" s="1"/>
  <c r="K3553" i="4"/>
  <c r="L3553" i="4" s="1"/>
  <c r="K3554" i="4"/>
  <c r="K3555" i="4"/>
  <c r="L3555" i="4" s="1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L3439" i="4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P3437" i="4"/>
  <c r="K3437" i="4"/>
  <c r="M3437" i="4" s="1"/>
  <c r="P3436" i="4"/>
  <c r="K3436" i="4"/>
  <c r="P3435" i="4"/>
  <c r="K3435" i="4"/>
  <c r="P3434" i="4"/>
  <c r="K3434" i="4"/>
  <c r="L3434" i="4" s="1"/>
  <c r="P3433" i="4"/>
  <c r="K3433" i="4"/>
  <c r="P3432" i="4"/>
  <c r="K3432" i="4"/>
  <c r="P3431" i="4"/>
  <c r="K3431" i="4"/>
  <c r="P3430" i="4"/>
  <c r="K3430" i="4"/>
  <c r="L3430" i="4" s="1"/>
  <c r="K3429" i="4"/>
  <c r="K3428" i="4"/>
  <c r="P3427" i="4"/>
  <c r="K3427" i="4"/>
  <c r="P3426" i="4"/>
  <c r="K3426" i="4"/>
  <c r="L3426" i="4" s="1"/>
  <c r="P3425" i="4"/>
  <c r="K3425" i="4"/>
  <c r="P3424" i="4"/>
  <c r="K3424" i="4"/>
  <c r="P3423" i="4"/>
  <c r="K3423" i="4"/>
  <c r="P3422" i="4"/>
  <c r="K3422" i="4"/>
  <c r="L3422" i="4" s="1"/>
  <c r="P3421" i="4"/>
  <c r="K3421" i="4"/>
  <c r="P3420" i="4"/>
  <c r="K3420" i="4"/>
  <c r="P3419" i="4"/>
  <c r="K3419" i="4"/>
  <c r="K3418" i="4"/>
  <c r="L3418" i="4" s="1"/>
  <c r="K3417" i="4"/>
  <c r="M3417" i="4" s="1"/>
  <c r="K3416" i="4"/>
  <c r="K3415" i="4"/>
  <c r="K3414" i="4"/>
  <c r="L3414" i="4" s="1"/>
  <c r="K3413" i="4"/>
  <c r="K3412" i="4"/>
  <c r="K3411" i="4"/>
  <c r="K3410" i="4"/>
  <c r="L3410" i="4" s="1"/>
  <c r="K3409" i="4"/>
  <c r="P3408" i="4"/>
  <c r="K3408" i="4"/>
  <c r="P3407" i="4"/>
  <c r="K3407" i="4"/>
  <c r="P3406" i="4"/>
  <c r="K3406" i="4"/>
  <c r="L3406" i="4" s="1"/>
  <c r="P3405" i="4"/>
  <c r="K3405" i="4"/>
  <c r="P3404" i="4"/>
  <c r="K3404" i="4"/>
  <c r="P3403" i="4"/>
  <c r="K3403" i="4"/>
  <c r="P3402" i="4"/>
  <c r="K3402" i="4"/>
  <c r="L3402" i="4" s="1"/>
  <c r="P3401" i="4"/>
  <c r="K3401" i="4"/>
  <c r="M3401" i="4" s="1"/>
  <c r="P3400" i="4"/>
  <c r="K3400" i="4"/>
  <c r="P3399" i="4"/>
  <c r="K3399" i="4"/>
  <c r="P3398" i="4"/>
  <c r="K3398" i="4"/>
  <c r="L3398" i="4" s="1"/>
  <c r="P3397" i="4"/>
  <c r="K3397" i="4"/>
  <c r="M3397" i="4" s="1"/>
  <c r="P3396" i="4"/>
  <c r="K3396" i="4"/>
  <c r="P3395" i="4"/>
  <c r="K3395" i="4"/>
  <c r="P3394" i="4"/>
  <c r="K3394" i="4"/>
  <c r="L3394" i="4" s="1"/>
  <c r="K3393" i="4"/>
  <c r="M3393" i="4" s="1"/>
  <c r="P3392" i="4"/>
  <c r="K3392" i="4"/>
  <c r="P3391" i="4"/>
  <c r="K3391" i="4"/>
  <c r="P3390" i="4"/>
  <c r="K3390" i="4"/>
  <c r="L3390" i="4" s="1"/>
  <c r="P3389" i="4"/>
  <c r="K3389" i="4"/>
  <c r="M3389" i="4" s="1"/>
  <c r="P3388" i="4"/>
  <c r="K3388" i="4"/>
  <c r="K3387" i="4"/>
  <c r="K3386" i="4"/>
  <c r="L3386" i="4" s="1"/>
  <c r="K3385" i="4"/>
  <c r="K3384" i="4"/>
  <c r="P3383" i="4"/>
  <c r="K3383" i="4"/>
  <c r="P3382" i="4"/>
  <c r="K3382" i="4"/>
  <c r="L3382" i="4" s="1"/>
  <c r="P3381" i="4"/>
  <c r="K3381" i="4"/>
  <c r="P3380" i="4"/>
  <c r="K3380" i="4"/>
  <c r="P3379" i="4"/>
  <c r="K3379" i="4"/>
  <c r="P3378" i="4"/>
  <c r="K3378" i="4"/>
  <c r="L3378" i="4" s="1"/>
  <c r="P3377" i="4"/>
  <c r="K3377" i="4"/>
  <c r="P3376" i="4"/>
  <c r="K3376" i="4"/>
  <c r="P3375" i="4"/>
  <c r="K3375" i="4"/>
  <c r="P3374" i="4"/>
  <c r="K3374" i="4"/>
  <c r="L3374" i="4" s="1"/>
  <c r="P3373" i="4"/>
  <c r="K3373" i="4"/>
  <c r="P3372" i="4"/>
  <c r="K3372" i="4"/>
  <c r="P3371" i="4"/>
  <c r="K3371" i="4"/>
  <c r="P3370" i="4"/>
  <c r="K3370" i="4"/>
  <c r="L3370" i="4" s="1"/>
  <c r="P3369" i="4"/>
  <c r="K3369" i="4"/>
  <c r="P3368" i="4"/>
  <c r="K3368" i="4"/>
  <c r="K3367" i="4"/>
  <c r="K3366" i="4"/>
  <c r="K3365" i="4"/>
  <c r="K3364" i="4"/>
  <c r="P3363" i="4"/>
  <c r="K3363" i="4"/>
  <c r="P3362" i="4"/>
  <c r="K3362" i="4"/>
  <c r="M3362" i="4" s="1"/>
  <c r="P3361" i="4"/>
  <c r="K3361" i="4"/>
  <c r="P3360" i="4"/>
  <c r="K3360" i="4"/>
  <c r="P3359" i="4"/>
  <c r="K3359" i="4"/>
  <c r="P3358" i="4"/>
  <c r="K3358" i="4"/>
  <c r="L3358" i="4" s="1"/>
  <c r="P3357" i="4"/>
  <c r="K3357" i="4"/>
  <c r="M3357" i="4" s="1"/>
  <c r="K3356" i="4"/>
  <c r="K3355" i="4"/>
  <c r="L3355" i="4" s="1"/>
  <c r="K3354" i="4"/>
  <c r="L3354" i="4" s="1"/>
  <c r="K3353" i="4"/>
  <c r="M3353" i="4" s="1"/>
  <c r="K3352" i="4"/>
  <c r="K3351" i="4"/>
  <c r="K3350" i="4"/>
  <c r="K3349" i="4"/>
  <c r="L3349" i="4" s="1"/>
  <c r="P3348" i="4"/>
  <c r="K3348" i="4"/>
  <c r="P3347" i="4"/>
  <c r="K3347" i="4"/>
  <c r="P3346" i="4"/>
  <c r="K3346" i="4"/>
  <c r="P3345" i="4"/>
  <c r="K3345" i="4"/>
  <c r="L3345" i="4" s="1"/>
  <c r="P3344" i="4"/>
  <c r="K3344" i="4"/>
  <c r="P3343" i="4"/>
  <c r="K3343" i="4"/>
  <c r="K3342" i="4"/>
  <c r="K3341" i="4"/>
  <c r="M3341" i="4" s="1"/>
  <c r="K3340" i="4"/>
  <c r="P3339" i="4"/>
  <c r="K3339" i="4"/>
  <c r="P3338" i="4"/>
  <c r="K3338" i="4"/>
  <c r="P3337" i="4"/>
  <c r="K3337" i="4"/>
  <c r="M3337" i="4" s="1"/>
  <c r="P3336" i="4"/>
  <c r="K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M3374" i="4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Q3331" i="4" l="1"/>
  <c r="Q3309" i="4"/>
  <c r="P2460" i="4"/>
  <c r="O2459" i="4"/>
  <c r="P2459" i="4" s="1"/>
  <c r="Q3310" i="4" l="1"/>
  <c r="Q3332" i="4"/>
  <c r="O2428" i="4"/>
  <c r="P2428" i="4" s="1"/>
  <c r="O2427" i="4"/>
  <c r="P2427" i="4" s="1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O2242" i="4" l="1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P2259" i="4" l="1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04" i="4"/>
  <c r="P2183" i="4"/>
  <c r="P2178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P1826" i="4"/>
  <c r="P1827" i="4"/>
  <c r="P1828" i="4"/>
  <c r="P1829" i="4"/>
  <c r="P1830" i="4"/>
  <c r="P1831" i="4"/>
  <c r="P1832" i="4"/>
  <c r="P1833" i="4"/>
  <c r="P1834" i="4"/>
  <c r="P1835" i="4"/>
  <c r="P1836" i="4"/>
  <c r="P1823" i="4"/>
  <c r="P1821" i="4"/>
  <c r="P1819" i="4"/>
  <c r="P1809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49" i="4"/>
  <c r="P1748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P1730" i="4"/>
  <c r="P1731" i="4"/>
  <c r="P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578" i="4" l="1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P1496" i="4"/>
  <c r="P1497" i="4"/>
  <c r="P1498" i="4"/>
  <c r="P1499" i="4"/>
  <c r="P1500" i="4"/>
  <c r="P1501" i="4"/>
  <c r="P1502" i="4"/>
  <c r="P1503" i="4"/>
  <c r="P1504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363" i="4" l="1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P1327" i="4" l="1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P1319" i="4"/>
  <c r="P1320" i="4"/>
  <c r="P1321" i="4"/>
  <c r="P1322" i="4"/>
  <c r="P1323" i="4"/>
  <c r="P1324" i="4"/>
  <c r="P1325" i="4"/>
  <c r="P1326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O1196" i="4" l="1"/>
  <c r="P1196" i="4" s="1"/>
  <c r="O1195" i="4"/>
  <c r="P1195" i="4" s="1"/>
  <c r="O1194" i="4"/>
  <c r="P1194" i="4" s="1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40" i="4"/>
  <c r="P1141" i="4"/>
  <c r="P1142" i="4"/>
  <c r="P1143" i="4"/>
  <c r="P1144" i="4"/>
  <c r="P1145" i="4"/>
  <c r="P1146" i="4"/>
  <c r="P1147" i="4"/>
  <c r="P1148" i="4"/>
  <c r="P1149" i="4"/>
  <c r="P1150" i="4"/>
  <c r="P1132" i="4"/>
  <c r="P1133" i="4"/>
  <c r="P1134" i="4"/>
  <c r="P1135" i="4"/>
  <c r="P1136" i="4"/>
  <c r="P1137" i="4"/>
  <c r="P1138" i="4"/>
  <c r="P1139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P1031" i="4"/>
  <c r="P1032" i="4"/>
  <c r="P1033" i="4"/>
  <c r="P1034" i="4"/>
  <c r="P1035" i="4"/>
  <c r="P1036" i="4"/>
  <c r="P1037" i="4"/>
  <c r="P1038" i="4"/>
  <c r="P1039" i="4"/>
  <c r="P1040" i="4"/>
  <c r="P1041" i="4"/>
  <c r="P1018" i="4" l="1"/>
  <c r="P1017" i="4"/>
  <c r="P1009" i="4"/>
  <c r="P1002" i="4"/>
  <c r="P994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P978" i="4"/>
  <c r="P979" i="4"/>
  <c r="P980" i="4"/>
  <c r="P981" i="4"/>
  <c r="P982" i="4"/>
  <c r="P983" i="4"/>
  <c r="P984" i="4"/>
  <c r="P985" i="4"/>
  <c r="P986" i="4"/>
  <c r="P987" i="4"/>
  <c r="P970" i="4"/>
  <c r="P971" i="4"/>
  <c r="P972" i="4"/>
  <c r="P973" i="4"/>
  <c r="P974" i="4"/>
  <c r="P975" i="4"/>
  <c r="P976" i="4"/>
  <c r="P977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O925" i="4" l="1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P927" i="4"/>
  <c r="P928" i="4"/>
  <c r="P929" i="4"/>
  <c r="P913" i="4" l="1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P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O868" i="4" l="1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E153" i="7" l="1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29" i="4" l="1"/>
  <c r="P730" i="4"/>
  <c r="P732" i="4"/>
  <c r="P733" i="4"/>
  <c r="P724" i="4"/>
  <c r="P725" i="4"/>
  <c r="P726" i="4"/>
  <c r="P727" i="4"/>
  <c r="P728" i="4"/>
  <c r="P701" i="4" l="1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P684" i="4"/>
  <c r="P685" i="4"/>
  <c r="P686" i="4"/>
  <c r="P687" i="4"/>
  <c r="P681" i="4"/>
  <c r="P682" i="4"/>
  <c r="P683" i="4"/>
  <c r="P677" i="4"/>
  <c r="P678" i="4"/>
  <c r="P679" i="4"/>
  <c r="P680" i="4"/>
  <c r="E292" i="7"/>
  <c r="P672" i="4" l="1"/>
  <c r="P673" i="4"/>
  <c r="P674" i="4"/>
  <c r="P675" i="4"/>
  <c r="P676" i="4"/>
  <c r="O483" i="4" l="1"/>
  <c r="P669" i="4" l="1"/>
  <c r="P670" i="4"/>
  <c r="P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22" i="4" l="1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P609" i="4" l="1"/>
  <c r="P608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P581" i="4"/>
  <c r="P582" i="4"/>
  <c r="P583" i="4"/>
  <c r="P584" i="4"/>
  <c r="P585" i="4"/>
  <c r="P578" i="4" l="1"/>
  <c r="P576" i="4"/>
  <c r="P574" i="4"/>
  <c r="P575" i="4"/>
  <c r="P577" i="4"/>
  <c r="P579" i="4"/>
  <c r="P580" i="4"/>
  <c r="P571" i="4"/>
  <c r="P572" i="4"/>
  <c r="P573" i="4"/>
  <c r="P565" i="4"/>
  <c r="P566" i="4"/>
  <c r="P567" i="4"/>
  <c r="P568" i="4"/>
  <c r="P569" i="4"/>
  <c r="P570" i="4"/>
  <c r="P564" i="4" l="1"/>
  <c r="P563" i="4"/>
  <c r="P562" i="4"/>
  <c r="P561" i="4"/>
  <c r="P560" i="4"/>
  <c r="P559" i="4"/>
  <c r="P558" i="4"/>
  <c r="P554" i="4"/>
  <c r="P555" i="4"/>
  <c r="P556" i="4"/>
  <c r="P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P490" i="4" l="1"/>
  <c r="P489" i="4"/>
  <c r="P488" i="4"/>
  <c r="P487" i="4"/>
  <c r="P486" i="4"/>
  <c r="P485" i="4"/>
  <c r="P484" i="4"/>
  <c r="P483" i="4"/>
  <c r="P482" i="4"/>
  <c r="P481" i="4"/>
  <c r="P480" i="4"/>
  <c r="P479" i="4"/>
  <c r="P47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P367" i="4" l="1"/>
  <c r="P366" i="4"/>
  <c r="P365" i="4"/>
  <c r="P364" i="4"/>
  <c r="P363" i="4"/>
  <c r="P362" i="4" l="1"/>
  <c r="P361" i="4"/>
  <c r="P360" i="4"/>
  <c r="P359" i="4"/>
  <c r="P358" i="4"/>
  <c r="P357" i="4"/>
  <c r="P356" i="4"/>
  <c r="P355" i="4"/>
  <c r="P354" i="4"/>
  <c r="P353" i="4"/>
  <c r="P352" i="4" l="1"/>
  <c r="P351" i="4"/>
  <c r="P350" i="4"/>
  <c r="P349" i="4"/>
  <c r="P348" i="4"/>
  <c r="P347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P322" i="4"/>
  <c r="P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P315" i="4" l="1"/>
  <c r="P316" i="4"/>
  <c r="P317" i="4"/>
  <c r="P318" i="4"/>
  <c r="P319" i="4"/>
  <c r="P320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P295" i="4"/>
  <c r="P294" i="4"/>
  <c r="P293" i="4"/>
  <c r="E139" i="7"/>
  <c r="E136" i="7"/>
  <c r="P292" i="4" l="1"/>
  <c r="P291" i="4"/>
  <c r="P290" i="4"/>
  <c r="P289" i="4"/>
  <c r="P288" i="4"/>
  <c r="P287" i="4" l="1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E129" i="7" l="1"/>
  <c r="O178" i="4" l="1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O147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O148" i="4" l="1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O78" i="4"/>
  <c r="O79" i="4"/>
  <c r="O80" i="4"/>
  <c r="O81" i="4"/>
  <c r="O82" i="4"/>
  <c r="O83" i="4"/>
  <c r="O84" i="4"/>
  <c r="P207" i="4"/>
  <c r="P206" i="4"/>
  <c r="P205" i="4"/>
  <c r="P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O114" i="4" l="1"/>
  <c r="O115" i="4"/>
  <c r="O137" i="4"/>
  <c r="O134" i="4"/>
  <c r="O135" i="4"/>
  <c r="O136" i="4"/>
  <c r="P196" i="4" l="1"/>
  <c r="P193" i="4" l="1"/>
  <c r="P195" i="4"/>
  <c r="P194" i="4"/>
  <c r="P190" i="4"/>
  <c r="P188" i="4"/>
  <c r="P189" i="4"/>
  <c r="P191" i="4"/>
  <c r="P192" i="4"/>
  <c r="P184" i="4" l="1"/>
  <c r="P185" i="4"/>
  <c r="P186" i="4"/>
  <c r="P187" i="4"/>
  <c r="P181" i="4"/>
  <c r="P183" i="4"/>
  <c r="P182" i="4"/>
  <c r="O131" i="4" l="1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O176" i="4"/>
  <c r="P176" i="4" s="1"/>
  <c r="O175" i="4"/>
  <c r="P175" i="4" s="1"/>
  <c r="O174" i="4"/>
  <c r="P174" i="4" s="1"/>
  <c r="O173" i="4"/>
  <c r="P173" i="4" s="1"/>
  <c r="O172" i="4"/>
  <c r="P172" i="4" s="1"/>
  <c r="O171" i="4"/>
  <c r="P171" i="4" s="1"/>
  <c r="O170" i="4"/>
  <c r="P170" i="4" s="1"/>
  <c r="O169" i="4"/>
  <c r="P169" i="4" s="1"/>
  <c r="O168" i="4"/>
  <c r="P168" i="4" s="1"/>
  <c r="O167" i="4"/>
  <c r="P167" i="4" s="1"/>
  <c r="O166" i="4"/>
  <c r="P166" i="4" s="1"/>
  <c r="O165" i="4"/>
  <c r="P165" i="4" s="1"/>
  <c r="O164" i="4"/>
  <c r="P164" i="4" s="1"/>
  <c r="O163" i="4"/>
  <c r="P163" i="4" s="1"/>
  <c r="O162" i="4"/>
  <c r="P162" i="4" s="1"/>
  <c r="O161" i="4"/>
  <c r="P161" i="4" s="1"/>
  <c r="O160" i="4"/>
  <c r="P160" i="4" s="1"/>
  <c r="O159" i="4"/>
  <c r="P159" i="4" s="1"/>
  <c r="O158" i="4"/>
  <c r="P158" i="4" s="1"/>
  <c r="O157" i="4"/>
  <c r="P157" i="4" s="1"/>
  <c r="O156" i="4"/>
  <c r="P156" i="4" s="1"/>
  <c r="O155" i="4"/>
  <c r="P155" i="4" s="1"/>
  <c r="C2" i="4"/>
  <c r="P151" i="4" l="1"/>
  <c r="P152" i="4"/>
  <c r="P153" i="4"/>
  <c r="P154" i="4"/>
  <c r="P147" i="4" l="1"/>
  <c r="P145" i="4" l="1"/>
  <c r="P146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4233" i="4" l="1"/>
  <c r="O4237" i="4" s="1"/>
  <c r="O4240" i="4" s="1"/>
  <c r="P2" i="4"/>
  <c r="Q4233" i="4" l="1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4233" i="4" s="1"/>
  <c r="P1400" i="4"/>
  <c r="P2238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<sst xmlns="http://schemas.openxmlformats.org/spreadsheetml/2006/main" count="22554" uniqueCount="4078">
  <si>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</si>
  <si>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</si>
  <si>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</si>
  <si>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</si>
  <si>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</si>
  <si>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</si>
  <si>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</si>
  <si>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</si>
  <si>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</si>
  <si>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</si>
  <si>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</si>
  <si>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</si>
  <si>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</si>
  <si>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</si>
  <si>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</si>
  <si>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</si>
  <si>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</si>
  <si>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</si>
  <si>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</si>
  <si>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</si>
  <si>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</si>
  <si>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</si>
  <si>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</si>
  <si>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</si>
  <si>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</si>
  <si>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</si>
  <si>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</si>
  <si>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</si>
  <si>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</si>
  <si>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</si>
  <si>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</si>
  <si>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</si>
  <si>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</si>
  <si>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</si>
  <si>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</si>
  <si>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</si>
  <si>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</si>
  <si>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</si>
  <si>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</si>
  <si>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</si>
  <si>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</si>
  <si>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</si>
  <si>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</si>
  <si>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</si>
  <si>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</si>
  <si>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</si>
  <si>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</si>
  <si>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</si>
  <si>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</si>
  <si>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</si>
  <si>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</si>
  <si>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</si>
  <si>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</si>
  <si>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</si>
  <si>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</si>
  <si>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</si>
  <si>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</si>
  <si>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</si>
  <si>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</si>
  <si>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</si>
  <si>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</si>
  <si>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</si>
  <si>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</si>
  <si>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</si>
  <si>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</si>
  <si>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</si>
  <si>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</si>
  <si>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</si>
  <si>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</si>
  <si>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</si>
  <si>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</si>
  <si>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</si>
  <si>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</si>
  <si>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</si>
  <si>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</si>
  <si>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</si>
  <si>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</si>
  <si>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</si>
  <si>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</si>
  <si>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</si>
  <si>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</si>
  <si>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</si>
  <si>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</si>
  <si>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</si>
  <si>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</si>
  <si>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</si>
  <si>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</si>
  <si>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</si>
  <si>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</si>
  <si>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</si>
  <si>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</si>
  <si>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</si>
  <si>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</si>
  <si>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</si>
  <si>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</si>
  <si>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</si>
  <si>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</si>
  <si>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</si>
  <si>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</si>
  <si>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</si>
  <si>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</si>
  <si>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</si>
  <si>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</si>
  <si>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</si>
  <si>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</si>
  <si>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</si>
  <si>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</si>
  <si>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</si>
  <si>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</si>
  <si>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</si>
  <si>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</si>
  <si>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</si>
  <si>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</si>
  <si>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</si>
  <si>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</si>
  <si>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</si>
  <si>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</si>
  <si>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</si>
  <si>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</si>
  <si>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</si>
  <si>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</si>
  <si>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</si>
  <si>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</si>
  <si>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</si>
  <si>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</si>
  <si>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</si>
  <si>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</si>
  <si>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</si>
  <si>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</si>
  <si>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</si>
  <si>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</si>
  <si>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</si>
  <si>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</si>
  <si>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</si>
  <si>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</si>
  <si>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</si>
  <si>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</si>
  <si>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</si>
  <si>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</si>
  <si>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</si>
  <si>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</si>
  <si>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</si>
  <si>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</si>
  <si>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</si>
  <si>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</si>
  <si>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</si>
  <si>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</si>
  <si>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</si>
  <si>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</si>
  <si>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</si>
  <si>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</si>
  <si>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</si>
  <si>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</si>
  <si>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</si>
  <si>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</si>
  <si>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</si>
  <si>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</si>
  <si>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</si>
  <si>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</si>
  <si>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</si>
  <si>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</si>
  <si>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</si>
  <si>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</si>
  <si>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</si>
  <si>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</si>
  <si>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</si>
  <si>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</si>
  <si>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</si>
  <si>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</si>
  <si>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</si>
  <si>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</si>
  <si>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</si>
  <si>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</si>
  <si>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</si>
  <si>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</si>
  <si>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</si>
  <si>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</si>
  <si>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</si>
  <si>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</si>
  <si>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</si>
  <si>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</si>
  <si>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</si>
  <si>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</si>
  <si>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</si>
  <si>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</si>
  <si>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</si>
  <si>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</si>
  <si>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</si>
  <si>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</si>
  <si>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</si>
  <si>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</si>
  <si>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</si>
  <si>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</si>
  <si>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</si>
  <si>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</si>
  <si>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</si>
  <si>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</si>
  <si>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</si>
  <si>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</si>
  <si>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</si>
  <si>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</si>
  <si>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</si>
  <si>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</si>
  <si>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</si>
  <si>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</si>
  <si>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</si>
  <si>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</si>
  <si>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</si>
  <si>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</si>
  <si>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</si>
  <si>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</si>
  <si>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</si>
  <si>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</si>
  <si>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</si>
  <si>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</si>
  <si>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</si>
  <si>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</si>
  <si>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</si>
  <si>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</si>
  <si>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</si>
  <si>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</si>
  <si>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</si>
  <si>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</si>
  <si>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</si>
  <si>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</si>
  <si>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</si>
  <si>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</si>
  <si>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</si>
  <si>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</si>
  <si>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</si>
  <si>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</si>
  <si>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</si>
  <si>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</si>
  <si>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</si>
  <si>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</si>
  <si>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</si>
  <si>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</si>
  <si>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</si>
  <si>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</si>
  <si>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</si>
  <si>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</si>
  <si>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</si>
  <si>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</si>
  <si>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</si>
  <si>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</si>
  <si>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</si>
  <si>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</si>
  <si>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</si>
  <si>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</si>
  <si>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</si>
  <si>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</si>
  <si>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</si>
  <si>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</si>
  <si>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</si>
  <si>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</si>
  <si>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</si>
  <si>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</si>
  <si>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</si>
  <si>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</si>
  <si>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</si>
  <si>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</si>
  <si>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</si>
  <si>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</si>
  <si>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</si>
  <si>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</si>
  <si>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</si>
  <si>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</si>
  <si>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</si>
  <si>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</si>
  <si>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</si>
  <si>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</si>
  <si>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</si>
  <si>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</si>
  <si>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</si>
  <si>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</si>
  <si>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</si>
  <si>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</si>
  <si>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</si>
  <si>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</si>
  <si>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</si>
  <si>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</si>
  <si>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</si>
  <si>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</si>
  <si>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</si>
  <si>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</si>
  <si>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</si>
  <si>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</si>
  <si>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</si>
  <si>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</si>
  <si>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</si>
  <si>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</si>
  <si>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</si>
  <si>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</si>
  <si>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</si>
  <si>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</si>
  <si>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</si>
  <si>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</si>
  <si>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</si>
  <si>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</si>
  <si>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</si>
  <si>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</si>
  <si>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</si>
  <si>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</si>
  <si>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</si>
  <si>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</si>
  <si>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</si>
  <si>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</si>
  <si>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</si>
  <si>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</si>
  <si>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</si>
  <si>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</si>
  <si>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</si>
  <si>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</si>
  <si>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</si>
  <si>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</si>
  <si>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</si>
  <si>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</si>
  <si>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</si>
  <si>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</si>
  <si>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</si>
  <si>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</si>
  <si>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</si>
  <si>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</si>
  <si>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</si>
  <si>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</si>
  <si>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</si>
  <si>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</si>
  <si>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</si>
  <si>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</si>
  <si>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</si>
  <si>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</si>
  <si>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</si>
  <si>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</si>
  <si>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</si>
  <si>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</si>
  <si>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</si>
  <si>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</si>
  <si>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</si>
  <si>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</si>
  <si>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</si>
  <si>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</si>
  <si>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</si>
  <si>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</si>
  <si>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</si>
  <si>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</si>
  <si>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</si>
  <si>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</si>
  <si>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</si>
  <si>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</si>
  <si>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</si>
  <si>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</si>
  <si>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</si>
  <si>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</si>
  <si>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</si>
  <si>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</si>
  <si>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</si>
  <si>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</si>
  <si>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</si>
  <si>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</si>
  <si>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</si>
  <si>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</si>
  <si>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</si>
  <si>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</si>
  <si>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</si>
  <si>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</si>
  <si>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</si>
  <si>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</si>
  <si>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</si>
  <si>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</si>
  <si>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</si>
  <si>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</si>
  <si>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</si>
  <si>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</si>
  <si>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</si>
  <si>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</si>
  <si>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</si>
  <si>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</si>
  <si>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</si>
  <si>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</si>
  <si>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</si>
  <si>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</si>
  <si>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</si>
  <si>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</si>
  <si>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</si>
  <si>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</si>
  <si>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</si>
  <si>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</si>
  <si>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</si>
  <si>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</si>
  <si>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</si>
  <si>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</si>
  <si>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</si>
  <si>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</si>
  <si>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</si>
  <si>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</si>
  <si>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</si>
  <si>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</si>
  <si>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</si>
  <si>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</si>
  <si>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</si>
  <si>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</si>
  <si>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</si>
  <si>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</si>
  <si>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</si>
  <si>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</si>
  <si>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</si>
  <si>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</si>
  <si>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</si>
  <si>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</si>
  <si>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</si>
  <si>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</si>
  <si>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</si>
  <si>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</si>
  <si>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</si>
  <si>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</si>
  <si>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</si>
  <si>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</si>
  <si>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</si>
  <si>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</si>
  <si>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</si>
  <si>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</si>
  <si>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</si>
  <si>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</si>
  <si>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</si>
  <si>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</si>
  <si>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</si>
  <si>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</si>
  <si>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</si>
  <si>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</si>
  <si>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</si>
  <si>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</si>
  <si>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</si>
  <si>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</si>
  <si>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</si>
  <si>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</si>
  <si>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</si>
  <si>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</si>
  <si>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</si>
  <si>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</si>
  <si>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</si>
  <si>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</si>
  <si>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</si>
  <si>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</si>
  <si>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</si>
  <si>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</si>
  <si>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</si>
  <si>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</si>
  <si>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</si>
  <si>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</si>
  <si>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</si>
  <si>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</si>
  <si>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</si>
  <si>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</si>
  <si>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</si>
  <si>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</si>
  <si>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</si>
  <si>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</si>
  <si>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</si>
  <si>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</si>
  <si>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</si>
  <si>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</si>
  <si>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</si>
  <si>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</si>
  <si>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</si>
  <si>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</si>
  <si>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</si>
  <si>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</si>
  <si>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</si>
  <si>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</si>
  <si>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</si>
  <si>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</si>
  <si>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</si>
  <si>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</si>
  <si>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</si>
  <si>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</si>
  <si>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</si>
  <si>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</si>
  <si>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</si>
  <si>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</si>
  <si>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</si>
  <si>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</si>
  <si>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</si>
  <si>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</si>
  <si>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</si>
  <si>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</si>
  <si>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</si>
  <si>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</si>
  <si>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</si>
  <si>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</si>
  <si>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</si>
  <si>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</si>
  <si>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</si>
  <si>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</si>
  <si>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</si>
  <si>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</si>
  <si>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</si>
  <si>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</si>
  <si>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</si>
  <si>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</si>
  <si>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</si>
  <si>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</si>
  <si>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</si>
  <si>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</si>
  <si>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</si>
  <si>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</si>
  <si>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</si>
  <si>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</si>
  <si>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</si>
  <si>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</si>
  <si>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</si>
  <si>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</si>
  <si>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</si>
  <si>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</si>
  <si>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</si>
  <si>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</si>
  <si>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</si>
  <si>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</si>
  <si>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</si>
  <si>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</si>
  <si>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</si>
  <si>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</si>
  <si>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</si>
  <si>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</si>
  <si>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</si>
  <si>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</si>
  <si>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</si>
  <si>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</si>
  <si>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</si>
  <si>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</si>
  <si>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</si>
  <si>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</si>
  <si>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</si>
  <si>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</si>
  <si>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</si>
  <si>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</si>
  <si>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</si>
  <si>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</si>
  <si>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</si>
  <si>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</si>
  <si>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</si>
  <si>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</si>
  <si>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</si>
  <si>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</si>
  <si>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</si>
  <si>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</si>
  <si>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</si>
  <si>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</si>
  <si>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</si>
  <si>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</si>
  <si>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</si>
  <si>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</si>
  <si>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</si>
  <si>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</si>
  <si>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</si>
  <si>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</si>
  <si>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</si>
  <si>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</si>
  <si>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</si>
  <si>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</si>
  <si>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</si>
  <si>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</si>
  <si>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</si>
  <si>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</si>
  <si>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</si>
  <si>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</si>
  <si>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</si>
  <si>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</si>
  <si>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</si>
  <si>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</si>
  <si>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</si>
  <si>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</si>
  <si>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</si>
  <si>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</si>
  <si>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</si>
  <si>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</si>
  <si>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</si>
  <si>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</si>
  <si>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</si>
  <si>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</si>
  <si>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</si>
  <si>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</si>
  <si>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</si>
  <si>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</si>
  <si>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</si>
  <si>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</si>
  <si>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</si>
  <si>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</si>
  <si>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</si>
  <si>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</si>
  <si>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</si>
  <si>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</si>
  <si>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</si>
  <si>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</si>
  <si>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</si>
  <si>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</si>
  <si>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</si>
  <si>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</si>
  <si>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</si>
  <si>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</si>
  <si>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</si>
  <si>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</si>
  <si>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</si>
  <si>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</si>
  <si>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</si>
  <si>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</si>
  <si>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</si>
  <si>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</si>
  <si>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</si>
  <si>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</si>
  <si>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</si>
  <si>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</si>
  <si>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</si>
  <si>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</si>
  <si>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</si>
  <si>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</si>
  <si>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</si>
  <si>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</si>
  <si>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</si>
  <si>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</si>
  <si>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</si>
  <si>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</si>
  <si>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</si>
  <si>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</si>
  <si>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</si>
  <si>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</si>
  <si>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</si>
  <si>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</si>
  <si>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</si>
  <si>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</si>
  <si>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</si>
  <si>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</si>
  <si>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</si>
  <si>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</si>
  <si>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</si>
  <si>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</si>
  <si>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</si>
  <si>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</si>
  <si>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</si>
  <si>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</si>
  <si>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</si>
  <si>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</si>
  <si>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</si>
  <si>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</si>
  <si>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</si>
  <si>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</si>
  <si>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</si>
  <si>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</si>
  <si>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</si>
  <si>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</si>
  <si>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</si>
  <si>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</si>
  <si>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</si>
  <si>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</si>
  <si>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</si>
  <si>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</si>
  <si>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</si>
  <si>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</si>
  <si>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</si>
  <si>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</si>
  <si>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</si>
  <si>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</si>
  <si>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</si>
  <si>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</si>
  <si>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</si>
  <si>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</si>
  <si>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</si>
  <si>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</si>
  <si>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</si>
  <si>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</si>
  <si>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</si>
  <si>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</si>
  <si>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</si>
  <si>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</si>
  <si>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</si>
  <si>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</si>
  <si>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</si>
  <si>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</si>
  <si>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</si>
  <si>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</si>
  <si>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</si>
  <si>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</si>
  <si>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</si>
  <si>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</si>
  <si>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</si>
  <si>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</si>
  <si>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</si>
  <si>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</si>
  <si>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</si>
  <si>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</si>
  <si>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</si>
  <si>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</si>
  <si>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</si>
  <si>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</si>
  <si>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</si>
  <si>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</si>
  <si>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</si>
  <si>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</si>
  <si>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</si>
  <si>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</si>
  <si>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</si>
  <si>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</si>
  <si>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</si>
  <si>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</si>
  <si>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</si>
  <si>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</si>
  <si>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</si>
  <si>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</si>
  <si>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</si>
  <si>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</si>
  <si>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</si>
  <si>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</si>
  <si>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</si>
  <si>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</si>
  <si>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</si>
  <si>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</si>
  <si>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</si>
  <si>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</si>
  <si>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</si>
  <si>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</si>
  <si>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</si>
  <si>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</si>
  <si>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</si>
  <si>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</si>
  <si>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</si>
  <si>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</si>
  <si>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</si>
  <si>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</si>
  <si>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</si>
  <si>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</si>
  <si>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</si>
  <si>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</si>
  <si>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</si>
  <si>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</si>
  <si>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</si>
  <si>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</si>
  <si>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</si>
  <si>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</si>
  <si>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</si>
  <si>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</si>
  <si>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</si>
  <si>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</si>
  <si>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</si>
  <si>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</si>
  <si>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</si>
  <si>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</si>
  <si>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</si>
  <si>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</si>
  <si>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</si>
  <si>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</si>
  <si>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</si>
  <si>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</si>
  <si>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</si>
  <si>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</si>
  <si>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</si>
  <si>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</si>
  <si>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</si>
  <si>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</si>
  <si>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</si>
  <si>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</si>
  <si>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</si>
  <si>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</si>
  <si>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</si>
  <si>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</si>
  <si>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</si>
  <si>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</si>
  <si>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</si>
  <si>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</si>
  <si>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</si>
  <si>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</si>
  <si>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</si>
  <si>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</si>
  <si>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</si>
  <si>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</si>
  <si>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</si>
  <si>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</si>
  <si>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</si>
  <si>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</si>
  <si>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</si>
  <si>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</si>
  <si>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</si>
  <si>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</si>
  <si>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</si>
  <si>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</si>
  <si>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</si>
  <si>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</si>
  <si>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</si>
  <si>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</si>
  <si>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</si>
  <si>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</si>
  <si>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</si>
  <si>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</si>
  <si>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</si>
  <si>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</si>
  <si>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</si>
  <si>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</si>
  <si>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</si>
  <si>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</si>
  <si>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</si>
  <si>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</si>
  <si>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</si>
  <si>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</si>
  <si>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</si>
  <si>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</si>
  <si>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</si>
  <si>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</si>
  <si>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</si>
  <si>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</si>
  <si>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</si>
  <si>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</si>
  <si>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</si>
  <si>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</si>
  <si>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</si>
  <si>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</si>
  <si>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</si>
  <si>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</si>
  <si>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</si>
  <si>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</si>
  <si>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</si>
  <si>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</si>
  <si>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</si>
  <si>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</si>
  <si>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</si>
  <si>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</si>
  <si>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</si>
  <si>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</si>
  <si>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</si>
  <si>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</si>
  <si>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</si>
  <si>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</si>
  <si>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</si>
  <si>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</si>
  <si>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</si>
  <si>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</si>
  <si>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</si>
  <si>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</si>
  <si>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</si>
  <si>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</si>
  <si>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</si>
  <si>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</si>
  <si>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</si>
  <si>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</si>
  <si>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</si>
  <si>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</si>
  <si>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</si>
  <si>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</si>
  <si>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</si>
  <si>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</si>
  <si>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</si>
  <si>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</si>
  <si>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</si>
  <si>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</si>
  <si>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</si>
  <si>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</si>
  <si>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</si>
  <si>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</si>
  <si>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</si>
  <si>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</si>
  <si>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</si>
  <si>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</si>
  <si>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</si>
  <si>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</si>
  <si>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</si>
  <si>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</si>
  <si>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</si>
  <si>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</si>
  <si>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</si>
  <si>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</si>
  <si>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</si>
  <si>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</si>
  <si>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</si>
  <si>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</si>
  <si>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</si>
  <si>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</si>
  <si>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</si>
  <si>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</si>
  <si>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</si>
  <si>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</si>
  <si>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</si>
  <si>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</si>
  <si>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</si>
  <si>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</si>
  <si>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</si>
  <si>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</si>
  <si>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</si>
  <si>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</si>
  <si>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</si>
  <si>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</si>
  <si>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</si>
  <si>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</si>
  <si>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</si>
  <si>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</si>
  <si>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</si>
  <si>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</si>
  <si>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</si>
  <si>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</si>
  <si>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</si>
  <si>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</si>
  <si>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</si>
  <si>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</si>
  <si>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</si>
  <si>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</si>
  <si>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</si>
  <si>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</si>
  <si>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</si>
  <si>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</si>
  <si>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</si>
  <si>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</si>
  <si>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</si>
  <si>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</si>
  <si>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</si>
  <si>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</si>
  <si>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</si>
  <si>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</si>
  <si>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</si>
  <si>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</si>
  <si>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</si>
  <si>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</si>
  <si>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</si>
  <si>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</si>
  <si>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</si>
  <si>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</si>
  <si>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</si>
  <si>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</si>
  <si>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</si>
  <si>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</si>
  <si>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</si>
  <si>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</si>
  <si>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</si>
  <si>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</si>
  <si>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</si>
  <si>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</si>
  <si>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</si>
  <si>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</si>
  <si>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</si>
  <si>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</si>
  <si>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</si>
  <si>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</si>
  <si>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</si>
  <si>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</si>
  <si>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</si>
  <si>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</si>
  <si>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</si>
  <si>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</si>
  <si>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</si>
  <si>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</si>
  <si>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</si>
  <si>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</si>
  <si>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</si>
  <si>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</si>
  <si>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</si>
  <si>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</si>
  <si>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</si>
  <si>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</si>
  <si>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</si>
  <si>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</si>
  <si>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</si>
  <si>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</si>
  <si>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</si>
  <si>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</si>
  <si>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</si>
  <si>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</si>
  <si>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</si>
  <si>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</si>
  <si>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</si>
  <si>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</si>
  <si>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</si>
  <si>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</si>
  <si>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</si>
  <si>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</si>
  <si>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</si>
  <si>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</si>
  <si>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</si>
  <si>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</si>
  <si>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</si>
  <si>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</si>
  <si>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</si>
  <si>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</si>
  <si>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</si>
  <si>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</si>
  <si>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</si>
  <si>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</si>
  <si>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</si>
  <si>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</si>
  <si>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</si>
  <si>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</si>
  <si>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</si>
  <si>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</si>
  <si>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</si>
  <si>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</si>
  <si>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</si>
  <si>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</si>
  <si>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</si>
  <si>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</si>
  <si>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</si>
  <si>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</si>
  <si>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</si>
  <si>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</si>
  <si>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</si>
  <si>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</si>
  <si>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</si>
  <si>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</si>
  <si>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</si>
  <si>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</si>
  <si>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</si>
  <si>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</si>
  <si>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</si>
  <si>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</si>
  <si>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</si>
  <si>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</si>
  <si>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</si>
  <si>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</si>
  <si>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</si>
  <si>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</si>
  <si>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</si>
  <si>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</si>
  <si>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</si>
  <si>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</si>
  <si>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</si>
  <si>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</si>
  <si>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</si>
  <si>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</si>
  <si>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</si>
  <si>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</si>
  <si>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</si>
  <si>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</si>
  <si>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</si>
  <si>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</si>
  <si>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</si>
  <si>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</si>
  <si>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</si>
  <si>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</si>
  <si>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</si>
  <si>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</si>
  <si>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</si>
  <si>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</si>
  <si>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</si>
  <si>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</si>
  <si>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</si>
  <si>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</si>
  <si>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</si>
  <si>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</si>
  <si>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</si>
  <si>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</si>
  <si>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</si>
  <si>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</si>
  <si>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</si>
  <si>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</si>
  <si>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</si>
  <si>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</si>
  <si>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</si>
  <si>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</si>
  <si>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</si>
  <si>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</si>
  <si>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</si>
  <si>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</si>
  <si>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</si>
  <si>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</si>
  <si>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</si>
  <si>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</si>
  <si>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</si>
  <si>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</si>
  <si>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</si>
  <si>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</si>
  <si>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</si>
  <si>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</si>
  <si>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</si>
  <si>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</si>
  <si>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</si>
  <si>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</si>
  <si>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</si>
  <si>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</si>
  <si>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</si>
  <si>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</si>
  <si>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</si>
  <si>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</si>
  <si>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</si>
  <si>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</si>
  <si>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</si>
  <si>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</si>
  <si>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</si>
  <si>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</si>
  <si>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</si>
  <si>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</si>
  <si>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</si>
  <si>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</si>
  <si>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</si>
  <si>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</si>
  <si>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</si>
  <si>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</si>
  <si>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</si>
  <si>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</si>
  <si>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</si>
  <si>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</si>
  <si>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</si>
  <si>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</si>
  <si>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</si>
  <si>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</si>
  <si>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</si>
  <si>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</si>
  <si>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</si>
  <si>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</si>
  <si>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</si>
  <si>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</si>
  <si>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</si>
  <si>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</si>
  <si>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</si>
  <si>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</si>
  <si>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</si>
  <si>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</si>
  <si>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</si>
  <si>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</si>
  <si>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</si>
  <si>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</si>
  <si>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</si>
  <si>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</si>
  <si>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</si>
  <si>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</si>
  <si>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</si>
  <si>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</si>
  <si>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</si>
  <si>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</si>
  <si>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</si>
  <si>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</si>
  <si>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</si>
  <si>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</si>
  <si>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</si>
  <si>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</si>
  <si>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</si>
  <si>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</si>
  <si>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</si>
  <si>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</si>
  <si>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</si>
  <si>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</si>
  <si>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</si>
  <si>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</si>
  <si>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</si>
  <si>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</si>
  <si>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</si>
  <si>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</si>
  <si>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</si>
  <si>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</si>
  <si>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</si>
  <si>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</si>
  <si>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</si>
  <si>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</si>
  <si>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</si>
  <si>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</si>
  <si>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</si>
  <si>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</si>
  <si>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</si>
  <si>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</si>
  <si>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</si>
  <si>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</si>
  <si>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</si>
  <si>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</si>
  <si>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</si>
  <si>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</si>
  <si>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</si>
  <si>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</si>
  <si>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</si>
  <si>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</si>
  <si>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</si>
  <si>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</si>
  <si>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</si>
  <si>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</si>
  <si>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</si>
  <si>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</si>
  <si>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</si>
  <si>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</si>
  <si>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</si>
  <si>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</si>
  <si>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</si>
  <si>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</si>
  <si>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</si>
  <si>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</si>
  <si>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</si>
  <si>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</si>
  <si>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</si>
  <si>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</si>
  <si>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</si>
  <si>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</si>
  <si>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</si>
  <si>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</si>
  <si>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</si>
  <si>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</si>
  <si>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</si>
  <si>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</si>
  <si>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</si>
  <si>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</si>
  <si>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</si>
  <si>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</si>
  <si>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</si>
  <si>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</si>
  <si>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</si>
  <si>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</si>
  <si>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</si>
  <si>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</si>
  <si>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</si>
  <si>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</si>
  <si>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</si>
  <si>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</si>
  <si>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</si>
  <si>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</si>
  <si>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</si>
  <si>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</si>
  <si>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</si>
  <si>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</si>
  <si>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</si>
  <si>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</si>
  <si>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</si>
  <si>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</si>
  <si>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</si>
  <si>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</si>
  <si>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</si>
  <si>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</si>
  <si>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</si>
  <si>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</si>
  <si>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</si>
  <si>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</si>
  <si>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</si>
  <si>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</si>
  <si>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</si>
  <si>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</si>
  <si>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</si>
  <si>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</si>
  <si>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</si>
  <si>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</si>
  <si>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</si>
  <si>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</si>
  <si>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</si>
  <si>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</si>
  <si>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</si>
  <si>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</si>
  <si>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</si>
  <si>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</si>
  <si>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</si>
  <si>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</si>
  <si>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</si>
  <si>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</si>
  <si>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</si>
  <si>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</si>
  <si>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</si>
  <si>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</si>
  <si>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</si>
  <si>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</si>
  <si>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</si>
  <si>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</si>
  <si>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</si>
  <si>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</si>
  <si>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</si>
  <si>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</si>
  <si>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</si>
  <si>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</si>
  <si>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</si>
  <si>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</si>
  <si>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</si>
  <si>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</si>
  <si>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</si>
  <si>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</si>
  <si>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</si>
  <si>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</si>
  <si>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</si>
  <si>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</si>
  <si>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</si>
  <si>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</si>
  <si>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</si>
  <si>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</si>
  <si>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</si>
  <si>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</si>
  <si>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</si>
  <si>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</si>
  <si>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</si>
  <si>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</si>
  <si>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</si>
  <si>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</si>
  <si>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</si>
  <si>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</si>
  <si>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</si>
  <si>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</si>
  <si>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</si>
  <si>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</si>
  <si>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</si>
  <si>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</si>
  <si>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</si>
  <si>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</si>
  <si>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</si>
  <si>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</si>
  <si>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</si>
  <si>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</si>
  <si>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</si>
  <si>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</si>
  <si>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</si>
  <si>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</si>
  <si>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</si>
  <si>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</si>
  <si>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</si>
  <si>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</si>
  <si>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</si>
  <si>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</si>
  <si>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</si>
  <si>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</si>
  <si>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</si>
  <si>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</si>
  <si>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</si>
  <si>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</si>
  <si>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</si>
  <si>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</si>
  <si>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</si>
  <si>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</si>
  <si>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</si>
  <si>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</si>
  <si>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</si>
  <si>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</si>
  <si>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</si>
  <si>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</si>
  <si>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</si>
  <si>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</si>
  <si>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</si>
  <si>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</si>
  <si>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</si>
  <si>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</si>
  <si>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</si>
  <si>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</si>
  <si>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</si>
  <si>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</si>
  <si>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</si>
  <si>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</si>
  <si>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</si>
  <si>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</si>
  <si>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</si>
  <si>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</si>
  <si>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</si>
  <si>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</si>
  <si>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</si>
  <si>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</si>
  <si>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</si>
  <si>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</si>
  <si>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</si>
  <si>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</si>
  <si>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</si>
  <si>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</si>
  <si>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</si>
  <si>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</si>
  <si>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</si>
  <si>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</si>
  <si>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</si>
  <si>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</si>
  <si>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</si>
  <si>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</si>
  <si>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</si>
  <si>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</si>
  <si>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</si>
  <si>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</si>
  <si>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</si>
  <si>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</si>
  <si>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</si>
  <si>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</si>
  <si>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</si>
  <si>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</si>
  <si>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</si>
  <si>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</si>
  <si>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</si>
  <si>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</si>
  <si>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</si>
  <si>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</si>
  <si>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</si>
  <si>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</si>
  <si>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</si>
  <si>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</si>
  <si>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</si>
  <si>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</si>
  <si>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</si>
  <si>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</si>
  <si>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</si>
  <si>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</si>
  <si>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</si>
  <si>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</si>
  <si>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</si>
  <si>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</si>
  <si>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</si>
  <si>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</si>
  <si>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</si>
  <si>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</si>
  <si>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</si>
  <si>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</si>
  <si>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</si>
  <si>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</si>
  <si>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</si>
  <si>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</si>
  <si>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</si>
  <si>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</si>
  <si>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</si>
  <si>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</si>
  <si>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</si>
  <si>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</si>
  <si>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</si>
  <si>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</si>
  <si>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</si>
  <si>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</si>
  <si>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</si>
  <si>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</si>
  <si>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</si>
  <si>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</si>
  <si>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</si>
  <si>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</si>
  <si>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</si>
  <si>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</si>
  <si>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</si>
  <si>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</si>
  <si>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</si>
  <si>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</si>
  <si>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</si>
  <si>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</si>
  <si>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</si>
  <si>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</si>
  <si>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</si>
  <si>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</si>
  <si>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</si>
  <si>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</si>
  <si>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</si>
  <si>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</si>
  <si>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</si>
  <si>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</si>
  <si>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</si>
  <si>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</si>
  <si>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</si>
  <si>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</si>
  <si>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</si>
  <si>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</si>
  <si>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</si>
  <si>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</si>
  <si>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</si>
  <si>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</si>
  <si>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</si>
  <si>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</si>
  <si>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</si>
  <si>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</si>
  <si>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</si>
  <si>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</si>
  <si>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</si>
  <si>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</si>
  <si>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</si>
  <si>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</si>
  <si>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</si>
  <si>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</si>
  <si>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</si>
  <si>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</si>
  <si>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</si>
  <si>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</si>
  <si>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</si>
  <si>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</si>
  <si>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</si>
  <si>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</si>
  <si>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</si>
  <si>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</si>
  <si>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</si>
  <si>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</si>
  <si>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</si>
  <si>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</si>
  <si>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</si>
  <si>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</si>
  <si>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</si>
  <si>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</si>
  <si>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</si>
  <si>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</si>
  <si>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</si>
  <si>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</si>
  <si>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</si>
  <si>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</si>
  <si>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</si>
  <si>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</si>
  <si>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</si>
  <si>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</si>
  <si>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</si>
  <si>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</si>
  <si>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</si>
  <si>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</si>
  <si>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</si>
  <si>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</si>
  <si>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</si>
  <si>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</si>
  <si>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</si>
  <si>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</si>
  <si>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</si>
  <si>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</si>
  <si>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</si>
  <si>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</si>
  <si>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</si>
  <si>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</si>
  <si>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</si>
  <si>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</si>
  <si>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</si>
  <si>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</si>
  <si>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</si>
  <si>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</si>
  <si>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</si>
  <si>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</si>
  <si>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</si>
  <si>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</si>
  <si>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</si>
  <si>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</si>
  <si>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</si>
  <si>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</si>
  <si>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</si>
  <si>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</si>
  <si>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</si>
  <si>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</si>
  <si>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</si>
  <si>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</si>
  <si>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</si>
  <si>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</si>
  <si>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</si>
  <si>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</si>
  <si>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</si>
  <si>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</si>
  <si>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</si>
  <si>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</si>
  <si>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</si>
  <si>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</si>
  <si>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</si>
  <si>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</si>
  <si>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</si>
  <si>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</si>
  <si>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</si>
  <si>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</si>
  <si>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</si>
  <si>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</si>
  <si>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</si>
  <si>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</si>
  <si>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</si>
  <si>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</si>
  <si>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</si>
  <si>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</si>
  <si>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</si>
  <si>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</si>
  <si>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</si>
  <si>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</si>
  <si>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</si>
  <si>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</si>
  <si>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</si>
  <si>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</si>
  <si>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</si>
  <si>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</si>
  <si>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</si>
  <si>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</si>
  <si>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</si>
  <si>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</si>
  <si>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</si>
  <si>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</si>
  <si>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</si>
  <si>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</si>
  <si>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</si>
  <si>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</si>
  <si>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</si>
  <si>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</si>
  <si>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</si>
  <si>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</si>
  <si>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</si>
  <si>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</si>
  <si>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</si>
  <si>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</si>
  <si>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</si>
  <si>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</si>
  <si>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</si>
  <si>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</si>
  <si>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</si>
  <si>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</si>
  <si>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</si>
  <si>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</si>
  <si>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</si>
  <si>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</si>
  <si>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</si>
  <si>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</si>
  <si>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</si>
  <si>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</si>
  <si>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</si>
  <si>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</si>
  <si>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</si>
  <si>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</si>
  <si>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</si>
  <si>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</si>
  <si>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</si>
  <si>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</si>
  <si>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</si>
  <si>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</si>
  <si>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</si>
  <si>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</si>
  <si>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</si>
  <si>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</si>
  <si>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</si>
  <si>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</si>
  <si>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</si>
  <si>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</si>
  <si>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</si>
  <si>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</si>
  <si>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</si>
  <si>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</si>
  <si>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</si>
  <si>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</si>
  <si>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</si>
  <si>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</si>
  <si>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</si>
  <si>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</si>
  <si>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</si>
  <si>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</si>
  <si>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</si>
  <si>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</si>
  <si>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</si>
  <si>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</si>
  <si>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</si>
  <si>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</si>
  <si>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</si>
  <si>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</si>
  <si>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</si>
  <si>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</si>
  <si>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</si>
  <si>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</si>
  <si>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</si>
  <si>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</si>
  <si>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</si>
  <si>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</si>
  <si>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</si>
  <si>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</si>
  <si>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</si>
  <si>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</si>
  <si>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</si>
  <si>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</si>
  <si>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</si>
  <si>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</si>
  <si>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</si>
  <si>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</si>
  <si>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</si>
  <si>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</si>
  <si>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</si>
  <si>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</si>
  <si>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</si>
  <si>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</si>
  <si>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</si>
  <si>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</si>
  <si>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</si>
  <si>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</si>
  <si>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</si>
  <si>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</si>
  <si>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</si>
  <si>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</si>
  <si>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</si>
  <si>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</si>
  <si>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</si>
  <si>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</si>
  <si>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</si>
  <si>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</si>
  <si>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</si>
  <si>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</si>
  <si>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</si>
  <si>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</si>
  <si>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</si>
  <si>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</si>
  <si>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</si>
  <si>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</si>
  <si>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</si>
  <si>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</si>
  <si>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</si>
  <si>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</si>
  <si>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</si>
  <si>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</si>
  <si>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</si>
  <si>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</si>
  <si>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</si>
  <si>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</si>
  <si>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</si>
  <si>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</si>
  <si>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</si>
  <si>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</si>
  <si>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</si>
  <si>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</si>
  <si>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</si>
  <si>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</si>
  <si>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</si>
  <si>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</si>
  <si>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</si>
  <si>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</si>
  <si>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</si>
  <si>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</si>
  <si>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</si>
  <si>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</si>
  <si>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</si>
  <si>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</si>
  <si>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</si>
  <si>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</si>
  <si>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</si>
  <si>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</si>
  <si>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</si>
  <si>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</si>
  <si>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</si>
  <si>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</si>
  <si>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</si>
  <si>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</si>
  <si>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</si>
  <si>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</si>
  <si>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</si>
  <si>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</si>
  <si>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</si>
  <si>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</si>
  <si>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</si>
  <si>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</si>
  <si>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</si>
  <si>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</si>
  <si>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</si>
  <si>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</si>
  <si>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</si>
  <si>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</si>
  <si>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</si>
  <si>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</si>
  <si>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</si>
  <si>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</si>
  <si>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</si>
  <si>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</si>
  <si>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</si>
  <si>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</si>
  <si>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</si>
  <si>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</si>
  <si>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</si>
  <si>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</si>
  <si>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</si>
  <si>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</si>
  <si>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</si>
  <si>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</si>
  <si>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</si>
  <si>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</si>
  <si>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</si>
  <si>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</si>
  <si>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</si>
  <si>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</si>
  <si>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</si>
  <si>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</si>
  <si>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</si>
  <si>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</si>
  <si>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</si>
  <si>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</si>
  <si>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</si>
  <si>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</si>
  <si>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</si>
  <si>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</si>
  <si>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</si>
  <si>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</si>
  <si>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</si>
  <si>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</si>
  <si>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</si>
  <si>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</si>
  <si>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</si>
  <si>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</si>
  <si>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</si>
  <si>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</si>
  <si>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</si>
  <si>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</si>
  <si>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</si>
  <si>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</si>
  <si>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</si>
  <si>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</si>
  <si>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</si>
  <si>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</si>
  <si>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</si>
  <si>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</si>
  <si>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</si>
  <si>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</si>
  <si>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</si>
  <si>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</si>
  <si>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</si>
  <si>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</si>
  <si>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</si>
  <si>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</si>
  <si>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</si>
  <si>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</si>
  <si>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</si>
  <si>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</si>
  <si>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</si>
  <si>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</si>
  <si>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</si>
  <si>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</si>
  <si>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</si>
  <si>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</si>
  <si>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</si>
  <si>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</si>
  <si>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</si>
  <si>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</si>
  <si>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</si>
  <si>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</si>
  <si>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</si>
  <si>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</si>
  <si>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</si>
  <si>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</si>
  <si>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</si>
  <si>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</si>
  <si>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</si>
  <si>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</si>
  <si>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</si>
  <si>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</si>
  <si>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</si>
  <si>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</si>
  <si>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</si>
  <si>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</si>
  <si>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</si>
  <si>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</si>
  <si>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</si>
  <si>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</si>
  <si>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</si>
  <si>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</si>
  <si>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</si>
  <si>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</si>
  <si>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</si>
  <si>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</si>
  <si>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</si>
  <si>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</si>
  <si>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</si>
  <si>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</si>
  <si>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</si>
  <si>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</si>
  <si>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</si>
  <si>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</si>
  <si>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</si>
  <si>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</si>
  <si>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</si>
  <si>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</si>
  <si>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</si>
  <si>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</si>
  <si>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</si>
  <si>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</si>
  <si>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</si>
  <si>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</si>
  <si>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</si>
  <si>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</si>
  <si>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</si>
  <si>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</si>
  <si>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</si>
  <si>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</si>
  <si>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</si>
  <si>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</si>
  <si>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</si>
  <si>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</si>
  <si>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</si>
  <si>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</si>
  <si>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</si>
  <si>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</si>
  <si>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</si>
  <si>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</si>
  <si>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</si>
  <si>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</si>
  <si>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</si>
  <si>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</si>
  <si>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</si>
  <si>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</si>
  <si>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</si>
  <si>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</si>
  <si>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</si>
  <si>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</si>
  <si>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</si>
  <si>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</si>
  <si>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</si>
  <si>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</si>
  <si>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</si>
  <si>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</si>
  <si>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</si>
  <si>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</si>
  <si>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</si>
  <si>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</si>
  <si>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</si>
  <si>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</si>
  <si>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</si>
  <si>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</si>
  <si>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</si>
  <si>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</si>
  <si>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</si>
  <si>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</si>
  <si>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</si>
  <si>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</si>
  <si>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</si>
  <si>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</si>
  <si>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</si>
  <si>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</si>
  <si>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</si>
  <si>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</si>
  <si>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</si>
  <si>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</si>
  <si>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</si>
  <si>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</si>
  <si>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</si>
  <si>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</si>
  <si>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</si>
  <si>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</si>
  <si>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</si>
  <si>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</si>
  <si>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</si>
  <si>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</si>
  <si>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</si>
  <si>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</si>
  <si>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</si>
  <si>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</si>
  <si>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</si>
  <si>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</si>
  <si>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</si>
  <si>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</si>
  <si>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</si>
  <si>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</si>
  <si>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</si>
  <si>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</si>
  <si>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</si>
  <si>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</si>
  <si>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</si>
  <si>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</si>
  <si>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</si>
  <si>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</si>
  <si>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</si>
  <si>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</si>
  <si>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</si>
  <si>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</si>
  <si>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</si>
  <si>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</si>
  <si>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</si>
  <si>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</si>
  <si>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</si>
  <si>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</si>
  <si>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</si>
  <si>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</si>
  <si>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</si>
  <si>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</si>
  <si>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</si>
  <si>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</si>
  <si>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</si>
  <si>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</si>
  <si>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</si>
  <si>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</si>
  <si>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</si>
  <si>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</si>
  <si>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</si>
  <si>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</si>
  <si>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</si>
  <si>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</si>
  <si>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</si>
  <si>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</si>
  <si>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</si>
  <si>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</si>
  <si>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</si>
  <si>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</si>
  <si>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</si>
  <si>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</si>
  <si>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</si>
  <si>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</si>
  <si>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</si>
  <si>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</si>
  <si>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</si>
  <si>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</si>
  <si>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</si>
  <si>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</si>
  <si>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</si>
  <si>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</si>
  <si>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</si>
  <si>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</si>
  <si>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</si>
  <si>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</si>
  <si>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</si>
  <si>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</si>
  <si>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</si>
  <si>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</si>
  <si>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</si>
  <si>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</si>
  <si>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</si>
  <si>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</si>
  <si>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</si>
  <si>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</si>
  <si>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</si>
  <si>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</si>
  <si>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</si>
  <si>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</si>
  <si>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</si>
  <si>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</si>
  <si>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</si>
  <si>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</si>
  <si>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</si>
  <si>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</si>
  <si>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</si>
  <si>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</si>
  <si>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</si>
  <si>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</si>
  <si>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</si>
  <si>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</si>
  <si>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</si>
  <si>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</si>
  <si>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</si>
  <si>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</si>
  <si>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</si>
  <si>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</si>
  <si>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</si>
  <si>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</si>
  <si>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</si>
  <si>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</si>
  <si>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</si>
  <si>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</si>
  <si>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</si>
  <si>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</si>
  <si>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</si>
  <si>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</si>
  <si>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</si>
  <si>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</si>
  <si>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</si>
  <si>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</si>
  <si>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</si>
  <si>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</si>
  <si>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</si>
  <si>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</si>
  <si>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</si>
  <si>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</si>
  <si>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</si>
  <si>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</si>
  <si>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</si>
  <si>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</si>
  <si>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</si>
  <si>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</si>
  <si>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</si>
  <si>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</si>
  <si>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</si>
  <si>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</si>
  <si>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</si>
  <si>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</si>
  <si>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</si>
  <si>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</si>
  <si>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</si>
  <si>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</si>
  <si>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</si>
  <si>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</si>
  <si>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</si>
  <si>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</si>
  <si>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</si>
  <si>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</si>
  <si>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</si>
  <si>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</si>
  <si>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</si>
  <si>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</si>
  <si>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</si>
  <si>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</si>
  <si>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</si>
  <si>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</si>
  <si>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</si>
  <si>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</si>
  <si>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</si>
  <si>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</si>
  <si>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</si>
  <si>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</si>
  <si>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</si>
  <si>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</si>
  <si>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</si>
  <si>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</si>
  <si>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</si>
  <si>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</si>
  <si>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</si>
  <si>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</si>
  <si>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</si>
  <si>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</si>
  <si>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</si>
  <si>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</si>
  <si>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</si>
  <si>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</si>
  <si>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</si>
  <si>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</si>
  <si>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</si>
  <si>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</si>
  <si>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</si>
  <si>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</si>
  <si>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</si>
  <si>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</si>
  <si>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</si>
  <si>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</si>
  <si>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</si>
  <si>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</si>
  <si>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</si>
  <si>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</si>
  <si>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</si>
  <si>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</si>
  <si>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</si>
  <si>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</si>
  <si>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</si>
  <si>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</si>
  <si>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</si>
  <si>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</si>
  <si>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</si>
  <si>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</si>
  <si>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</si>
  <si>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</si>
  <si>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</si>
  <si>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</si>
  <si>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</si>
  <si>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</si>
  <si>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</si>
  <si>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</si>
  <si>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</si>
  <si>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</si>
  <si>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</si>
  <si>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</si>
  <si>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</si>
  <si>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</si>
  <si>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</si>
  <si>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</si>
  <si>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</si>
  <si>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</si>
  <si>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</si>
  <si>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</si>
  <si>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</si>
  <si>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</si>
  <si>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</si>
  <si>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</si>
  <si>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</si>
  <si>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</si>
  <si>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</si>
  <si>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</si>
  <si>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</si>
  <si>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</si>
  <si>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</si>
  <si>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</si>
  <si>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</si>
  <si>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</si>
  <si>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</si>
  <si>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</si>
  <si>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</si>
  <si>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</si>
  <si>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</si>
  <si>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</si>
  <si>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</si>
  <si>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</si>
  <si>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</si>
  <si>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</si>
  <si>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</si>
  <si>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</si>
  <si>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</si>
  <si>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</si>
  <si>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</si>
  <si>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</si>
  <si>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</si>
  <si>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</si>
  <si>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</si>
  <si>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</si>
  <si>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</si>
  <si>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</si>
  <si>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</si>
  <si>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</si>
  <si>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</si>
  <si>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</si>
  <si>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</si>
  <si>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</si>
  <si>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</si>
  <si>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</si>
  <si>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</si>
  <si>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</si>
  <si>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</si>
  <si>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</si>
  <si>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</si>
  <si>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</si>
  <si>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</si>
  <si>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</si>
  <si>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</si>
  <si>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</si>
  <si>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</si>
  <si>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</si>
  <si>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</si>
  <si>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</si>
  <si>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</si>
  <si>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</si>
  <si>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</si>
  <si>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</si>
  <si>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</si>
  <si>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</si>
  <si>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</si>
  <si>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</si>
  <si>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</si>
  <si>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</si>
  <si>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</si>
  <si>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</si>
  <si>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</si>
  <si>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</si>
  <si>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</si>
  <si>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</si>
  <si>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</si>
  <si>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</si>
  <si>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</si>
  <si>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</si>
  <si>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</si>
  <si>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</si>
  <si>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</si>
  <si>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</si>
  <si>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</si>
  <si>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</si>
  <si>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</si>
  <si>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</si>
  <si>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</si>
  <si>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</si>
  <si>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</si>
  <si>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</si>
  <si>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</si>
  <si>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</si>
  <si>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</si>
  <si>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</si>
  <si>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</si>
  <si>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</si>
  <si>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</si>
  <si>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</si>
  <si>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</si>
  <si>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</si>
  <si>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</si>
  <si>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</si>
  <si>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</si>
  <si>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</si>
  <si>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</si>
  <si>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</si>
  <si>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</si>
  <si>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</si>
  <si>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</si>
  <si>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</si>
  <si>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</si>
  <si>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</si>
  <si>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</si>
  <si>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</si>
  <si>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</si>
  <si>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</si>
  <si>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</si>
  <si>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</si>
  <si>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</si>
  <si>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</si>
  <si>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</si>
  <si>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</si>
  <si>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</si>
  <si>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</si>
  <si>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</si>
  <si>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</si>
  <si>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</si>
  <si>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</si>
  <si>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</si>
  <si>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</si>
  <si>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</si>
  <si>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</si>
  <si>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</si>
  <si>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</si>
  <si>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</si>
  <si>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</si>
  <si>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</si>
  <si>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</si>
  <si>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</si>
  <si>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</si>
  <si>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</si>
  <si>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</si>
  <si>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</si>
  <si>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</si>
  <si>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</si>
  <si>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</si>
  <si>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</si>
  <si>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</si>
  <si>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</si>
  <si>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</si>
  <si>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</si>
  <si>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</si>
  <si>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</si>
  <si>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</si>
  <si>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</si>
  <si>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</si>
  <si>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</si>
  <si>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</si>
  <si>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</si>
  <si>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</si>
  <si>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</si>
  <si>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</si>
  <si>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</si>
  <si>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</si>
  <si>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</si>
  <si>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</si>
  <si>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</si>
  <si>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</si>
  <si>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</si>
  <si>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</si>
  <si>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</si>
  <si>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</si>
  <si>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</si>
  <si>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</si>
  <si>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</si>
  <si>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</si>
  <si>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</si>
  <si>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</si>
  <si>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</si>
  <si>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</si>
  <si>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</si>
  <si>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</si>
  <si>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</si>
  <si>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</si>
  <si>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</si>
  <si>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</si>
  <si>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</si>
  <si>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</si>
  <si>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</si>
  <si>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</si>
  <si>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</si>
  <si>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</si>
  <si>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</si>
  <si>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</si>
  <si>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</si>
  <si>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</si>
  <si>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</si>
  <si>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</si>
  <si>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</si>
  <si>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</si>
  <si>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</si>
  <si>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</si>
  <si>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</si>
  <si>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</si>
  <si>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</si>
  <si>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</si>
  <si>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</si>
  <si>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</si>
  <si>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</si>
  <si>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</si>
  <si>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</si>
  <si>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</si>
  <si>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</si>
  <si>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</si>
  <si>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</si>
  <si>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</si>
  <si>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</si>
  <si>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</si>
  <si>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</si>
  <si>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</si>
  <si>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</si>
  <si>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</si>
  <si>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</si>
  <si>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</si>
  <si>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</si>
  <si>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</si>
  <si>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</si>
  <si>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</si>
  <si>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</si>
  <si>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</si>
  <si>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</si>
  <si>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</si>
  <si>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</si>
  <si>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</si>
  <si>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</si>
  <si>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</si>
  <si>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</si>
  <si>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</si>
  <si>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</si>
  <si>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</si>
  <si>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</si>
  <si>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</si>
  <si>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</si>
  <si>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</si>
  <si>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</si>
  <si>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</si>
  <si>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</si>
  <si>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</si>
  <si>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</si>
  <si>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</si>
  <si>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</si>
  <si>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</si>
  <si>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</si>
  <si>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</si>
  <si>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</si>
  <si>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</si>
  <si>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</si>
  <si>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</si>
  <si>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</si>
  <si>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</si>
  <si>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</si>
  <si>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</si>
  <si>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</si>
  <si>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</si>
  <si>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</si>
  <si>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</si>
  <si>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</si>
  <si>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</si>
  <si>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</si>
  <si>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</si>
  <si>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</si>
  <si>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</si>
  <si>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</si>
  <si>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</si>
  <si>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</si>
  <si>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</si>
  <si>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</si>
  <si>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</si>
  <si>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</si>
  <si>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</si>
  <si>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</si>
  <si>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</si>
  <si>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</si>
  <si>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</si>
  <si>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</si>
  <si>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</si>
  <si>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</si>
  <si>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</si>
  <si>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</si>
  <si>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</si>
  <si>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</si>
  <si>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</si>
  <si>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</si>
  <si>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</si>
  <si>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</si>
  <si>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</si>
  <si>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</si>
  <si>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</si>
  <si>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</si>
  <si>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</si>
  <si>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</si>
  <si>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</si>
  <si>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</si>
  <si>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</si>
  <si>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</si>
  <si>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</si>
  <si>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</si>
  <si>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</si>
  <si>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</si>
  <si>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</si>
  <si>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</si>
  <si>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</si>
  <si>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</si>
  <si>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</si>
  <si>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</si>
  <si>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</si>
  <si>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</si>
  <si>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</si>
  <si>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</si>
  <si>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</si>
  <si>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</si>
  <si>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</si>
  <si>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</si>
  <si>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</si>
  <si>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</si>
  <si>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</si>
  <si>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</si>
  <si>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</si>
  <si>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</si>
  <si>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</si>
  <si>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</si>
  <si>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</si>
  <si>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</si>
  <si>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</si>
  <si>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</si>
  <si>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</si>
  <si>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</si>
  <si>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</si>
  <si>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</si>
  <si>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</si>
  <si>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</si>
  <si>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</si>
  <si>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</si>
  <si>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</si>
  <si>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</si>
  <si>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</si>
  <si>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</si>
  <si>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</si>
  <si>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</si>
  <si>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</si>
  <si>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</si>
  <si>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</si>
  <si>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</si>
  <si>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</si>
  <si>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</si>
  <si>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</si>
  <si>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</si>
  <si>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</si>
  <si>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</si>
  <si>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</si>
  <si>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</si>
  <si>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</si>
  <si>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</si>
  <si>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</si>
  <si>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</si>
  <si>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</si>
  <si>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</si>
  <si>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</si>
  <si>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</si>
  <si>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</si>
  <si>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</si>
  <si>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</si>
  <si>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</si>
  <si>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</si>
  <si>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</si>
  <si>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</si>
  <si>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</si>
  <si>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</si>
  <si>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</si>
  <si>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</si>
  <si>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</si>
  <si>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</si>
  <si>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</si>
  <si>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</si>
  <si>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</si>
  <si>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</si>
  <si>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</si>
  <si>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</si>
  <si>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</si>
  <si>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</si>
  <si>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</si>
  <si>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</si>
  <si>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</si>
  <si>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</si>
  <si>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</si>
  <si>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</si>
  <si>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</si>
  <si>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</si>
  <si>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</si>
  <si>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</si>
  <si>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</si>
  <si>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</si>
  <si>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</si>
  <si>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</si>
  <si>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</si>
  <si>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</si>
  <si>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</si>
  <si>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</si>
  <si>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</si>
  <si>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</si>
  <si>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</si>
  <si>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</si>
  <si>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</si>
  <si>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</si>
  <si>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</si>
  <si>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</si>
  <si>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</si>
  <si>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</si>
  <si>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</si>
  <si>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</si>
  <si>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</si>
  <si>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</si>
  <si>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</si>
  <si>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</si>
  <si>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</si>
  <si>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</si>
  <si>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</si>
  <si>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</si>
  <si>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</si>
  <si>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</si>
  <si>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</si>
  <si>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</si>
  <si>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</si>
  <si>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</si>
  <si>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</si>
  <si>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</si>
  <si>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</si>
  <si>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</si>
  <si>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</si>
  <si>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</si>
  <si>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</si>
  <si>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</si>
  <si>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</si>
  <si>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</si>
  <si>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</si>
  <si>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</si>
  <si>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</si>
  <si>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</si>
  <si>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</si>
  <si>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</si>
  <si>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</si>
  <si>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</si>
  <si>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</si>
  <si>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</si>
  <si>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</si>
  <si>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</si>
  <si>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</si>
  <si>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</si>
  <si>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</si>
  <si>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</si>
  <si>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</si>
  <si>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</si>
  <si>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</si>
  <si>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</si>
  <si>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</si>
  <si>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</si>
  <si>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</si>
  <si>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</si>
  <si>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</si>
  <si>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</si>
  <si>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</si>
  <si>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</si>
  <si>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</si>
  <si>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</si>
  <si>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</si>
  <si>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</si>
  <si>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</si>
  <si>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</si>
  <si>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</si>
  <si>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</si>
  <si>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</si>
  <si>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</si>
  <si>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</si>
  <si>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</si>
  <si>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</si>
  <si>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</si>
  <si>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</si>
  <si>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</si>
  <si>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</si>
  <si>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</si>
  <si>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</si>
  <si>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</si>
  <si>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</si>
  <si>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</si>
  <si>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</si>
  <si>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</si>
  <si>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</si>
  <si>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</si>
  <si>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</si>
  <si>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</si>
  <si>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</si>
  <si>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</si>
  <si>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</si>
  <si>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</si>
  <si>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</si>
  <si>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</si>
  <si>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</si>
  <si>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</si>
  <si>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</si>
  <si>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</si>
  <si>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</si>
  <si>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</si>
  <si>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</si>
  <si>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</si>
  <si>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</si>
  <si>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</si>
  <si>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</si>
  <si>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</si>
  <si>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</si>
  <si>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</si>
  <si>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</si>
  <si>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</si>
  <si>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</si>
  <si>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</si>
  <si>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</si>
  <si>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</si>
  <si>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</si>
  <si>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</si>
  <si>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</si>
  <si>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</si>
  <si>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</si>
  <si>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</si>
  <si>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</si>
  <si>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</si>
  <si>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</si>
  <si>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</si>
  <si>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</si>
  <si>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</si>
  <si>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</si>
  <si>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</si>
  <si>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</si>
  <si>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</si>
  <si>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</si>
  <si>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</si>
  <si>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</si>
  <si>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</si>
  <si>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</si>
  <si>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</si>
  <si>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</si>
  <si>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</si>
  <si>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</si>
  <si>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</si>
  <si>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</si>
  <si>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</si>
  <si>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</si>
  <si>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</si>
  <si>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</si>
  <si>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</si>
  <si>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</si>
  <si>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</si>
  <si>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</si>
  <si>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</si>
  <si>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</si>
  <si>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</si>
  <si>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</si>
  <si>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</si>
  <si>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</si>
  <si>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</si>
  <si>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</si>
  <si>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</si>
  <si>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</si>
  <si>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</si>
  <si>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</si>
  <si>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</si>
  <si>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</si>
  <si>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</si>
  <si>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</si>
  <si>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</si>
  <si>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</si>
  <si>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</si>
  <si>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</si>
  <si>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</si>
  <si>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</si>
  <si>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</si>
  <si>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</si>
  <si>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</si>
  <si>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</si>
  <si>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</si>
  <si>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</si>
  <si>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</si>
  <si>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</si>
  <si>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</si>
  <si>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</si>
  <si>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</si>
  <si>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</si>
  <si>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</si>
  <si>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</si>
  <si>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</si>
  <si>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</si>
  <si>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</si>
  <si>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</si>
  <si>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</si>
  <si>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</si>
  <si>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</si>
  <si>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</si>
  <si>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</si>
  <si>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</si>
  <si>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</si>
  <si>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</si>
  <si>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</si>
  <si>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</si>
  <si>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</si>
  <si>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</si>
  <si>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</si>
  <si>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</si>
  <si>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</si>
  <si>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</si>
  <si>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</si>
  <si>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</si>
  <si>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</si>
  <si>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</si>
  <si>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</si>
  <si>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</si>
  <si>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</si>
  <si>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</si>
  <si>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</si>
  <si>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</si>
  <si>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</si>
  <si>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</si>
  <si>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</si>
  <si>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</si>
  <si>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</si>
  <si>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</si>
  <si>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</si>
  <si>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</si>
  <si>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</si>
  <si>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</si>
  <si>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</si>
  <si>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</si>
  <si>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</si>
  <si>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</si>
  <si>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</si>
  <si>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</si>
  <si>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</si>
  <si>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</si>
  <si>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</si>
  <si>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</si>
  <si>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</si>
  <si>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</si>
  <si>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</si>
  <si>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</si>
  <si>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</si>
  <si>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</si>
  <si>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</si>
  <si>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</si>
  <si>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</si>
  <si>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</si>
  <si>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</si>
  <si>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</si>
  <si>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</si>
  <si>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</si>
  <si>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</si>
  <si>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</si>
  <si>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</si>
  <si>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</si>
  <si>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</si>
  <si>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</si>
  <si>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</si>
  <si>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</si>
  <si>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</si>
  <si>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</si>
  <si>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</si>
  <si>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</si>
  <si>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</si>
  <si>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</si>
  <si>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</si>
  <si>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</si>
  <si>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</si>
  <si>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</si>
  <si>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</si>
  <si>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</si>
  <si>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</si>
  <si>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</si>
  <si>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</si>
  <si>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</si>
  <si>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</si>
  <si>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</si>
  <si>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</si>
  <si>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</si>
  <si>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</si>
  <si>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</si>
  <si>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</si>
  <si>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</si>
  <si>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</si>
  <si>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</si>
  <si>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</si>
  <si>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</si>
  <si>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</si>
  <si>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</si>
  <si>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</si>
  <si>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</si>
  <si>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</si>
  <si>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</si>
  <si>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</si>
  <si>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</si>
  <si>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</si>
  <si>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</si>
  <si>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</si>
  <si>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</si>
  <si>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</si>
  <si>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</si>
  <si>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</si>
  <si>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</si>
  <si>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</si>
  <si>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</si>
  <si>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</si>
  <si>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</si>
  <si>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</si>
  <si>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</si>
  <si>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</si>
  <si>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</si>
  <si>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</si>
  <si>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</si>
  <si>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</si>
  <si>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</si>
  <si>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</si>
  <si>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</si>
  <si>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</si>
  <si>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</si>
  <si>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</si>
  <si>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</si>
  <si>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</si>
  <si>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</si>
  <si>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</si>
  <si>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</si>
  <si>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</si>
  <si>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</si>
  <si>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</si>
  <si>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</si>
  <si>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</si>
  <si>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</si>
  <si>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</si>
  <si>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</si>
  <si>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</si>
  <si>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</si>
  <si>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</si>
  <si>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</si>
  <si>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</si>
  <si>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</si>
  <si>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</si>
  <si>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</si>
  <si>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</si>
  <si>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</si>
  <si>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</si>
  <si>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</si>
  <si>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</si>
  <si>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</si>
  <si>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</si>
  <si>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</si>
  <si>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</si>
  <si>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</si>
  <si>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</si>
  <si>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</si>
  <si>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</si>
  <si>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</si>
  <si>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</si>
  <si>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</si>
  <si>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</si>
  <si>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</si>
  <si>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</si>
  <si>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</si>
  <si>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</si>
  <si>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</si>
  <si>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</si>
  <si>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</si>
  <si>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</si>
  <si>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</si>
  <si>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</si>
  <si>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</si>
  <si>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</si>
  <si>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</si>
  <si>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</si>
  <si>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</si>
  <si>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</si>
  <si>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</si>
  <si>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</si>
  <si>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</si>
  <si>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</si>
  <si>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</si>
  <si>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</si>
  <si>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</si>
  <si>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</si>
  <si>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</si>
  <si>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</si>
  <si>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</si>
  <si>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</si>
  <si>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</si>
  <si>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</si>
  <si>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</si>
  <si>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</si>
  <si>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</si>
  <si>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</si>
  <si>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</si>
  <si>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</si>
  <si>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</si>
  <si>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</si>
  <si>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</si>
  <si>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</si>
  <si>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</si>
  <si>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</si>
  <si>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</si>
  <si>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</si>
  <si>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</si>
  <si>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</si>
  <si>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</si>
  <si>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</si>
  <si>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</si>
  <si>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</si>
  <si>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</si>
  <si>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</si>
  <si>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</si>
  <si>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</si>
  <si>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</si>
  <si>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</si>
  <si>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</si>
  <si>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</si>
  <si>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</si>
  <si>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</si>
  <si>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</si>
  <si>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</si>
  <si>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</si>
  <si>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</si>
  <si>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</si>
  <si>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</si>
  <si>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</si>
  <si>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</si>
  <si>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</si>
  <si>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</si>
  <si>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</si>
  <si>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</si>
  <si>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</si>
  <si>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</si>
  <si>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</si>
  <si>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</si>
  <si>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</si>
  <si>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</si>
  <si>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</si>
  <si>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</si>
  <si>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</si>
  <si>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</si>
  <si>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</si>
  <si>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</si>
  <si>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</si>
  <si>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</si>
  <si>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</si>
  <si>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</si>
  <si>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</si>
  <si>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</si>
  <si>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</si>
  <si>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</si>
  <si>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</si>
  <si>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</si>
  <si>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</si>
  <si>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</si>
  <si>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</si>
  <si>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</si>
  <si>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</si>
  <si>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</si>
  <si>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</si>
  <si>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</si>
  <si>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</si>
  <si>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</si>
  <si>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</si>
  <si>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</si>
  <si>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</si>
  <si>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</si>
  <si>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</si>
  <si>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</si>
  <si>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</si>
  <si>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</si>
  <si>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</si>
  <si>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</si>
  <si>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</si>
  <si>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</si>
  <si>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</si>
  <si>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</si>
  <si>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</si>
  <si>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</si>
  <si>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</si>
  <si>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</si>
  <si>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</si>
  <si>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</si>
  <si>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</si>
  <si>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</si>
  <si>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</si>
  <si>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</si>
  <si>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</si>
  <si>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</si>
  <si>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</si>
  <si>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</si>
  <si>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</si>
  <si>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</si>
  <si>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</si>
  <si>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</si>
  <si>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</si>
  <si>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</si>
  <si>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</si>
  <si>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</si>
  <si>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</si>
  <si>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</si>
  <si>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</si>
  <si>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</si>
  <si>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</si>
  <si>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</si>
  <si>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</si>
  <si>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</si>
  <si>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</si>
  <si>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</si>
  <si>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</si>
  <si>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</si>
  <si>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</si>
  <si>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</si>
  <si>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</si>
  <si>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</si>
  <si>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</si>
  <si>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</si>
  <si>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</si>
  <si>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</si>
  <si>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</si>
  <si>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</si>
  <si>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</si>
  <si>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</si>
  <si>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</si>
  <si>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</si>
  <si>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</si>
  <si>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</si>
  <si>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</si>
  <si>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</si>
  <si>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</si>
  <si>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</si>
  <si>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</si>
  <si>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</si>
  <si>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</si>
  <si>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</si>
  <si>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</si>
  <si>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</si>
  <si>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</si>
  <si>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</si>
  <si>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</si>
  <si>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</si>
  <si>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</si>
  <si>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</si>
  <si>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</si>
  <si>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</si>
  <si>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</si>
  <si>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</si>
  <si>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</si>
  <si>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</si>
  <si>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</si>
  <si>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</si>
  <si>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</si>
  <si>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</si>
  <si>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</si>
  <si>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</si>
  <si>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</si>
  <si>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</si>
  <si>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</si>
  <si>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</si>
  <si>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</si>
  <si>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</si>
  <si>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</si>
  <si>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</si>
  <si>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</si>
  <si>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</si>
  <si>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</si>
  <si>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</si>
  <si>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</si>
  <si>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</si>
  <si>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</si>
  <si>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</si>
  <si>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</si>
  <si>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</si>
  <si>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</si>
  <si>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</si>
  <si>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</si>
  <si>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</si>
  <si>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</si>
  <si>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</si>
  <si>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</si>
  <si>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</si>
  <si>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</si>
  <si>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</si>
  <si>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</si>
  <si>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</si>
  <si>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</si>
  <si>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</si>
  <si>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</si>
  <si>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</si>
  <si>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</si>
  <si>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</si>
  <si>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</si>
  <si>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</si>
  <si>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</si>
  <si>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</si>
  <si>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</si>
  <si>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</si>
  <si>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</si>
  <si>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</si>
  <si>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</si>
  <si>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</si>
  <si>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</si>
  <si>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</si>
  <si>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</si>
  <si>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</si>
  <si>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</si>
  <si>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</si>
  <si>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</si>
  <si>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</si>
  <si>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</si>
  <si>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</si>
  <si>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</si>
  <si>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</si>
  <si>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</si>
  <si>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</si>
  <si>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</si>
  <si>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</si>
  <si>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</si>
  <si>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</si>
  <si>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</si>
  <si>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</si>
  <si>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</si>
  <si>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</si>
  <si>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</si>
  <si>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</si>
  <si>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</si>
  <si>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</si>
  <si>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</si>
  <si>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</si>
  <si>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</si>
  <si>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</si>
  <si>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</si>
  <si>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</si>
  <si>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</si>
  <si>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</si>
  <si>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</si>
  <si>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</si>
  <si>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</si>
  <si>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</si>
  <si>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</si>
  <si>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</si>
  <si>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</si>
  <si>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</si>
  <si>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</si>
  <si>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</si>
  <si>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</si>
  <si>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</si>
  <si>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</si>
  <si>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</si>
  <si>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</si>
  <si>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</si>
  <si>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</si>
  <si>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</si>
  <si>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</si>
  <si>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</si>
  <si>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</si>
  <si>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</si>
  <si>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</si>
  <si>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</si>
  <si>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</si>
  <si>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</si>
  <si>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</si>
  <si>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</si>
  <si>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</si>
  <si>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</si>
  <si>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</si>
  <si>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</si>
  <si>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</si>
  <si>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</si>
  <si>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</si>
  <si>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</si>
  <si>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</si>
  <si>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</si>
  <si>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</si>
  <si>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</si>
  <si>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</si>
  <si>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</si>
  <si>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</si>
  <si>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</si>
  <si>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</si>
  <si>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</si>
  <si>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</si>
  <si>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</si>
  <si>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</si>
  <si>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</si>
  <si>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</si>
  <si>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</si>
  <si>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</si>
  <si>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</si>
  <si>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</si>
  <si>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</si>
  <si>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</si>
  <si>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</si>
  <si>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</si>
  <si>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</si>
  <si>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</si>
  <si>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</si>
  <si>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</si>
  <si>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</si>
  <si>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</si>
  <si>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</si>
  <si>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</si>
  <si>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</si>
  <si>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</si>
  <si>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</si>
  <si>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</si>
  <si>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</si>
  <si>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</si>
  <si>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</si>
  <si>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</si>
  <si>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</si>
  <si>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</si>
  <si>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</si>
  <si>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</si>
  <si>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</si>
  <si>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</si>
  <si>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</si>
  <si>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</si>
  <si>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</si>
  <si>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</si>
  <si>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</si>
  <si>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</si>
  <si>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</si>
  <si>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</si>
  <si>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</si>
  <si>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</si>
  <si>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</si>
  <si>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</si>
  <si>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</si>
  <si>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</si>
  <si>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</si>
  <si>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</si>
  <si>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</si>
  <si>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</si>
  <si>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</si>
  <si>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</si>
  <si>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</si>
  <si>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</si>
  <si>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</si>
  <si>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</si>
  <si>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</si>
  <si>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</si>
  <si>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</si>
  <si>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</si>
  <si>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</si>
  <si>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</si>
  <si>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</si>
  <si>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</si>
  <si>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</si>
  <si>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</si>
  <si>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</si>
  <si>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</si>
  <si>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</si>
  <si>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</si>
  <si>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</si>
  <si>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</si>
  <si>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</si>
  <si>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</si>
  <si>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</si>
  <si>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</si>
  <si>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</si>
  <si>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</si>
  <si>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</si>
  <si>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</si>
  <si>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</si>
  <si>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</si>
  <si>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</si>
  <si>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</si>
  <si>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</si>
  <si>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</si>
  <si>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</si>
  <si>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</si>
  <si>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</si>
  <si>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</si>
  <si>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</si>
  <si>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</si>
  <si>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</si>
  <si>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</si>
  <si>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</si>
  <si>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</si>
  <si>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</si>
  <si>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</si>
  <si>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</si>
  <si>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</si>
  <si>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</si>
  <si>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</si>
  <si>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</si>
  <si>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</si>
  <si>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</si>
  <si>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</si>
  <si>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</si>
  <si>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</si>
  <si>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</si>
  <si>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</si>
  <si>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</si>
  <si>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</si>
  <si>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</si>
  <si>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</si>
  <si>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</si>
  <si>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</si>
  <si>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</si>
  <si>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</si>
  <si>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</si>
  <si>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</si>
  <si>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</si>
  <si>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</si>
  <si>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</si>
  <si>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</si>
  <si>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</si>
  <si>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</si>
  <si>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</si>
  <si>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</si>
  <si>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</si>
  <si>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</si>
  <si>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</si>
  <si>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</si>
  <si>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</si>
  <si>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</si>
  <si>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</si>
  <si>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</si>
  <si>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</si>
  <si>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</si>
  <si>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</si>
  <si>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</si>
  <si>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</si>
  <si>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</si>
  <si>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</si>
  <si>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</si>
  <si>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</si>
  <si>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</si>
  <si>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</si>
  <si>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</si>
  <si>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</si>
  <si>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</si>
  <si>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</si>
  <si>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</si>
  <si>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</si>
  <si>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</si>
  <si>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</si>
  <si>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</si>
  <si>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</si>
  <si>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</si>
  <si>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</si>
  <si>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</si>
  <si>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</si>
  <si>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</si>
  <si>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</si>
  <si>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</si>
  <si>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</si>
  <si>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</si>
  <si>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</si>
  <si>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</si>
  <si>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</si>
  <si>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</si>
  <si>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</si>
  <si>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</si>
  <si>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</si>
  <si>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</si>
  <si>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</si>
  <si>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</si>
  <si>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</si>
  <si>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</si>
  <si>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</si>
  <si>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</si>
  <si>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</si>
  <si>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</si>
  <si>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</si>
  <si>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</si>
  <si>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</si>
  <si>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</si>
  <si>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</si>
  <si>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</si>
  <si>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</si>
  <si>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</si>
  <si>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</si>
  <si>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</si>
  <si>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</si>
  <si>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</si>
  <si>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</si>
  <si>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</si>
  <si>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</si>
  <si>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</si>
  <si>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</si>
  <si>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</si>
  <si>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</si>
  <si>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</si>
  <si>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</si>
  <si>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</si>
  <si>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</si>
  <si>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</si>
  <si>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</si>
  <si>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</si>
  <si>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</si>
  <si>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</si>
  <si>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</si>
  <si>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</si>
  <si>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</si>
  <si>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</si>
  <si>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</si>
  <si>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</si>
  <si>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</si>
  <si>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</si>
  <si>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</si>
  <si>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</si>
  <si>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</si>
  <si>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</si>
  <si>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</si>
  <si>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</si>
  <si>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</si>
  <si>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</si>
  <si>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</si>
  <si>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</si>
  <si>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</si>
  <si>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</si>
  <si>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</si>
  <si>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</si>
  <si>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</si>
  <si>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</si>
  <si>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</si>
  <si>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</si>
  <si>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</si>
  <si>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</si>
  <si>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</si>
  <si>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</si>
  <si>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</si>
  <si>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</si>
  <si>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</si>
  <si>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</si>
  <si>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</si>
  <si>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</si>
  <si>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</si>
  <si>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</si>
  <si>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</si>
  <si>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</si>
  <si>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</si>
  <si>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</si>
  <si>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</si>
  <si>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</si>
  <si>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</si>
  <si>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</si>
  <si>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</si>
  <si>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</si>
  <si>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</si>
  <si>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</si>
  <si>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</si>
  <si>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</si>
  <si>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</si>
  <si>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</si>
  <si>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</si>
  <si>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</si>
  <si>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</si>
  <si>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</si>
  <si>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</si>
  <si>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</si>
  <si>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</si>
  <si>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</si>
  <si>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</si>
  <si>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</si>
  <si>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</si>
  <si>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</si>
  <si>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</si>
  <si>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</si>
  <si>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</si>
  <si>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</si>
  <si>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</si>
  <si>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</si>
  <si>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</si>
  <si>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</si>
  <si>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</si>
  <si>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</si>
  <si>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</si>
  <si>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</si>
  <si>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</si>
  <si>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</si>
  <si>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</si>
  <si>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</si>
  <si>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</si>
  <si>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</si>
  <si>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</si>
  <si>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</si>
  <si>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</si>
  <si>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</si>
  <si>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</si>
  <si>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</si>
  <si>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</si>
  <si>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</si>
  <si>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</si>
  <si>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</si>
  <si>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</si>
  <si>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</si>
  <si>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</si>
  <si>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</si>
  <si>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</si>
  <si>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</si>
  <si>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</si>
  <si>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</si>
  <si>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</si>
  <si>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</si>
  <si>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</si>
  <si>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</si>
  <si>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</si>
  <si>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</si>
  <si>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</si>
  <si>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</si>
  <si>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</si>
  <si>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</si>
  <si>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</si>
  <si>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</si>
  <si>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</si>
  <si>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</si>
  <si>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</si>
  <si>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</si>
  <si>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</si>
  <si>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</si>
  <si>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</si>
  <si>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</si>
  <si>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</si>
  <si>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</si>
  <si>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</si>
  <si>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</si>
  <si>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</si>
  <si>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</si>
  <si>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</si>
  <si>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</si>
  <si>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</si>
  <si>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</si>
  <si>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</si>
  <si>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</si>
  <si>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</si>
  <si>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</si>
  <si>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</si>
  <si>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</si>
  <si>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</si>
  <si>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</si>
  <si>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</si>
  <si>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</si>
  <si>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</si>
  <si>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</si>
  <si>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</si>
  <si>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</si>
  <si>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</si>
  <si>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</si>
  <si>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</si>
  <si>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</si>
  <si>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</si>
  <si>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</si>
  <si>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</si>
  <si>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</si>
  <si>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</si>
  <si>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</si>
  <si>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</si>
  <si>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</si>
  <si>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</si>
  <si>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</si>
  <si>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</si>
  <si>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</si>
  <si>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</si>
  <si>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</si>
  <si>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</si>
  <si>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</si>
  <si>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</si>
  <si>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</si>
  <si>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</si>
  <si>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</si>
  <si>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</si>
  <si>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</si>
  <si>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</si>
  <si>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</si>
  <si>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</si>
  <si>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</si>
  <si>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</si>
  <si>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</si>
  <si>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</si>
  <si>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</si>
  <si>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</si>
  <si>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</si>
  <si>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</si>
  <si>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</si>
  <si>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</si>
  <si>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</si>
  <si>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</si>
  <si>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</si>
  <si>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</si>
  <si>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</si>
  <si>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</si>
  <si>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</si>
  <si>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</si>
  <si>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</si>
  <si>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</si>
  <si>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</si>
  <si>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</si>
  <si>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</si>
  <si>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</si>
  <si>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</si>
  <si>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</si>
  <si>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GK SHAANAZ ENTERPRISE Total</t>
  </si>
  <si>
    <t>Protech Master Coach Sdn Bhd Total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</si>
  <si>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</si>
  <si>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</si>
  <si>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</si>
  <si>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</si>
  <si>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</si>
  <si>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</si>
  <si>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</si>
  <si>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</si>
  <si>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</si>
  <si>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</si>
  <si>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</si>
  <si>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</si>
  <si>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</si>
  <si>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</si>
  <si>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</si>
  <si>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</si>
  <si>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</si>
  <si>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</si>
  <si>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</si>
  <si>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</si>
  <si>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</si>
  <si>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</si>
  <si>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</si>
  <si>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</si>
  <si>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</si>
  <si>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</si>
  <si>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</si>
  <si>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</si>
  <si>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</si>
  <si>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</si>
  <si>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</si>
  <si>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</si>
  <si>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</si>
  <si>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</si>
  <si>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</si>
  <si>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</si>
  <si>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</si>
  <si>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</si>
  <si>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</si>
  <si>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</si>
  <si>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</si>
  <si>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</si>
  <si>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</si>
  <si>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</si>
  <si>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</si>
  <si>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</si>
  <si>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</si>
  <si>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</si>
  <si>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</si>
  <si>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</si>
  <si>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</si>
  <si>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</si>
  <si>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</si>
  <si>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</si>
  <si>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</si>
  <si>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</si>
  <si>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</si>
  <si>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</si>
  <si>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</si>
  <si>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</si>
  <si>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</si>
  <si>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</si>
  <si>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</si>
  <si>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</si>
  <si>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</si>
  <si>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</si>
  <si>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</si>
  <si>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</si>
  <si>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</si>
  <si>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</si>
  <si>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</si>
  <si>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</si>
  <si>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</si>
  <si>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</si>
  <si>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</si>
  <si>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</si>
  <si>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</si>
  <si>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</si>
  <si>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</si>
  <si>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</si>
  <si>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</si>
  <si>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</si>
  <si>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</si>
  <si>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</si>
  <si>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</si>
  <si>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</si>
  <si>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</si>
  <si>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</si>
  <si>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</si>
  <si>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02/05/2025</t>
  </si>
  <si>
    <t>INV00001196</t>
  </si>
  <si>
    <t>03/05/2025</t>
  </si>
  <si>
    <t>INV00001197</t>
  </si>
  <si>
    <t>INV00001198</t>
  </si>
  <si>
    <t>INV00001199</t>
  </si>
  <si>
    <t>INV00001200</t>
  </si>
  <si>
    <t>04/05/2025</t>
  </si>
  <si>
    <t>INV00001201</t>
  </si>
  <si>
    <t>06/05/2025</t>
  </si>
  <si>
    <t>INV00001202</t>
  </si>
  <si>
    <t>INV00001203</t>
  </si>
  <si>
    <t>INV00001204</t>
  </si>
  <si>
    <t>08/05/2025</t>
  </si>
  <si>
    <t>INV00001205</t>
  </si>
  <si>
    <t>INV00001206</t>
  </si>
  <si>
    <t>10/05/2025</t>
  </si>
  <si>
    <t>INV00001207</t>
  </si>
  <si>
    <t>INV00001208</t>
  </si>
  <si>
    <t>14/05/2025</t>
  </si>
  <si>
    <t>INV00001209</t>
  </si>
  <si>
    <t>INV00001210</t>
  </si>
  <si>
    <t>INV00001211</t>
  </si>
  <si>
    <t>15/05/2025</t>
  </si>
  <si>
    <t>INV00001212</t>
  </si>
  <si>
    <t>RO Gelcoat (22kg)</t>
  </si>
  <si>
    <t>16/05/2025</t>
  </si>
  <si>
    <t>INV00001213</t>
  </si>
  <si>
    <t>INV00001214</t>
  </si>
  <si>
    <t>17/05/2025</t>
  </si>
  <si>
    <t>INV00001215</t>
  </si>
  <si>
    <t>INV00001216</t>
  </si>
  <si>
    <t>20/05/2025</t>
  </si>
  <si>
    <t>INV00001217</t>
  </si>
  <si>
    <t>22/05/2025</t>
  </si>
  <si>
    <t>INV00001218</t>
  </si>
  <si>
    <t>23/05/2025</t>
  </si>
  <si>
    <t>INV00001219</t>
  </si>
  <si>
    <t>INV00001220</t>
  </si>
  <si>
    <t>26/05/2025</t>
  </si>
  <si>
    <t>INV00001221</t>
  </si>
  <si>
    <t>INV00001222</t>
  </si>
  <si>
    <t>27/05/2025</t>
  </si>
  <si>
    <t>INV00001223</t>
  </si>
  <si>
    <t>INV00001224</t>
  </si>
  <si>
    <t>INV00001225</t>
  </si>
  <si>
    <t>29/05/2025</t>
  </si>
  <si>
    <t>INV00001226</t>
  </si>
  <si>
    <t>INV00001227</t>
  </si>
  <si>
    <t>30/05/2025</t>
  </si>
  <si>
    <t>INV00001228</t>
  </si>
  <si>
    <t>Trsf 23/4/25 RM2,000.00(RM101.70), 2/5/25 RM2,000.00(RM158.30)</t>
  </si>
  <si>
    <t>Trsf 2/5/25 RM2,000.00(RM120.00)</t>
  </si>
  <si>
    <t>Trsf 2/5/25 RM2,000.00(RM1.721.70), 11/5/25 RM1,000.00(RM16.30)</t>
  </si>
  <si>
    <t>Trsf 11/5/25 RM2,000.00(RM405.00)</t>
  </si>
  <si>
    <t>Trsf 11/5/25 RM2,000.00(RM390.00)</t>
  </si>
  <si>
    <t>Trsf 11/5/25 RM2,000.00(RM188.70), 13/5/25 RM1,000.00(RM1,000.00). 21/5/25 RM1,400.00(RM549.30)</t>
  </si>
  <si>
    <t>Trsf 21/5/25 RM1,400.00(RM405.00)</t>
  </si>
  <si>
    <t>Trsf 21/5/25 RM1,400.00(RM395.00)</t>
  </si>
  <si>
    <t>Trsf 18/4/25 RM22,000.00(RM1,177.90)</t>
  </si>
  <si>
    <t>Trsf 18/4/25 RM22,000.00(RM380.00)</t>
  </si>
  <si>
    <t>Trsf 18/4/25 RM22,000.00(RM2,000.00)</t>
  </si>
  <si>
    <t>Trsf 18/4/25 RM22,000.00(RM187.50)</t>
  </si>
  <si>
    <t>Trsf 18/4/25 RM22,000.00(RM9.720.00)</t>
  </si>
  <si>
    <t>Trsf 18/4/25 RM22,000.00(RM2,385.00)</t>
  </si>
  <si>
    <t>Trsf 18/4/25 RM22,000.00(RM1,000.00)</t>
  </si>
  <si>
    <t>Trsf 18/4/25 RM22,000.00(RM312.50)</t>
  </si>
  <si>
    <t>Trsf 2/5/25 RM20,000.00(RM2,088.00)</t>
  </si>
  <si>
    <t>Trsf 2/5/25 RM20,000.00(RM2,146.50)</t>
  </si>
  <si>
    <t>Trsf 2/5/25 RM20,000.00(RM380.00)</t>
  </si>
  <si>
    <t>Trsf 2/5/25 RM20,000.00(RM1,000.00)</t>
  </si>
  <si>
    <t>Trsf 2/5/25 RM20,000.00(RM62.50)</t>
  </si>
  <si>
    <t>Trsf 2/5/25 RM20,000.00(RM13,482.60), 5/5/25 RM18,000.00(RM2,717.40)</t>
  </si>
  <si>
    <t>Trsf 5/5/25 RM18,000.00(RM3,480.00)</t>
  </si>
  <si>
    <t>Trsf 5/5/25 RM18,000.00(RM2,862.00)</t>
  </si>
  <si>
    <t>Trsf 5/5/25 RM18,000.00(RM460.00)</t>
  </si>
  <si>
    <t>Trsf 5/5/25 RM18,000.00(RM2,000.00)</t>
  </si>
  <si>
    <t>Trsf 5/5/25 RM18,000.00(RM975.00)</t>
  </si>
  <si>
    <t>Trsf 5/5/25 RM18,000.00(RM62.50)</t>
  </si>
  <si>
    <t>Trsf 5/5/25 RM18,000.00(RM3,240.00)</t>
  </si>
  <si>
    <t>Trsf 5/5/25 RM18,000.00(RM1,192.50)</t>
  </si>
  <si>
    <t>Trsf 5/5/25 RM18,000.00(RM488.10), 7/5/25 RM19,000.00(RM2,751.90)</t>
  </si>
  <si>
    <t>Trsf 7/5/25 RM19,000.00(RM696.00)</t>
  </si>
  <si>
    <t>Trsf 7/5/25 RM19,000.00(RM715.50)</t>
  </si>
  <si>
    <t>Trsf 7/5/25 RM19,000.00(RM345.00)</t>
  </si>
  <si>
    <t>Trsf 7/5/25 RM19,000.00(RM125.00)</t>
  </si>
  <si>
    <t>Trsf 7/5/25 RM19,000.00(RM4,860.00)</t>
  </si>
  <si>
    <t>Trsf 7/5/25 RM19,000.00(RM1,740.00)</t>
  </si>
  <si>
    <t>Trsf 7/5/25 RM19,000.00(RM954.00)</t>
  </si>
  <si>
    <t>Trsf 7/5/25 RM19,000.00(RM460.00)</t>
  </si>
  <si>
    <t>Trsf 7/5/25 RM19,000.00(RM975.00)</t>
  </si>
  <si>
    <t>Trsf 7/5/25 RM19,000.00(RM312.50)</t>
  </si>
  <si>
    <t>Trsf 7/5/25 RM19,000.00(RM5,065.10), 9/5/25 RM8,000.00(RM3,034.90)</t>
  </si>
  <si>
    <t>Trsf 9/5/25 RM8,000.00(RM460.00)</t>
  </si>
  <si>
    <t>Trsf 9/5/25 RM8,000.00(RM1,669.50)</t>
  </si>
  <si>
    <t>Trsf 9/5/25 RM8,000.00(RM2,610.00)</t>
  </si>
  <si>
    <t>Trsf 9/5/25 RM8,000.00(RM225.60), 13/5/25 RM4,500.00(RM749.40)</t>
  </si>
  <si>
    <t>Trsf 13/5/25 RM4,500.00(RM3,750.60), 16/5/25 RM18,000.00(RM5,969.40)</t>
  </si>
  <si>
    <t>Trsf 16/5/25 RM18,000.00(RM2,610.00)</t>
  </si>
  <si>
    <t>Trsf 16/5/25 RM18,000.00(RM312.50)</t>
  </si>
  <si>
    <t>Trsf 22/5/25 RM7,500.00(RM3,577.50)</t>
  </si>
  <si>
    <t>Trsf 22/5/25 RM7,500.00(RM575.00)</t>
  </si>
  <si>
    <t>Trsf 23/5/25 RM10,000.00(125.00)</t>
  </si>
  <si>
    <t>Trsf 23/5/25 RM10,000.00(RM8,100.00)</t>
  </si>
  <si>
    <t>Trsf 27/5/25 RM8,500.00(RM1,732.50)</t>
  </si>
  <si>
    <t>Trsf 27/5/25 RM8,500.00(RM690.00)</t>
  </si>
  <si>
    <t>Trsf 27/5/25 RM8,500.00(RM975.00)</t>
  </si>
  <si>
    <t>Trsf 27/5/25 RM8,500.00(RM62.50)</t>
  </si>
  <si>
    <t>Trsf 16/5/25 RM18,000.00(RM1,669.50)</t>
  </si>
  <si>
    <t>Trsf 16/5/25 RM18,000.00(RM7,438.60, 16/5/25 RM4,500.00(RM4,500.00), 20/5/25 RM2,500.00(RM1,021.40)</t>
  </si>
  <si>
    <t>Trsf 20/5/25 RM2,500.00(RM1,478.60), 20/5/25RM2,000.00(RM2,000.00), 22/5/25 RM7,500.00(RM1,741.40)</t>
  </si>
  <si>
    <t>Trsf 22/5/25 RM7,500.00(RM1,606.10), 23/5/25 RM10,000.00(RM343.90)</t>
  </si>
  <si>
    <t>Trsf 23/5/25 RM10,000.00(RM1,431.10), 27/5/25 RM8,500.00(RM1,178.90)</t>
  </si>
  <si>
    <t>Trsf 27/5/25 RM8,500.00(RM3,861.10), 30/5/25 RM13,000.00(RM998.90)</t>
  </si>
  <si>
    <t>Trsf 30/5/25 RM13,000.00(RM1,566.00)</t>
  </si>
  <si>
    <t>Trsf 30/5/25 RM13,000.00(RM990.00)</t>
  </si>
  <si>
    <t>Trsf 30/5/25 RM13,000.00(RM187.50)</t>
  </si>
  <si>
    <t>Trsf 30/5/25 RM13,000.00(RM8,100.00)</t>
  </si>
  <si>
    <t>Trsf 18/4/25 RM22,000.00(RM879.60), 22/4/25 RM8,000.00(RM8,000.00), 2/5/25 RM20,000.00(RM840.40)</t>
  </si>
  <si>
    <t>Trsf 2/5/25 RM716.00</t>
  </si>
  <si>
    <t>Trsf 6/5/25 RM775.00</t>
  </si>
  <si>
    <t>Trsf 29/5/25 RM2,234.50</t>
  </si>
  <si>
    <t>Trsf 3/5/25 RM4,967.40</t>
  </si>
  <si>
    <t>Trsf 6/5/25 RM2,166.20</t>
  </si>
  <si>
    <t>Trsf 26/5/25 RM6,958.60</t>
  </si>
  <si>
    <t>Cheque MBB 852699, Cleared 15/5/25 RM32,341.10</t>
  </si>
  <si>
    <t>AIBB 001014 29/4/25 RM1,000.00(RM1,000.00), 001016 13/5/25 RM1,170.00(RM755.00)</t>
  </si>
  <si>
    <t>AIBB 001016 13/5/25 RM1,170.00(RM195.00)</t>
  </si>
  <si>
    <t>AIBB 001016 13/5/25 RM1,170.00(RM220.00)</t>
  </si>
  <si>
    <t>Chq PBB 072027, Cleared 14/5/25 RM2,707.50</t>
  </si>
  <si>
    <t>Trsf 31/5/25 RM24,595.40</t>
  </si>
  <si>
    <t>Chq PBB 072026, Cleared 5/5/25 RM2,360.00</t>
  </si>
  <si>
    <t>03/06/2025</t>
  </si>
  <si>
    <t>INV00001229</t>
  </si>
  <si>
    <t>INV00001230</t>
  </si>
  <si>
    <t>04/06/2025</t>
  </si>
  <si>
    <t>INV00001231</t>
  </si>
  <si>
    <t>Pioneer Coachbuilders Sdn Bhd</t>
  </si>
  <si>
    <t>Gelcoat (25kg)</t>
  </si>
  <si>
    <t>Pigment Grey G1 (5kg)</t>
  </si>
  <si>
    <t>Acccelerator (4kg)</t>
  </si>
  <si>
    <t xml:space="preserve">Pigment Orange (5kg)  </t>
  </si>
  <si>
    <t>PVA (5kg)</t>
  </si>
  <si>
    <t>05/06/2025</t>
  </si>
  <si>
    <t>INV00001232</t>
  </si>
  <si>
    <t>INV00001233</t>
  </si>
  <si>
    <t>06/06/2025</t>
  </si>
  <si>
    <t>INV00001234</t>
  </si>
  <si>
    <t>INV00001235</t>
  </si>
  <si>
    <t>INV00001236</t>
  </si>
  <si>
    <t>07/06/2025</t>
  </si>
  <si>
    <t>INV00001237</t>
  </si>
  <si>
    <t>09/06/2025</t>
  </si>
  <si>
    <t>INV00001238</t>
  </si>
  <si>
    <t>RD Steel Roller 7"</t>
  </si>
  <si>
    <t>10/06/2025</t>
  </si>
  <si>
    <t>INV00001239</t>
  </si>
  <si>
    <t>INV00001240</t>
  </si>
  <si>
    <t>12/06/2025</t>
  </si>
  <si>
    <t>INV00001241</t>
  </si>
  <si>
    <t>INV00001242</t>
  </si>
  <si>
    <t>13/06/2025</t>
  </si>
  <si>
    <t>INV00001243</t>
  </si>
  <si>
    <t>INV00001244</t>
  </si>
  <si>
    <t>RA Resin 9509wax (225kg)</t>
  </si>
  <si>
    <t>16/06/2025</t>
  </si>
  <si>
    <t>INV00001245</t>
  </si>
  <si>
    <t>SK Setia Enterprise</t>
  </si>
  <si>
    <t>RM Gelcoat NPG 9319-H (225kg)</t>
  </si>
  <si>
    <t>14/06/2025</t>
  </si>
  <si>
    <t>INV00001246</t>
  </si>
  <si>
    <t>INV00001247</t>
  </si>
  <si>
    <t>INV00001248</t>
  </si>
  <si>
    <t>17/06/2025</t>
  </si>
  <si>
    <t>INV00001249</t>
  </si>
  <si>
    <t>19/06/2025</t>
  </si>
  <si>
    <t>INV00001250</t>
  </si>
  <si>
    <t>INV00001251</t>
  </si>
  <si>
    <t>INV00001252</t>
  </si>
  <si>
    <t>21/06/2025</t>
  </si>
  <si>
    <t>INV00001253</t>
  </si>
  <si>
    <t>INV00001254</t>
  </si>
  <si>
    <t>25/06/2025</t>
  </si>
  <si>
    <t>INV00001255</t>
  </si>
  <si>
    <t>INV00001256</t>
  </si>
  <si>
    <t>INV00001257</t>
  </si>
  <si>
    <t>26/06/2025</t>
  </si>
  <si>
    <t>INV00001258</t>
  </si>
  <si>
    <t>28/06/2025</t>
  </si>
  <si>
    <t>INV00001259</t>
  </si>
  <si>
    <t>30/06/2025</t>
  </si>
  <si>
    <t>INV00001260</t>
  </si>
  <si>
    <t>Pigment Grey G13 (15kg)</t>
  </si>
  <si>
    <t>C00000062</t>
  </si>
  <si>
    <t>C00000063</t>
  </si>
  <si>
    <t>Trsf 21/5/25 RM1,400.00(RM50.70), 24/5/25 RM600.00(RM99.30)</t>
  </si>
  <si>
    <t>Trsf 24/5/25 RM600.00(RM500.70), 26/5/25 RM1,000.00(1,000.00), 1/6/25 RM500.00 (RM237.30)</t>
  </si>
  <si>
    <t>Trsf 1/6/25 RM500.00 (RM187.50)</t>
  </si>
  <si>
    <t>Trsf 1/6/25 RM500.00 (RM75.20), 12/6/25 RM1,000.00(RM344.80)</t>
  </si>
  <si>
    <t>Trsf 12/6/25 RM1,000.00(RM110.00)</t>
  </si>
  <si>
    <t>Trsf 12/6/25 RM1,000.00(RM545.20), 17/7/25 RM1,000.00(RM1,000.00),  18/7/25 RM1,500.00(RM214.80)</t>
  </si>
  <si>
    <t>Trsf 18/6/25 RM1,500.00(RM405.00)</t>
  </si>
  <si>
    <t>Trsf 18/6/25 RM1,500.00(RM390.00)</t>
  </si>
  <si>
    <t>Trsf 18/6/25 RM1,500.00(RM187.50)</t>
  </si>
  <si>
    <t>Trsf 30/5/25 RM13,000.00(RM1,157.60), 4/6/25 RM14,500.00(RM408.40)</t>
  </si>
  <si>
    <t>Trsf 4/6/25 RM14,500.00(RM1,980.00)</t>
  </si>
  <si>
    <t>Trsf 4/6/25 RM14,500.00(RM460.00)</t>
  </si>
  <si>
    <t>Trsf 4/6/25 RM14,500.00(RM1,000.00)</t>
  </si>
  <si>
    <t>Trsf 4/6/25 RM14,500.00(RM3,240.00)</t>
  </si>
  <si>
    <t>Trsf 4/6/25 RM14,500.00(RM696.00)</t>
  </si>
  <si>
    <t>Trsf 4/6/25 RM14,500.00(RM495.00)</t>
  </si>
  <si>
    <t>Trsf 4/6/25 RM14,500.00(RM975.00)</t>
  </si>
  <si>
    <t>Trsf 4/6/25 RM14,500.00(RM62.50)</t>
  </si>
  <si>
    <t>Trsf 4/6/25 RM14,500.00(RM4,723.10), 5/6/25 RM10,000.00(RM136.90)</t>
  </si>
  <si>
    <t>Trsf 5/6/25 RM10,000.00(RM1,566.00)</t>
  </si>
  <si>
    <t>Trsf 5/6/25 RM10,000.00(RM990.00)</t>
  </si>
  <si>
    <t>Trsf 5/6/25 RM10,000.00(RM460.00)</t>
  </si>
  <si>
    <t>Trsf 5/6/25 RM10,000.00(RM1,000.00)</t>
  </si>
  <si>
    <t>Trsf 5/6/25 RM10,000.00(RM62.50)</t>
  </si>
  <si>
    <t>Trsf 5/6/25 RM10,000.00(RM1,620.00)</t>
  </si>
  <si>
    <t>Trsf 5/6/25 RM10,000.00(RM522.00)</t>
  </si>
  <si>
    <t>Trsf 5/6/25 RM10,000.00(RM247.50)</t>
  </si>
  <si>
    <t>Trsf 5/6/25 RM10,000.00(RM975.00)</t>
  </si>
  <si>
    <t>Trsf 5/6/25 RM10,000.00(RM187.50)</t>
  </si>
  <si>
    <t>Trsf 13/6/25 RM20,000.00(RM2,088.00)</t>
  </si>
  <si>
    <t>Trsf 13/6/25 RM20,000.00(RM1,485.00)</t>
  </si>
  <si>
    <t>Trsf 13/6/25 RM20,000.00(RM460.00)</t>
  </si>
  <si>
    <t>Trsf 13/6/25 RM20,000.00(RM1,000.00)</t>
  </si>
  <si>
    <t>Trsf 13/6/25 RM20,000.00(RM62.50)</t>
  </si>
  <si>
    <t>Trsf 13/6/25 RM20,000.00(RM4,860.00)</t>
  </si>
  <si>
    <t>Trsf 13/6/25 RM20,000.00(RM1,566.00)</t>
  </si>
  <si>
    <t>Trsf 13/6/25 RM20,000.00(RM990.00)</t>
  </si>
  <si>
    <t>Trsf 13/6/25 RM20,000.00(RM375.00)</t>
  </si>
  <si>
    <t>Trsf 20/6/25 RM21,000.00(RM6,264.00)</t>
  </si>
  <si>
    <t>Trsf 24/6/25 RM14,500.00(RM920.00)</t>
  </si>
  <si>
    <t>Trsf 24/6/25 RM14,500.00(RM1,950.00)</t>
  </si>
  <si>
    <t>Trsf 24/6/25 RM14,500.00(RM125.00)</t>
  </si>
  <si>
    <t>Trsf 24/6/25 RM14,500.00(RM6,480.00)</t>
  </si>
  <si>
    <t>Trsf 24/6/25 RM14,500.00(RM1,740.00)</t>
  </si>
  <si>
    <t>Trsf 30/6/25 RM15,000.00(RM125.00)</t>
  </si>
  <si>
    <t>Trsf 30/6/25 RM15,000.00(RM6,480.00)</t>
  </si>
  <si>
    <t>Trsf 30/6/25 RM15,000.00(RM2,088.00)</t>
  </si>
  <si>
    <t>Trsf 30/6/25 RM15,000.00(RM1,485.00)</t>
  </si>
  <si>
    <t>Trsf 30/6/25 RM15,000.00(RM690.00)</t>
  </si>
  <si>
    <t>Trsf 30/6/25 RM15,000.00(RM1,000.00)</t>
  </si>
  <si>
    <t>Trsf 30/6/25 RM15,000.00(RM312.50)</t>
  </si>
  <si>
    <t>Trsd 5/6/25 RM3,756.40</t>
  </si>
  <si>
    <t>Cash deposit 6/6/25 RM4,623.00</t>
  </si>
  <si>
    <t>Trsf 7/6/25 RM2,458.70</t>
  </si>
  <si>
    <t>Chq PBB 072029, Cleared 10/6/25 RM2,307.50</t>
  </si>
  <si>
    <t>Trsf 13/6/25 RM2,173.50</t>
  </si>
  <si>
    <t>Trsf 23/6/25 RM4,660.00</t>
  </si>
  <si>
    <t>Trsd 24/6/25 RM55.00</t>
  </si>
  <si>
    <t>Trsf 24/6/25 RM2,697.00</t>
  </si>
  <si>
    <t>Trsf 30/6/25 RM2,644.50</t>
  </si>
  <si>
    <t>Trsf 30/6/25 RM2,487.80</t>
  </si>
  <si>
    <t>Trsf 11/6/25 RM15,600.00(RM3,480.00)</t>
  </si>
  <si>
    <t>Trsf 5/6/25 RM10,000.00(RM2,232.60), 9/6/25 RM6,700.00(RM6,700.00), 11/6/25 RM15,600.00(RM2,407.40)</t>
  </si>
  <si>
    <t>Trsf 11/6/25 RM15,600.00(RM2,475.00)</t>
  </si>
  <si>
    <t>Trsf 11/6/25 RM15,600.00(RM1,000.00)</t>
  </si>
  <si>
    <t>Trsf 11/6/25 RM15,600.00(RM125.00)</t>
  </si>
  <si>
    <t>Trsf 11/6/25 RM5,600.00(RM6,112.60), 13/6/25 RM20,000.00(RM367.40)</t>
  </si>
  <si>
    <t>Trsf 13/6/25 RM20,000.00(RM6,746.10), 20/6/25 RM21,000.00(RM12,693.90)</t>
  </si>
  <si>
    <t>Trsf 20/6/25 RM21,000.00(RM2,042.10), 24/6/25 RM14,500.00(RM2,412.90)</t>
  </si>
  <si>
    <t>Trsf 24/6/25 RM14,500.00(RM872.10), 30/6/25 RM15,000.00(RM612.90)</t>
  </si>
  <si>
    <t>2025 Total</t>
  </si>
  <si>
    <t>Pioneer Coachbuilders Sdn Bhd Total</t>
  </si>
  <si>
    <t>SK Setia Enterprise Total</t>
  </si>
  <si>
    <t>Refer Cash Book 30/6/25 - Total collection = "C" &amp; "C-Trsp" &amp; C-CN-RM1,391.00</t>
  </si>
  <si>
    <t>Trsf 30/6/25 RM15,000.00(RM2,206.60), 1/7/25 RM15,000.00(RM13,993.40)</t>
  </si>
  <si>
    <t>Trsf 1/7/25 RM15,000.00(RM1,006.60), 7/7/25 RM14,000.00(RM3,343.40)</t>
  </si>
  <si>
    <t>Trsf 7/7/25 RM14,000.00(RM3,712.50)</t>
  </si>
  <si>
    <t>Trsf 7/7/25 RM14,000.00(RM460.00)</t>
  </si>
  <si>
    <t>Trsf 7/7/25 RM14,000.00(RM1,000.00)</t>
  </si>
  <si>
    <t>Trsf 7/7/25 RM14,000.00(RM312.50)</t>
  </si>
  <si>
    <t>Trsf 7/7/25 RM14,000.00(RM5,171.60), 10/7/25 RM17,000.00(RM11,028.40)</t>
  </si>
  <si>
    <t>Trsf 10/7/25 RM17,000.00(RM5,971.60), 14/7/25 RM15,000.00(RM466.40)</t>
  </si>
  <si>
    <t>Trsf 14/7/25 RM15,000.00(RM3,712.50)</t>
  </si>
  <si>
    <t>Trsf 14/7/25 RM15,000.00(RM460.00)</t>
  </si>
  <si>
    <t>Trsf 14/7/25 RM15,000.00(RM2,000.00)</t>
  </si>
  <si>
    <t>Trsf 14/7/25 RM15,000.00(RM125.00)</t>
  </si>
  <si>
    <t>Trsf 14/7/25 RM15,000.00(RM7,776.10), 17/7/25 RM17,000.00(RM323.90)</t>
  </si>
  <si>
    <t>Trsf 17/7/25 RM17,000.00(RM3,219.00)</t>
  </si>
  <si>
    <t>Trsf 17/7/25 RM17,000.00(RM1,980.00)</t>
  </si>
  <si>
    <t>Trsf 17/7/25 RM17,000.00(RM460.00)</t>
  </si>
  <si>
    <t>Trsf 17/7/25 RM17,000.00(RM1,000.00)</t>
  </si>
  <si>
    <t>Trsf 17/7/25 RM17,000.00(RM187.50)</t>
  </si>
  <si>
    <t>Trsf 17/7/25 RM17,000.00(RM8,100.00)</t>
  </si>
  <si>
    <t>Trsf 17/7/25 RM17,000.00(RM975.00)</t>
  </si>
  <si>
    <t>Trsf 17/7/25 RM17,000.00(RM567.10), 21/7/25 RM15,000.00(RM10,772.90)</t>
  </si>
  <si>
    <t>Trsf 21/7/25 RM15,000.00(RM3,862.80)</t>
  </si>
  <si>
    <t>Trsf 30/7/25 RM10,000.00(RM460.00)</t>
  </si>
  <si>
    <t>Trsf 30/7/25 RM10,000.00(RM375.00)</t>
  </si>
  <si>
    <t>Trsf 21/7/25 RM15,000.00(RM364.30), 30/7/25 RM10,000.00(RM1,863.20)</t>
  </si>
  <si>
    <t>Trsf 30/7/25 RM10,000.00(RM990.00)</t>
  </si>
  <si>
    <t>Trsf 30/7/25 RM10,000.00(RM1,000.00)</t>
  </si>
  <si>
    <t>Trsf 30/7/25 RM10,000.00(RM5,311.80)</t>
  </si>
  <si>
    <t>01/07/2025</t>
  </si>
  <si>
    <t>INV00001261</t>
  </si>
  <si>
    <t>INV00001262</t>
  </si>
  <si>
    <t>INV00001263</t>
  </si>
  <si>
    <t>02/07/2025</t>
  </si>
  <si>
    <t>INV00001264</t>
  </si>
  <si>
    <t>INV00001265</t>
  </si>
  <si>
    <t>04/07/2025</t>
  </si>
  <si>
    <t>INV00001266</t>
  </si>
  <si>
    <t>RM Resin 268 Non Wax (225Kg)</t>
  </si>
  <si>
    <t>RM CSM 450 1040mm (30kg)</t>
  </si>
  <si>
    <t>05/07/2025</t>
  </si>
  <si>
    <t>INV00001267</t>
  </si>
  <si>
    <t>INV00001268</t>
  </si>
  <si>
    <t>08/07/2025</t>
  </si>
  <si>
    <t>INV00001269</t>
  </si>
  <si>
    <t>INV00001270</t>
  </si>
  <si>
    <t>10/07/2025</t>
  </si>
  <si>
    <t>INV00001271</t>
  </si>
  <si>
    <t>INV00001272</t>
  </si>
  <si>
    <t>INV00001273</t>
  </si>
  <si>
    <t>RQ Talcum Powder (5kg)</t>
  </si>
  <si>
    <t>15/07/2025</t>
  </si>
  <si>
    <t>INV00001274</t>
  </si>
  <si>
    <t>INV00001275</t>
  </si>
  <si>
    <t>16/07/2025</t>
  </si>
  <si>
    <t>INV00001276</t>
  </si>
  <si>
    <t>17/07/2025</t>
  </si>
  <si>
    <t>INV00001277</t>
  </si>
  <si>
    <t>18/07/2025</t>
  </si>
  <si>
    <t>INV00001278</t>
  </si>
  <si>
    <t>INV00001279</t>
  </si>
  <si>
    <t>21/07/2025</t>
  </si>
  <si>
    <t>INV00001280</t>
  </si>
  <si>
    <t>INV00001281</t>
  </si>
  <si>
    <t>22/07/2025</t>
  </si>
  <si>
    <t>INV00001282</t>
  </si>
  <si>
    <t>INV00001283</t>
  </si>
  <si>
    <t>26/07/2025</t>
  </si>
  <si>
    <t>INV00001284</t>
  </si>
  <si>
    <t>28/07/2025</t>
  </si>
  <si>
    <t>INV00001285</t>
  </si>
  <si>
    <t>INV00001286</t>
  </si>
  <si>
    <t>INV00001287</t>
  </si>
  <si>
    <t>29/07/2025</t>
  </si>
  <si>
    <t>INV00001288</t>
  </si>
  <si>
    <t>INV00001289</t>
  </si>
  <si>
    <t>30/07/2025</t>
  </si>
  <si>
    <t>INV00001290</t>
  </si>
  <si>
    <t>RA CSM 300 1040mm (30kg)</t>
  </si>
  <si>
    <t>RM CSM 450 1860mm(W) (54Kg)</t>
  </si>
  <si>
    <t>31/07/2025</t>
  </si>
  <si>
    <t>INV00001291</t>
  </si>
  <si>
    <t>RA CSM 450 GSM Jushi 2080mm (60kg)</t>
  </si>
  <si>
    <t>RM Butanox M50 (5Kg)</t>
  </si>
  <si>
    <t xml:space="preserve">RD Brush 3" </t>
  </si>
  <si>
    <t>RD Brush 2"</t>
  </si>
  <si>
    <t>RA Pigment Super Black (1Kg)</t>
  </si>
  <si>
    <t>Paint Roller PR4101 (10pcs)</t>
  </si>
  <si>
    <t>Polar Modelling Glay</t>
  </si>
  <si>
    <t>INV00001292</t>
  </si>
  <si>
    <t>C00000064</t>
  </si>
  <si>
    <t>Cash - Encik Alang</t>
  </si>
  <si>
    <t>Trsf 18/6/25 RM1,500.00(RM302.70), 1/7/25 RM700.00(RM700.00), 13/7/25 RM500.00(RM500.00), 14/7/25 RM500.00(RM257.30)</t>
  </si>
  <si>
    <t>Trsf 14/7/25 RM500.00(RM242.70), 15/7/25 RM500.00(RM162.30)</t>
  </si>
  <si>
    <t>Trsf 15/7/25 RM500.00(RM187.50)</t>
  </si>
  <si>
    <t>Trsf 15/7/25 RM500.00(RM150.20), 21/7/25 RM500.00(RM9.80)</t>
  </si>
  <si>
    <t>Trsf 21/7/25 RM500.00(RM490.20), 27/7/25 RM500.00(RM500.00), 28/7/25 RM500.00(RM500.00), 29/7/25 RM500.00(269.80)</t>
  </si>
  <si>
    <t>Trsf 29/7/25 RM500(RM230.20)</t>
  </si>
  <si>
    <t>Trsf 7/7/24, RM2,145.50</t>
  </si>
  <si>
    <t>Trsf 9/7/25 RM2,279.50</t>
  </si>
  <si>
    <t>Trsf 25/7/25 RM3,553.00</t>
  </si>
  <si>
    <t>Trsf 28/7/25 RM2,119.50</t>
  </si>
  <si>
    <t>Trsf 18/7/25 RM30,481.00</t>
  </si>
  <si>
    <t>Trsf 26/7/25 RM17.60+448.60 = RM466.20</t>
  </si>
  <si>
    <t>Trsf 28/7/25 RM1,700.00</t>
  </si>
  <si>
    <t>Trsf 31/7/25 RM696.20</t>
  </si>
  <si>
    <t>AIBB 001044 28/7/25 RM1,300.00(RM1,300.00)</t>
  </si>
  <si>
    <t>Trsf 30/7/25 RM3,129.10</t>
  </si>
  <si>
    <t>Trsf 26/7/25 RM3,195.00</t>
  </si>
  <si>
    <t>Month : As of July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</si>
</sst>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1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863.57041226852" createdVersion="8" refreshedVersion="8" minRefreshableVersion="3" recordCount="4124" xr:uid="{73C5ED9A-430A-4615-B8F7-A157F8CBAA23}">
  <cacheSource type="worksheet">
    <worksheetSource ref="A1:T4125" sheet="Raw Sales"/>
  </cacheSource>
  <cacheFields count="20">
    <cacheField name="Invoice Date" numFmtId="0">
      <sharedItems containsDate="1" containsMixedTypes="1" minDate="2019-12-23T00:00:00" maxDate="2025-03-30T00:00:00" count="78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  <s v="03/06/2025"/>
        <s v="04/06/2025"/>
        <s v="05/06/2025"/>
        <s v="06/06/2025"/>
        <s v="07/06/2025"/>
        <s v="09/06/2025"/>
        <s v="10/06/2025"/>
        <s v="12/06/2025"/>
        <s v="13/06/2025"/>
        <s v="16/06/2025"/>
        <s v="14/06/2025"/>
        <s v="17/06/2025"/>
        <s v="19/06/2025"/>
        <s v="21/06/2025"/>
        <s v="25/06/2025"/>
        <s v="26/06/2025"/>
        <s v="28/06/2025"/>
        <s v="30/06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 count="7">
        <n v="2019"/>
        <n v="2020"/>
        <n v="2021"/>
        <n v="2022"/>
        <n v="2023"/>
        <n v="2024"/>
        <n v="2025"/>
      </sharedItems>
    </cacheField>
    <cacheField name="Invoice No" numFmtId="0">
      <sharedItems count="12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  <s v="INV00001229"/>
        <s v="INV00001230"/>
        <s v="INV00001231"/>
        <s v="INV00001232"/>
        <s v="INV00001233"/>
        <s v="INV00001234"/>
        <s v="INV00001235"/>
        <s v="INV00001236"/>
        <s v="INV00001237"/>
        <s v="INV00001238"/>
        <s v="INV00001239"/>
        <s v="INV00001240"/>
        <s v="INV00001241"/>
        <s v="INV00001242"/>
        <s v="INV00001243"/>
        <s v="INV00001244"/>
        <s v="INV00001245"/>
        <s v="INV00001246"/>
        <s v="INV00001247"/>
        <s v="INV00001248"/>
        <s v="INV00001249"/>
        <s v="INV00001250"/>
        <s v="INV00001251"/>
        <s v="INV00001252"/>
        <s v="INV00001253"/>
        <s v="INV00001254"/>
        <s v="INV00001255"/>
        <s v="INV00001256"/>
        <s v="INV00001257"/>
        <s v="INV00001258"/>
        <s v="INV00001259"/>
        <s v="INV00001260"/>
      </sharedItems>
    </cacheField>
    <cacheField name="Customer Code" numFmtId="0">
      <sharedItems/>
    </cacheField>
    <cacheField name="Customer Name" numFmtId="0">
      <sharedItems count="6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  <s v="Pioneer Coachbuilders Sdn Bhd"/>
        <s v="SK Setia Enterprise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833569.750000002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863.570413310183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863.570413541667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863.57041388889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863.570414236114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863.570415624999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871.739062962966" createdVersion="8" refreshedVersion="8" minRefreshableVersion="3" recordCount="4228" xr:uid="{E9ABEBDA-59C9-463C-B04D-BE3BE3F32E24}">
  <cacheSource type="worksheet">
    <worksheetSource ref="A1:T4229" sheet="Raw Sales"/>
  </cacheSource>
  <cacheFields count="20">
    <cacheField name="Invoice Date" numFmtId="0">
      <sharedItems containsDate="1" containsMixedTypes="1" minDate="2019-12-23T00:00:00" maxDate="1900-01-04T06:51:04" count="800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  <s v="03/06/2025"/>
        <s v="04/06/2025"/>
        <s v="05/06/2025"/>
        <s v="06/06/2025"/>
        <s v="07/06/2025"/>
        <s v="09/06/2025"/>
        <s v="10/06/2025"/>
        <s v="12/06/2025"/>
        <s v="13/06/2025"/>
        <s v="16/06/2025"/>
        <s v="14/06/2025"/>
        <s v="17/06/2025"/>
        <s v="19/06/2025"/>
        <s v="21/06/2025"/>
        <s v="25/06/2025"/>
        <s v="26/06/2025"/>
        <s v="28/06/2025"/>
        <s v="30/06/2025"/>
        <s v="01/07/2025"/>
        <s v="02/07/2025"/>
        <s v="04/07/2025"/>
        <s v="05/07/2025"/>
        <s v="08/07/2025"/>
        <s v="10/07/2025"/>
        <n v="45849"/>
        <s v="15/07/2025"/>
        <s v="16/07/2025"/>
        <s v="17/07/2025"/>
        <s v="18/07/2025"/>
        <s v="21/07/2025"/>
        <s v="22/07/2025"/>
        <s v="26/07/2025"/>
        <s v="28/07/2025"/>
        <s v="29/07/2025"/>
        <s v="30/07/2025"/>
        <s v="31/07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294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  <s v="INV00001229"/>
        <s v="INV00001230"/>
        <s v="INV00001231"/>
        <s v="INV00001232"/>
        <s v="INV00001233"/>
        <s v="INV00001234"/>
        <s v="INV00001235"/>
        <s v="INV00001236"/>
        <s v="INV00001237"/>
        <s v="INV00001238"/>
        <s v="INV00001239"/>
        <s v="INV00001240"/>
        <s v="INV00001241"/>
        <s v="INV00001242"/>
        <s v="INV00001243"/>
        <s v="INV00001244"/>
        <s v="INV00001245"/>
        <s v="INV00001246"/>
        <s v="INV00001247"/>
        <s v="INV00001248"/>
        <s v="INV00001249"/>
        <s v="INV00001250"/>
        <s v="INV00001251"/>
        <s v="INV00001252"/>
        <s v="INV00001253"/>
        <s v="INV00001254"/>
        <s v="INV00001255"/>
        <s v="INV00001256"/>
        <s v="INV00001257"/>
        <s v="INV00001258"/>
        <s v="INV00001259"/>
        <s v="INV00001260"/>
        <s v="INV00001261"/>
        <s v="INV00001262"/>
        <s v="INV00001263"/>
        <s v="INV00001264"/>
        <s v="INV00001265"/>
        <s v="INV00001266"/>
        <s v="INV00001267"/>
        <s v="INV00001268"/>
        <s v="INV00001269"/>
        <s v="INV00001270"/>
        <s v="INV00001271"/>
        <s v="INV00001272"/>
        <s v="INV00001273"/>
        <s v="INV00001274"/>
        <s v="INV00001275"/>
        <s v="INV00001276"/>
        <s v="INV00001277"/>
        <s v="INV00001278"/>
        <s v="INV00001279"/>
        <s v="INV00001280"/>
        <s v="INV00001281"/>
        <s v="INV00001282"/>
        <s v="INV00001283"/>
        <s v="INV00001284"/>
        <s v="INV00001285"/>
        <s v="INV00001286"/>
        <s v="INV00001287"/>
        <s v="INV00001288"/>
        <s v="INV00001289"/>
        <s v="INV00001290"/>
        <s v="INV00001291"/>
        <s v="INV00001292"/>
      </sharedItems>
    </cacheField>
    <cacheField name="Customer Code" numFmtId="0">
      <sharedItems/>
    </cacheField>
    <cacheField name="Customer Name" numFmtId="0">
      <sharedItems count="6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  <s v="Pioneer Coachbuilders Sdn Bhd"/>
        <s v="SK Setia Enterprise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11-19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995384.2500000037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4">
  <r>
    <x v="0"/>
    <n v="12"/>
    <x v="0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x v="0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x v="1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x v="1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x v="1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x v="1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x v="1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x v="1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x v="1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x v="1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x v="1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x v="1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x v="1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x v="1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x v="1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x v="1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x v="1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x v="1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x v="1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x v="1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x v="1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x v="1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x v="1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x v="1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x v="1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x v="1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x v="1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x v="1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x v="1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x v="1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x v="1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x v="1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x v="1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x v="1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x v="1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x v="1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x v="1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x v="1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x v="1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x v="1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x v="1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x v="1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x v="1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x v="1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x v="1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x v="1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x v="1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x v="1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x v="1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x v="1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x v="1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x v="1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x v="1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x v="1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x v="1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x v="1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x v="1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x v="1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x v="1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x v="1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x v="1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x v="1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x v="1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x v="1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x v="1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x v="1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x v="1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x v="1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x v="1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x v="1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x v="1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x v="1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x v="1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x v="1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x v="1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x v="1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x v="1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x v="1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x v="1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x v="1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x v="1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x v="1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x v="1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x v="1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x v="1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x v="1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x v="1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x v="1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x v="1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x v="1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x v="1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x v="1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x v="1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x v="1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x v="1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x v="1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x v="1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x v="1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x v="1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x v="1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x v="1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x v="1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x v="1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x v="1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x v="1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x v="1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x v="1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x v="1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x v="1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x v="1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x v="1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x v="1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x v="1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x v="1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x v="1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x v="1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x v="1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x v="1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x v="1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x v="1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x v="1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x v="1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x v="1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x v="1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x v="1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x v="1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x v="1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x v="1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x v="1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x v="1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x v="1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x v="1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x v="1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x v="1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x v="1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x v="1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x v="1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x v="1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x v="1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x v="1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x v="1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x v="1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x v="1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x v="1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x v="1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x v="1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x v="1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x v="1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x v="1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x v="1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x v="1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x v="1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x v="1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x v="2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x v="2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x v="2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x v="2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x v="2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x v="2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x v="2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x v="2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x v="2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x v="2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x v="2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x v="2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x v="2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x v="2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x v="2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x v="2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x v="2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x v="2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x v="2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x v="2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x v="2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x v="2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x v="2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x v="2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x v="2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x v="2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x v="2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x v="2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x v="2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x v="2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x v="2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x v="2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x v="2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x v="2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x v="2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x v="2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x v="2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x v="2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x v="2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x v="2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x v="2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x v="2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x v="2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x v="2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x v="2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x v="2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x v="2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x v="2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x v="2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x v="2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x v="2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x v="2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x v="2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x v="2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x v="2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x v="2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x v="2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x v="2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x v="2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x v="2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x v="2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x v="2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x v="2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x v="2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x v="2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x v="2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x v="2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x v="2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x v="2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x v="2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x v="2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x v="2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x v="2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x v="2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x v="2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x v="2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x v="2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x v="2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x v="2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x v="2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x v="2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x v="2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x v="2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x v="2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x v="2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x v="2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x v="2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x v="2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x v="2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x v="2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x v="2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x v="2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x v="2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x v="2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x v="2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x v="2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x v="2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x v="2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x v="2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x v="2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x v="2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x v="2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x v="2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x v="2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x v="2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x v="2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x v="2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x v="2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x v="2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x v="2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x v="2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x v="2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x v="2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x v="2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x v="2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x v="2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x v="2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x v="2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x v="2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x v="2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x v="2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x v="2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x v="2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x v="2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x v="2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x v="2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x v="2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x v="2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x v="2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x v="2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x v="2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x v="2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x v="2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x v="2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x v="2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x v="2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x v="2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x v="2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x v="2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x v="2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x v="2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x v="2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x v="2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x v="2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x v="2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x v="2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x v="2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x v="2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x v="2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x v="2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x v="2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x v="2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x v="2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x v="2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x v="2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x v="2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x v="2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x v="2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x v="2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x v="2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x v="2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x v="2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x v="2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x v="2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x v="2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x v="2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x v="2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x v="2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x v="2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x v="2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x v="2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x v="2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x v="2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x v="2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x v="2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x v="2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x v="2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x v="2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x v="2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x v="2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x v="2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x v="2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x v="2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x v="2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x v="2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x v="2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x v="2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x v="2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x v="2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x v="2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x v="2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x v="2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x v="2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x v="2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x v="2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x v="2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x v="2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x v="2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x v="2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x v="2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x v="2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x v="2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x v="2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x v="2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x v="2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x v="2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x v="2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x v="2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x v="2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x v="2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x v="2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x v="2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x v="2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x v="2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x v="2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x v="2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x v="2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x v="2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x v="2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x v="2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x v="2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x v="2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x v="2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x v="2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x v="2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x v="2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x v="2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x v="2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x v="2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x v="2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x v="2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x v="2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x v="2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x v="2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x v="2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x v="2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x v="2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x v="2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x v="2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x v="2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x v="2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x v="2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x v="2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x v="2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x v="2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x v="2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x v="2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x v="2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x v="2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x v="2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x v="2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x v="2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x v="2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x v="2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x v="2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x v="2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x v="2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x v="2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x v="2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x v="2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x v="2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x v="2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x v="2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x v="2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x v="2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x v="2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x v="2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x v="2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x v="2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x v="2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x v="2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x v="2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x v="2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x v="2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x v="2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x v="2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x v="2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x v="2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x v="2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x v="2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x v="2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x v="2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x v="2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x v="2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x v="2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x v="2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x v="2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x v="2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x v="2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x v="2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x v="2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x v="2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x v="2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x v="2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x v="2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x v="2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x v="2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x v="2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x v="2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x v="2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x v="2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x v="2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x v="2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x v="2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x v="2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x v="2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x v="2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x v="2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x v="2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x v="2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x v="2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x v="2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x v="2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x v="2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x v="2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x v="2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x v="2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x v="2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x v="2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x v="2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x v="2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x v="2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x v="2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x v="2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x v="2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x v="2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x v="2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x v="2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x v="2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x v="2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x v="2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x v="2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x v="2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x v="2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x v="2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x v="2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x v="2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x v="2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x v="2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x v="2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x v="3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x v="3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x v="3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x v="3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x v="3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x v="3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x v="3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x v="3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x v="3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x v="3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x v="3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x v="3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x v="3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x v="3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x v="3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x v="3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x v="3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x v="3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x v="3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x v="3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x v="3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x v="3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x v="3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x v="3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x v="3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x v="3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x v="3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x v="3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x v="3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x v="3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x v="3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x v="3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x v="3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x v="3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x v="3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x v="3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x v="3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x v="3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x v="3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x v="3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x v="3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x v="3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x v="3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x v="3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x v="3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x v="3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x v="3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x v="3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x v="3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x v="3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x v="3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x v="3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x v="3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x v="3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x v="3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x v="3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x v="3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x v="3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x v="3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x v="3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x v="3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x v="3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x v="3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x v="3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x v="3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x v="3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x v="3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x v="3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x v="3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x v="3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x v="3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x v="3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x v="3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x v="3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x v="3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x v="3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x v="3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x v="3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x v="3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x v="3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x v="3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x v="3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x v="3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x v="3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x v="3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x v="3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x v="3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x v="3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x v="3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x v="3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x v="3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x v="3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x v="3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x v="3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x v="3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x v="3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x v="3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x v="3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x v="3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x v="3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x v="3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x v="3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x v="3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x v="3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x v="3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x v="3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x v="3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x v="3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x v="3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x v="3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x v="3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x v="3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x v="3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x v="3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x v="3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x v="3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x v="3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x v="3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x v="3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x v="3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x v="3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x v="3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x v="3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x v="3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x v="3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x v="3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x v="3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x v="3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x v="3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x v="3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x v="3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x v="3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x v="3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x v="3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x v="3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x v="3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x v="3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x v="3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x v="3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x v="3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x v="3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x v="3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x v="3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x v="3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x v="3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x v="3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x v="3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x v="3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x v="3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x v="3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x v="3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x v="3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x v="3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x v="3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x v="3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x v="3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x v="3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x v="3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x v="3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x v="3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x v="3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x v="3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x v="3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x v="3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x v="3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x v="3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x v="3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x v="3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x v="3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x v="3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x v="3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x v="3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x v="3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x v="3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x v="3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x v="3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x v="3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x v="3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x v="3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x v="3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x v="3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x v="3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x v="3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x v="3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x v="3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x v="3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x v="3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x v="3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x v="3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x v="3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x v="3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x v="3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x v="3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x v="3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x v="3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x v="3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x v="3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x v="3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x v="3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x v="3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x v="3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x v="3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x v="3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x v="3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x v="3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x v="3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x v="3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x v="3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x v="3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x v="3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x v="3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x v="3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x v="3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x v="3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x v="3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x v="3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x v="3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x v="3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x v="3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x v="3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x v="3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x v="3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x v="3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x v="3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x v="3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x v="3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x v="3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x v="3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x v="3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x v="3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x v="3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x v="3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x v="3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x v="3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x v="3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x v="3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x v="3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x v="3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x v="3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x v="3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x v="3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x v="3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x v="3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x v="3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x v="3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x v="3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x v="3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x v="3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x v="3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x v="3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x v="3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x v="3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x v="3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x v="3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x v="3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x v="3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x v="3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x v="3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x v="3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x v="3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x v="3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x v="3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x v="3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x v="3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x v="3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x v="3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x v="3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x v="3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x v="3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x v="3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x v="3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x v="3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x v="3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x v="3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x v="3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x v="3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x v="3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x v="3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x v="3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x v="3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x v="3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x v="3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x v="3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x v="3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x v="3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x v="3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x v="3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x v="3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x v="3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x v="3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x v="3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x v="3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x v="3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x v="3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x v="3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x v="3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x v="3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x v="3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x v="3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x v="3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x v="3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x v="3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x v="3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x v="3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x v="3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x v="3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x v="3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x v="3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x v="3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x v="3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x v="3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x v="3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x v="3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x v="3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x v="3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x v="3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x v="3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x v="3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x v="3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x v="3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x v="3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x v="3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x v="3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x v="3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x v="3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x v="3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x v="3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x v="3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x v="3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x v="3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x v="3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x v="3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x v="3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x v="3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x v="3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x v="3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x v="3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x v="3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x v="3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x v="3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x v="3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x v="3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x v="3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x v="3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x v="3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x v="3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x v="3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x v="3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x v="3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x v="3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x v="3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x v="3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x v="3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x v="3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x v="3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x v="3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x v="3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x v="3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x v="3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x v="3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x v="3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x v="3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x v="3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x v="3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x v="3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x v="3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x v="3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x v="3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x v="3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x v="3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x v="3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x v="3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x v="3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x v="3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x v="3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x v="3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x v="3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x v="3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x v="3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x v="3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x v="3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x v="3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x v="3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x v="3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x v="3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x v="3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x v="3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x v="3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x v="3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x v="3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x v="3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x v="3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x v="3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x v="3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x v="3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x v="3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x v="3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x v="3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x v="3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x v="3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x v="3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x v="3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x v="3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x v="3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x v="3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x v="3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x v="3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x v="3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x v="3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x v="3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x v="3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x v="3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x v="3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x v="3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x v="3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x v="3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x v="3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x v="3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x v="3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x v="3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x v="3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x v="3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x v="3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x v="3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x v="3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x v="3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x v="3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x v="3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x v="3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x v="3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x v="3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x v="3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x v="3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x v="3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x v="3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x v="3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x v="3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x v="3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x v="3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x v="3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x v="3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x v="3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x v="3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x v="3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x v="3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x v="3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x v="3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x v="3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x v="3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x v="3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x v="3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x v="3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x v="3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x v="3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x v="3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x v="3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x v="3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x v="3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x v="3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x v="3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x v="3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x v="3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x v="3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x v="3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x v="3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x v="3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x v="3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x v="3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x v="3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x v="3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x v="3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x v="3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x v="3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x v="3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x v="3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x v="3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x v="3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x v="3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x v="3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x v="3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x v="3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x v="3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x v="3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x v="3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x v="3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x v="3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x v="3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x v="3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x v="3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x v="3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x v="3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x v="3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x v="3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x v="3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x v="3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x v="3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x v="3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x v="3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x v="3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x v="3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x v="3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x v="3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x v="3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x v="3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x v="3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x v="3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x v="3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x v="3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x v="3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x v="3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x v="3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x v="3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x v="3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x v="3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x v="3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x v="3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x v="3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x v="3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x v="3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x v="3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x v="3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x v="3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x v="3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x v="3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x v="3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x v="3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x v="3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x v="3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x v="3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x v="3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x v="3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x v="3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x v="3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x v="3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x v="3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x v="3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x v="3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x v="3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x v="3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x v="3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x v="3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x v="3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x v="3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x v="3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x v="3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x v="3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x v="3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x v="3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x v="3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x v="3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x v="3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x v="3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x v="3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x v="3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x v="3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x v="3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x v="3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x v="3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x v="3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x v="3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x v="3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x v="3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x v="3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x v="3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x v="3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x v="3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x v="3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x v="3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x v="3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x v="3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x v="3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x v="3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x v="3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x v="3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x v="3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x v="3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x v="3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x v="3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x v="3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x v="3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x v="3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x v="3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x v="3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x v="3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x v="3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x v="3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x v="3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x v="3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x v="3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x v="3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x v="3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x v="3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x v="3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x v="3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x v="3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x v="3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x v="3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x v="3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x v="3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x v="3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x v="3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x v="3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x v="3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x v="3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x v="3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x v="3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x v="3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x v="3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x v="3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x v="3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x v="3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x v="3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x v="3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x v="3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x v="3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x v="3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x v="3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x v="3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x v="3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x v="3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x v="3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x v="3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x v="3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x v="3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x v="3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x v="3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x v="3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x v="3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x v="3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x v="3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x v="3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x v="3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x v="3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x v="3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x v="3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x v="3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x v="3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x v="3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x v="3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x v="3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x v="3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x v="3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x v="3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x v="3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x v="3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x v="3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x v="3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x v="3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x v="3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x v="3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x v="3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x v="3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x v="3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x v="3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x v="3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x v="3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x v="3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x v="3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x v="3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x v="3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x v="3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x v="3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x v="3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x v="3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x v="3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x v="3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x v="3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x v="3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x v="3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x v="3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x v="3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x v="3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x v="3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x v="3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x v="3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x v="3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x v="3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x v="3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x v="3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x v="3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x v="3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x v="3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x v="3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x v="3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x v="3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x v="3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x v="3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x v="3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x v="3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x v="3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x v="3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x v="3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x v="3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x v="3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x v="3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x v="3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x v="3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x v="3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x v="3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x v="3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x v="3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x v="3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x v="3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x v="3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x v="3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x v="3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x v="3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x v="3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x v="3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x v="3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x v="3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x v="3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x v="3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x v="3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x v="3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x v="3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x v="3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x v="3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x v="3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x v="3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x v="3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x v="3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x v="3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x v="3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x v="3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x v="3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x v="3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x v="3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x v="3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x v="3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x v="3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x v="3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x v="3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x v="3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x v="3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x v="3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x v="3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x v="3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x v="3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x v="3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x v="3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x v="3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x v="3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x v="3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x v="3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x v="3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x v="3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x v="3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x v="3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x v="3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x v="3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x v="3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x v="3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x v="3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x v="3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x v="3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x v="3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x v="3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x v="3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x v="3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x v="3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x v="3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x v="3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x v="3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x v="3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x v="3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x v="3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x v="3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x v="3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x v="3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x v="3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x v="3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x v="3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x v="3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x v="3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x v="4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x v="4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x v="4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x v="4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x v="4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x v="4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x v="4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x v="4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x v="4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x v="4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x v="4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x v="4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x v="4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x v="4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x v="4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x v="4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x v="4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x v="4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x v="4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x v="4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x v="4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x v="4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x v="4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x v="4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x v="4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x v="4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x v="4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x v="4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x v="4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x v="4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x v="4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x v="4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x v="4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x v="4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x v="4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x v="4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x v="4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x v="4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x v="4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x v="4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x v="4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x v="4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x v="4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x v="4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x v="4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x v="4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x v="4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x v="4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x v="4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x v="4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x v="4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x v="4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x v="4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x v="4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x v="4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x v="4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x v="4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x v="4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x v="4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x v="4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x v="4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x v="4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x v="4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x v="4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x v="4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x v="4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x v="4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x v="4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x v="4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x v="4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x v="4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x v="4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x v="4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x v="4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x v="4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x v="4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x v="4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x v="4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x v="4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x v="4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x v="4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x v="4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x v="4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x v="4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x v="4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x v="4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x v="4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x v="4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x v="4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x v="4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x v="4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x v="4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x v="4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x v="4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x v="4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x v="4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x v="4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x v="4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x v="4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x v="4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x v="4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x v="4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x v="4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x v="4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x v="4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x v="4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x v="4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x v="4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x v="4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x v="4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x v="4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x v="4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x v="4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x v="4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x v="4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x v="4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x v="4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x v="4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x v="4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x v="4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x v="4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x v="4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x v="4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x v="4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x v="4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x v="4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x v="4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x v="4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x v="4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x v="4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x v="4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x v="4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x v="4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x v="4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x v="4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x v="4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x v="4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x v="4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x v="4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x v="4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x v="4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x v="4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x v="4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x v="4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x v="4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x v="4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x v="4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x v="4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x v="4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x v="4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x v="4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x v="4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x v="4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x v="4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x v="4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x v="4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x v="4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x v="4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x v="4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x v="4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x v="4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x v="4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x v="4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x v="4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x v="4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x v="4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x v="4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x v="4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x v="4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x v="4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x v="4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x v="4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x v="4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x v="4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x v="4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x v="4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x v="4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x v="4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x v="4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x v="4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x v="4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x v="4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x v="4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x v="4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x v="4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x v="4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x v="4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x v="4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x v="4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x v="4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x v="4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x v="4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x v="4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x v="4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x v="4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x v="4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x v="4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x v="4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x v="4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x v="4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x v="4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x v="4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x v="4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x v="4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x v="4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x v="4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x v="4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x v="4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x v="4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x v="4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x v="4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x v="4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x v="4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x v="4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x v="4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x v="4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x v="4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x v="4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x v="4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x v="4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x v="4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x v="4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x v="4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x v="4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x v="4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x v="4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x v="4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x v="4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x v="4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x v="4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x v="4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x v="4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x v="4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x v="4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x v="4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x v="4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x v="4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x v="4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x v="4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x v="4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x v="4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x v="4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x v="4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x v="4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x v="4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x v="4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x v="4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x v="4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x v="4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x v="4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x v="4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x v="4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x v="4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x v="4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x v="4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x v="4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x v="4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x v="4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x v="4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x v="4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x v="4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x v="4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x v="4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x v="4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x v="4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x v="4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x v="4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x v="4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x v="4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x v="4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x v="4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x v="4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x v="4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x v="4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x v="4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x v="4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x v="4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x v="4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x v="4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x v="4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x v="4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x v="4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x v="4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x v="4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x v="4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x v="4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x v="4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x v="4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x v="4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x v="4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x v="4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x v="4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x v="4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x v="4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x v="4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x v="4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x v="4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x v="4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x v="4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x v="4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x v="4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x v="4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x v="4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x v="4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x v="4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x v="4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x v="4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x v="4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x v="4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x v="4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x v="4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x v="4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x v="4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x v="4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x v="4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x v="4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x v="4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x v="4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x v="4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x v="4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x v="4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x v="4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x v="4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x v="4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x v="4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x v="4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x v="4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x v="4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x v="4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x v="4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x v="4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x v="4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x v="4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x v="4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x v="4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x v="4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x v="4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x v="4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x v="4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x v="4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x v="4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x v="4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x v="4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x v="4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x v="4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x v="4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x v="4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x v="4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x v="4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x v="4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x v="4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x v="4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x v="4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x v="4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x v="4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x v="4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x v="4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x v="4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x v="4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x v="4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x v="4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x v="4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x v="4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x v="4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x v="4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x v="4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x v="4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x v="4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x v="4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x v="4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x v="4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x v="4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x v="4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x v="4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x v="4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x v="4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x v="4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x v="4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x v="4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x v="4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x v="4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x v="4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x v="4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x v="4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x v="4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x v="4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x v="4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x v="4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x v="4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x v="4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x v="4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x v="4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x v="4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x v="4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x v="4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x v="4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x v="4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x v="4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x v="4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x v="4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x v="4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x v="4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x v="4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x v="4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x v="4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x v="4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x v="4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x v="4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x v="4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x v="4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x v="4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x v="4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x v="4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x v="4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x v="4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x v="4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x v="4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x v="4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x v="4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x v="4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x v="4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x v="4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x v="4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x v="4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x v="4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x v="4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x v="4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x v="4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x v="4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x v="4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x v="4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x v="4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x v="4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x v="4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x v="4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x v="4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x v="4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x v="4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x v="4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x v="4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x v="4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x v="4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x v="4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x v="4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x v="4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x v="4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x v="4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x v="4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x v="4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x v="4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x v="4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x v="4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x v="4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x v="4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x v="4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x v="4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x v="4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x v="4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x v="4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x v="4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x v="4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x v="4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x v="4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x v="4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x v="4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x v="4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x v="4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x v="4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x v="4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x v="4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x v="4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x v="4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x v="4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x v="4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x v="4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x v="4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x v="4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x v="4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x v="4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x v="4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x v="4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x v="4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x v="4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x v="4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x v="4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x v="4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x v="4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x v="4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x v="4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x v="4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x v="4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x v="4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x v="4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x v="4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x v="4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x v="4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x v="4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x v="4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x v="4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x v="4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x v="4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x v="4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x v="4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x v="4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x v="4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x v="4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x v="4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x v="4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x v="4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x v="4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x v="4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x v="4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x v="4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x v="4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x v="4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x v="4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x v="4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x v="4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x v="4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x v="4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x v="4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x v="4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x v="4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x v="4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x v="4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x v="4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x v="4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x v="4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x v="4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x v="4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x v="4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x v="4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x v="4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x v="4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x v="4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x v="4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x v="4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x v="4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x v="4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x v="4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x v="4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x v="4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x v="4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x v="4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x v="4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x v="4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x v="4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x v="4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x v="4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x v="4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x v="4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x v="4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x v="4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x v="4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x v="4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x v="4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x v="4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x v="4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x v="4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x v="4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x v="4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x v="4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x v="4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x v="4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x v="4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x v="4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x v="4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x v="4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x v="4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x v="4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x v="4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x v="4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x v="4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x v="4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x v="4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x v="4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x v="4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x v="4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x v="4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x v="4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x v="4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x v="4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x v="4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x v="4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x v="4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x v="4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x v="4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x v="4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x v="4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x v="4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x v="4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x v="4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x v="4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x v="4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x v="4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x v="4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x v="4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x v="4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x v="4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x v="4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x v="4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x v="4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x v="4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x v="4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x v="4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x v="4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x v="4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x v="4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x v="4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x v="4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x v="4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x v="4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x v="4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x v="4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x v="4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x v="4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x v="4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x v="4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x v="4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x v="4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x v="4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x v="4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x v="4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x v="4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x v="4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x v="4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x v="4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x v="4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x v="4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x v="4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x v="4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x v="4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x v="4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x v="4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x v="4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x v="4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x v="4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x v="4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x v="4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x v="4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x v="4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x v="4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x v="4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x v="4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x v="4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x v="4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x v="4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x v="4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x v="4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x v="4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x v="4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x v="4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x v="4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x v="4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x v="4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x v="4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x v="4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x v="4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x v="4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x v="4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x v="4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x v="4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x v="4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x v="4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x v="4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x v="4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x v="4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x v="4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x v="4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x v="4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x v="4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x v="4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x v="4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x v="4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x v="4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x v="4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x v="4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x v="4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x v="4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x v="4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x v="4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x v="4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x v="4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x v="4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x v="4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x v="4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x v="4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x v="4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x v="4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x v="4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x v="4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x v="4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x v="4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x v="4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x v="4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x v="4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x v="4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x v="4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x v="4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x v="4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x v="4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x v="4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x v="4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x v="4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x v="4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x v="4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x v="4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x v="4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x v="4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x v="4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x v="4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x v="4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x v="4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x v="4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x v="4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x v="4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x v="4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x v="4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x v="4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x v="4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x v="4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x v="4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x v="4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x v="4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x v="4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x v="4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x v="4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x v="4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x v="4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x v="4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x v="4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x v="4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x v="4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x v="4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x v="4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x v="4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x v="4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x v="4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x v="4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x v="4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x v="4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x v="4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x v="4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x v="4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x v="4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x v="4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x v="4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x v="4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x v="4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x v="4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x v="4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x v="4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x v="4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x v="4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x v="4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x v="4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x v="4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x v="4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x v="4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x v="4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x v="4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x v="4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x v="4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x v="4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x v="4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x v="4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x v="4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x v="4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x v="4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x v="4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x v="4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x v="4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x v="4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x v="4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x v="4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x v="4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x v="4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x v="4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x v="4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x v="4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x v="4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x v="4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x v="4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x v="4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x v="4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x v="4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x v="4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x v="4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x v="4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x v="4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x v="4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x v="4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x v="4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x v="4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x v="4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x v="4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x v="4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x v="4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x v="4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x v="4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x v="4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x v="4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x v="4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x v="4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x v="4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x v="4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x v="4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x v="4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x v="4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x v="4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x v="4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x v="4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x v="4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x v="4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x v="4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x v="4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x v="4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x v="4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x v="4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x v="4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x v="4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x v="4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x v="4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x v="4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x v="4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x v="4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x v="4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x v="4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x v="4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x v="4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x v="4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x v="4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x v="4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x v="4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x v="4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x v="4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x v="4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x v="4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x v="4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x v="4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x v="4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x v="4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x v="4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x v="4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x v="4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x v="4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x v="4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x v="4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x v="4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x v="4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x v="4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x v="4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x v="4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x v="4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x v="4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x v="4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x v="4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x v="4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x v="4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x v="4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x v="4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x v="4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x v="4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x v="4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x v="4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x v="4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x v="4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x v="4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x v="4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x v="4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x v="4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x v="4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x v="4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x v="4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x v="4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x v="4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x v="4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x v="4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x v="4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x v="4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x v="4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x v="4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x v="4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x v="4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x v="4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x v="4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x v="4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x v="4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x v="4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x v="4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x v="4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x v="4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x v="4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x v="4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x v="4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x v="4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x v="4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x v="4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x v="4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x v="4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x v="4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x v="4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x v="4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x v="4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x v="4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x v="4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x v="4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x v="4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x v="4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x v="4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x v="4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x v="4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x v="4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x v="4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x v="4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x v="4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x v="4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x v="4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x v="4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x v="4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x v="4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x v="4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x v="4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x v="4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x v="4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x v="4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x v="4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x v="4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x v="4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x v="4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x v="4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x v="4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x v="4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x v="4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x v="4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x v="4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x v="4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x v="4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x v="4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x v="4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x v="4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x v="4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x v="4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x v="4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x v="4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x v="4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x v="4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x v="4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x v="4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x v="4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x v="4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x v="4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x v="4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x v="4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x v="4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x v="4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x v="4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x v="4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x v="4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x v="4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x v="4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x v="4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x v="4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x v="4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x v="4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x v="4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x v="4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x v="4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x v="4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x v="4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x v="4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x v="4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x v="4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x v="4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x v="4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x v="4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x v="4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x v="4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x v="4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x v="4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x v="4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x v="4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x v="4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x v="4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x v="4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x v="4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x v="4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x v="4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x v="4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x v="4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x v="4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x v="4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x v="4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x v="4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x v="4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x v="4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x v="4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x v="4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x v="4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x v="4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x v="4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x v="4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x v="4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x v="4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x v="4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x v="4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x v="4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x v="4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x v="4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x v="4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x v="4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x v="4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x v="4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x v="4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x v="4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x v="4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x v="4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x v="4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x v="4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x v="4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x v="4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x v="4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x v="4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x v="4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x v="4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x v="4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x v="4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x v="4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x v="4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x v="4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x v="4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x v="4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x v="4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x v="4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x v="4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x v="4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x v="4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x v="4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x v="4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x v="4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x v="4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x v="4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x v="4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x v="4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x v="4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x v="4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x v="4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x v="4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x v="4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x v="4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x v="4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x v="4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x v="4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x v="4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x v="4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x v="4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x v="4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x v="4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x v="4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x v="4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x v="4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x v="4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x v="4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x v="4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x v="4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x v="4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x v="4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x v="4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x v="4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x v="4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x v="4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x v="4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x v="4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x v="4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x v="4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x v="4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x v="4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x v="4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x v="4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x v="4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x v="4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x v="4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x v="4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x v="4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x v="4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x v="4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x v="4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x v="4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x v="4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x v="4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x v="4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x v="4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x v="4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x v="4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x v="4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x v="4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x v="4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x v="4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x v="4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x v="4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x v="4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x v="4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x v="4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x v="4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x v="4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x v="4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x v="4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x v="4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x v="4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x v="4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x v="4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x v="4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x v="4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x v="4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x v="4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x v="4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x v="4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x v="4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x v="4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x v="4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x v="4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x v="4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x v="4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x v="4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x v="4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x v="4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x v="4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x v="4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x v="4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x v="4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x v="4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x v="4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x v="4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x v="4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x v="4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x v="4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x v="4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x v="4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x v="4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x v="4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x v="4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x v="4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x v="4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x v="4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x v="4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x v="4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x v="4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x v="4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x v="4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x v="4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x v="4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x v="4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x v="4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x v="4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x v="4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x v="4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x v="4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x v="4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x v="4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x v="4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x v="4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x v="4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x v="4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x v="4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x v="4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x v="4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x v="4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x v="4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x v="4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x v="4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x v="4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x v="4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x v="4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x v="4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x v="4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x v="4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x v="4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x v="4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x v="4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x v="4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x v="4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x v="4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x v="4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x v="4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x v="4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x v="4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x v="4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x v="4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x v="4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x v="4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x v="4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x v="4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x v="4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x v="4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x v="4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x v="4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x v="4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x v="4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x v="4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x v="4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x v="4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x v="4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x v="4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x v="4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x v="4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x v="4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x v="4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x v="4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x v="4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x v="4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x v="4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x v="4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x v="4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x v="4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x v="4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x v="4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x v="4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x v="4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x v="4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x v="4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x v="4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x v="4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x v="4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x v="4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x v="4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x v="4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x v="4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x v="5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x v="5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x v="5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x v="5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x v="5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x v="5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x v="5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x v="5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x v="5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x v="5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x v="5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x v="5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x v="5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x v="5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x v="5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x v="5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x v="5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x v="5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x v="5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x v="5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x v="5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x v="5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x v="5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x v="5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x v="5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x v="5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x v="5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x v="5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x v="5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x v="5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x v="5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x v="5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x v="5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x v="5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x v="5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x v="5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x v="5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x v="5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x v="5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x v="5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x v="5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x v="5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x v="5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x v="5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x v="5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x v="5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x v="5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x v="5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x v="5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x v="5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x v="5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x v="5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x v="5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x v="5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x v="5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x v="5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x v="5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x v="5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x v="5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x v="5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x v="5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x v="5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x v="5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x v="5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x v="5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x v="5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x v="5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x v="5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x v="5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x v="5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x v="5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x v="5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x v="5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x v="5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x v="5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x v="5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x v="5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x v="5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x v="5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x v="5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x v="5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x v="5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x v="5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x v="5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x v="5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x v="5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x v="5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x v="5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x v="5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x v="5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x v="5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x v="5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x v="5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x v="5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x v="5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x v="5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x v="5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x v="5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x v="5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x v="5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x v="5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x v="5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x v="5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x v="5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x v="5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x v="5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x v="5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x v="5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x v="5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x v="5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x v="5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x v="5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x v="5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x v="5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x v="5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x v="5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x v="5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x v="5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x v="5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x v="5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x v="5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x v="5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x v="5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x v="5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x v="5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x v="5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x v="5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x v="5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x v="5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x v="5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x v="5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x v="5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x v="5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x v="5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x v="5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x v="5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x v="5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x v="5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x v="5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x v="5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x v="5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x v="5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x v="5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x v="5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x v="5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x v="5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x v="5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x v="5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x v="5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x v="5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x v="5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x v="5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x v="5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x v="5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x v="5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x v="5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x v="5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x v="5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x v="5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x v="5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x v="5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x v="5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x v="5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x v="5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x v="5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x v="5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x v="5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x v="5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x v="5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x v="5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x v="5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x v="5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x v="5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x v="5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x v="5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x v="5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x v="5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x v="5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x v="5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x v="5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x v="5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x v="5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x v="5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x v="5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x v="5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x v="5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x v="5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x v="5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x v="5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x v="5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x v="5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x v="5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x v="5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x v="5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x v="5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x v="5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x v="5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x v="5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x v="5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x v="5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x v="5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x v="5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x v="5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x v="5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x v="5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x v="5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x v="5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x v="5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x v="5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x v="5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x v="5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x v="5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x v="5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x v="5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x v="5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x v="5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x v="5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x v="5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x v="5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x v="5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x v="5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x v="5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x v="5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x v="5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x v="5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x v="5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x v="5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x v="5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x v="5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x v="5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x v="5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x v="5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x v="5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x v="5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x v="5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x v="5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x v="5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x v="5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x v="5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x v="5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x v="5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x v="5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x v="5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x v="5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x v="5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x v="5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x v="5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x v="5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x v="5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x v="5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x v="5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x v="5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x v="5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x v="5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x v="5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x v="5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x v="5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x v="5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x v="5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x v="5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x v="5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x v="5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x v="5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x v="5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x v="5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x v="5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x v="5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x v="5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x v="5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x v="5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x v="5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x v="5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x v="5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x v="5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x v="5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x v="5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x v="5"/>
    <x v="845"/>
    <s v="C00000019"/>
    <x v="18"/>
    <s v="RM Pigment Super White (5Kg)"/>
    <n v="1"/>
    <s v="Cash"/>
    <x v="0"/>
    <d v="2024-04-08T00:00:00"/>
    <x v="11"/>
    <x v="6"/>
    <n v="150"/>
    <n v="-150"/>
    <n v="0"/>
    <n v="4501382.95"/>
    <s v="Trsf"/>
    <s v="Trsf 21/5/25 RM1,400.00(RM50.70), 24/5/25 RM600.00(RM99.30)"/>
    <m/>
  </r>
  <r>
    <x v="552"/>
    <n v="4"/>
    <x v="5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x v="5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x v="5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x v="5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x v="5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x v="5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x v="5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x v="5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x v="5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x v="5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x v="5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x v="5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x v="5"/>
    <x v="851"/>
    <s v="C00000019"/>
    <x v="18"/>
    <s v="RM Nor 3338W (220Kg)"/>
    <n v="1"/>
    <s v="Cash"/>
    <x v="0"/>
    <d v="2024-04-20T00:00:00"/>
    <x v="11"/>
    <x v="6"/>
    <n v="1738"/>
    <n v="-1738"/>
    <n v="0"/>
    <n v="4528280.45"/>
    <s v="Trsf"/>
    <s v="Trsf 24/5/25 RM600.00(RM500.70), 26/5/25 RM1,000.00(1,000.00), 1/6/25 RM500.00 (RM237.30)"/>
    <m/>
  </r>
  <r>
    <x v="555"/>
    <n v="4"/>
    <x v="5"/>
    <x v="851"/>
    <s v="C00000019"/>
    <x v="18"/>
    <s v="RM Talcum Powder (25kg)"/>
    <n v="3"/>
    <s v="Cash"/>
    <x v="0"/>
    <d v="2024-04-20T00:00:00"/>
    <x v="11"/>
    <x v="6"/>
    <n v="187.5"/>
    <n v="-187.5"/>
    <n v="0"/>
    <n v="4528467.95"/>
    <s v="Trsf"/>
    <s v="Trsf 1/6/25 RM500.00 (RM187.50)"/>
    <m/>
  </r>
  <r>
    <x v="556"/>
    <n v="4"/>
    <x v="5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x v="5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x v="5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x v="5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x v="5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x v="5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x v="5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x v="5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x v="5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x v="5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x v="5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x v="5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x v="5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x v="5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x v="5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x v="5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x v="5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x v="5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x v="5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x v="5"/>
    <x v="856"/>
    <s v="C00000019"/>
    <x v="18"/>
    <s v="RM Fume Silica HJSIL 200(10Kg)"/>
    <n v="1"/>
    <s v="Cash"/>
    <x v="0"/>
    <d v="2024-04-29T00:00:00"/>
    <x v="11"/>
    <x v="6"/>
    <n v="420"/>
    <n v="-420"/>
    <n v="0"/>
    <n v="4476234.1499999994"/>
    <s v="Trsf"/>
    <s v="Trsf 1/6/25 RM500.00 (RM75.20), 12/6/25 RM1,000.00(RM344.80)"/>
    <m/>
  </r>
  <r>
    <x v="560"/>
    <n v="4"/>
    <x v="5"/>
    <x v="856"/>
    <s v="C00000019"/>
    <x v="18"/>
    <s v="RA Butanox M50 (5kg)"/>
    <n v="1"/>
    <s v="Cash"/>
    <x v="0"/>
    <d v="2024-04-29T00:00:00"/>
    <x v="11"/>
    <x v="6"/>
    <n v="110"/>
    <n v="-110"/>
    <n v="0"/>
    <n v="4476314.1499999994"/>
    <s v="Trsf"/>
    <s v="Trsf 12/6/25 RM1,000.00(RM110.00)"/>
    <m/>
  </r>
  <r>
    <x v="560"/>
    <n v="4"/>
    <x v="5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x v="5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x v="5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x v="5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x v="5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x v="5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x v="5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x v="5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x v="5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x v="5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x v="5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x v="5"/>
    <x v="861"/>
    <s v="C00000019"/>
    <x v="18"/>
    <s v="RA Nor 3338W (220Kg)"/>
    <n v="1"/>
    <s v="Cash"/>
    <x v="0"/>
    <d v="2024-05-01T00:00:00"/>
    <x v="12"/>
    <x v="6"/>
    <n v="1760"/>
    <n v="-1760"/>
    <n v="0"/>
    <n v="4522710.45"/>
    <s v="Trsf"/>
    <s v="Trsf 12/6/25 RM1,000.00(RM545.20), 17/7/25 RM1,000.00(RM1,000.00),  18/7/25 RM1,500.00(RM214.80)"/>
    <m/>
  </r>
  <r>
    <x v="561"/>
    <n v="5"/>
    <x v="5"/>
    <x v="861"/>
    <s v="C00000019"/>
    <x v="18"/>
    <s v="RM CSM 450 1860mm(W) (54kg)"/>
    <n v="1"/>
    <s v="Cash"/>
    <x v="0"/>
    <d v="2024-05-01T00:00:00"/>
    <x v="12"/>
    <x v="6"/>
    <n v="405"/>
    <n v="-405"/>
    <n v="0"/>
    <n v="4524835.45"/>
    <s v="Trsf"/>
    <s v="Trsf 18/6/25 RM1,500.00(RM405.00)"/>
    <m/>
  </r>
  <r>
    <x v="561"/>
    <n v="5"/>
    <x v="5"/>
    <x v="861"/>
    <s v="C00000019"/>
    <x v="18"/>
    <s v="RM Chemlease 71-90 EZ (1 gallon)"/>
    <n v="1"/>
    <s v="Cash"/>
    <x v="0"/>
    <d v="2024-05-01T00:00:00"/>
    <x v="12"/>
    <x v="6"/>
    <n v="390"/>
    <n v="-390"/>
    <n v="0"/>
    <n v="4527160.45"/>
    <s v="Trsf"/>
    <s v="Trsf 18/6/25 RM1,500.00(RM390.00)"/>
    <m/>
  </r>
  <r>
    <x v="561"/>
    <n v="5"/>
    <x v="5"/>
    <x v="861"/>
    <s v="C00000019"/>
    <x v="18"/>
    <s v="RM Talcum Powder (25kg)"/>
    <n v="3"/>
    <s v="Cash"/>
    <x v="0"/>
    <d v="2024-05-01T00:00:00"/>
    <x v="12"/>
    <x v="6"/>
    <n v="187.5"/>
    <n v="-187.5"/>
    <n v="0"/>
    <n v="4527337.95"/>
    <s v="Trsf"/>
    <s v="Trsf 18/6/25 RM1,500.00(RM187.50)"/>
    <m/>
  </r>
  <r>
    <x v="562"/>
    <n v="5"/>
    <x v="5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x v="5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x v="5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x v="5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x v="5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x v="5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x v="5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x v="5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x v="5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x v="5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x v="5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x v="5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x v="5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x v="5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x v="5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x v="5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x v="5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x v="5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x v="5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x v="5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x v="5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x v="5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x v="5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x v="5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x v="5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x v="5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x v="5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x v="5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x v="5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x v="5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x v="5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x v="5"/>
    <x v="870"/>
    <s v="C00000019"/>
    <x v="18"/>
    <s v="RA Nor 3338W (220Kg)"/>
    <n v="1"/>
    <s v="Cash"/>
    <x v="0"/>
    <d v="2024-05-10T00:00:00"/>
    <x v="12"/>
    <x v="6"/>
    <n v="1760"/>
    <n v="-302.7"/>
    <n v="1457.3"/>
    <n v="4570933.75"/>
    <s v="Trsf"/>
    <s v="Trsf 18/6/25 RM1,500.00(RM302.70)"/>
    <m/>
  </r>
  <r>
    <x v="566"/>
    <n v="5"/>
    <x v="5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x v="5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x v="5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x v="5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x v="5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x v="5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x v="5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x v="5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x v="5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x v="5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x v="5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x v="5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x v="5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x v="5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x v="5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x v="5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x v="5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x v="5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x v="5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x v="5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x v="5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x v="5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x v="5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x v="5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x v="5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x v="5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x v="5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x v="5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x v="5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x v="5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x v="5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x v="5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x v="5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x v="5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x v="5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x v="5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x v="5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x v="5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x v="5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x v="5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x v="5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x v="5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x v="5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x v="5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x v="5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x v="5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x v="5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x v="5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x v="5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x v="5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x v="5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x v="5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x v="5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x v="5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x v="5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x v="5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x v="5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x v="5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x v="5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x v="5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x v="5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x v="5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x v="5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x v="5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x v="5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x v="5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x v="5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x v="5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x v="5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x v="5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x v="5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x v="5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x v="5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x v="5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x v="5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x v="5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x v="5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x v="5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x v="5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x v="5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x v="5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x v="5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x v="5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x v="5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x v="5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x v="5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x v="5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x v="5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x v="5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x v="5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x v="5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x v="5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x v="5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x v="5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x v="5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x v="5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x v="5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x v="5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x v="5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x v="5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x v="5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x v="5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x v="5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x v="5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x v="5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x v="5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x v="5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x v="5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x v="5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x v="5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x v="5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x v="5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x v="5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x v="5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x v="5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x v="5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x v="5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x v="5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x v="5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x v="5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x v="5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x v="5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x v="5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x v="5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x v="5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x v="5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x v="5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x v="5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x v="5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x v="5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x v="5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x v="5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x v="5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x v="5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x v="5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x v="5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x v="5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x v="5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x v="5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x v="5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x v="5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x v="5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x v="5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x v="5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x v="5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x v="5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x v="5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x v="5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x v="5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x v="5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x v="5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x v="5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x v="5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x v="5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x v="5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x v="5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x v="5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x v="5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x v="5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x v="5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x v="5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x v="5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x v="5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x v="5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x v="5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x v="5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x v="5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x v="5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x v="5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x v="5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x v="5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x v="5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x v="5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x v="5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x v="5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x v="5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x v="5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x v="5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x v="5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x v="5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x v="5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x v="5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x v="5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x v="5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x v="5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x v="5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x v="5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x v="5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x v="5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x v="5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x v="5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x v="5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x v="5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x v="5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x v="5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x v="5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x v="5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x v="5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x v="5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x v="5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x v="5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x v="5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x v="5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x v="5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x v="5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x v="5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x v="5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x v="5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x v="5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x v="5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x v="5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x v="5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x v="5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x v="5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x v="5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x v="5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x v="5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x v="5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x v="5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x v="5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x v="5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x v="5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x v="5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x v="5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x v="5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x v="5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x v="5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x v="5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x v="5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x v="5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x v="5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x v="5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x v="5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x v="5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x v="5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x v="5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x v="5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x v="5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x v="5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x v="5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x v="5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x v="5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x v="5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x v="5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x v="5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x v="5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x v="5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x v="5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x v="5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x v="5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x v="5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x v="5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x v="5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x v="5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x v="5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x v="5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x v="5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x v="5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x v="5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x v="5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x v="5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x v="5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x v="5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x v="5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x v="5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x v="5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x v="5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x v="5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x v="5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x v="5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x v="5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x v="5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x v="5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x v="5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x v="5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x v="5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x v="5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x v="5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x v="5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x v="5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x v="5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x v="5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x v="5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x v="5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x v="5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x v="5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x v="5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x v="5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x v="5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x v="5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x v="5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x v="5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x v="5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x v="5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x v="5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x v="5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x v="5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x v="5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x v="5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x v="5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x v="5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x v="5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x v="5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x v="5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x v="5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x v="5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x v="5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x v="5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x v="5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x v="5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x v="5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x v="5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x v="5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x v="5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x v="5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x v="5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x v="5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x v="5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x v="5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x v="5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x v="5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x v="5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x v="5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x v="5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x v="5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x v="5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x v="5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x v="5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x v="5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x v="5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x v="5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x v="5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x v="5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x v="5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x v="5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x v="5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x v="5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x v="5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x v="5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x v="5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x v="5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x v="5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x v="5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x v="5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x v="5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x v="5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x v="5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x v="5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x v="5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x v="5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x v="5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x v="5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x v="5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x v="5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x v="5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x v="5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x v="5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x v="5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x v="5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x v="5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x v="5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x v="5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x v="5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x v="5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x v="5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x v="5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x v="5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x v="5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x v="5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x v="5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x v="5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x v="5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x v="5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x v="5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x v="5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x v="5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x v="5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x v="5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x v="5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x v="5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x v="5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x v="5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x v="5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x v="5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x v="5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x v="5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x v="5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x v="5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x v="5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x v="5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x v="5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x v="5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x v="5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x v="5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x v="5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x v="5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x v="5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x v="5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x v="5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x v="5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x v="5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x v="5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x v="5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x v="5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x v="5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x v="5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x v="5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x v="5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x v="5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x v="5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x v="5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x v="5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x v="5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x v="5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x v="5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x v="5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x v="5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x v="5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x v="5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x v="5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x v="5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x v="5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x v="5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x v="5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x v="5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x v="5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x v="5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x v="5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x v="5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x v="5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x v="5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x v="5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x v="5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x v="5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x v="5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x v="5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x v="5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x v="5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x v="5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x v="5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x v="5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x v="5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x v="5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x v="5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x v="5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x v="5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x v="5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x v="5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x v="5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x v="5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x v="5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x v="5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x v="5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x v="5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x v="5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x v="5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x v="5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x v="5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x v="5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x v="5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x v="5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x v="5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x v="5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x v="5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x v="5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x v="5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x v="5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x v="5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x v="5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x v="5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x v="5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x v="5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x v="5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x v="5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x v="5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x v="5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x v="5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x v="5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x v="5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x v="5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x v="5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x v="5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x v="5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x v="5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x v="5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x v="5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x v="5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x v="5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x v="5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x v="5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x v="5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x v="5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x v="5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x v="5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x v="5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x v="5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x v="5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x v="5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x v="5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x v="5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x v="5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x v="5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x v="5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x v="5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x v="5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x v="5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x v="5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x v="5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x v="5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x v="5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x v="5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x v="5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x v="5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x v="5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x v="5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x v="5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x v="5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x v="5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x v="5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x v="5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x v="5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x v="5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x v="5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x v="5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x v="5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x v="5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x v="5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x v="5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x v="5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x v="5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x v="5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x v="5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x v="5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x v="5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x v="5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x v="5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x v="5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x v="5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x v="5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x v="5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x v="5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x v="5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x v="5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x v="5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x v="5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x v="5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x v="5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x v="5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x v="5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x v="5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x v="5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x v="5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x v="5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x v="5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x v="5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x v="5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x v="5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x v="5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x v="5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x v="5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x v="5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x v="5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x v="5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x v="5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x v="5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x v="5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x v="5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x v="5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x v="5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x v="5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x v="5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x v="5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x v="5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x v="5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x v="5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x v="5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x v="5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x v="5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x v="5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x v="5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x v="5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x v="5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x v="5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x v="5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x v="5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x v="5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x v="5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x v="5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x v="5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x v="5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x v="5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x v="5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x v="5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x v="5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x v="5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x v="5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x v="5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x v="5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x v="5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x v="5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x v="5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x v="5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x v="5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x v="5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x v="5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x v="5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x v="5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x v="5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x v="5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x v="5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x v="5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x v="5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x v="5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x v="5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x v="5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x v="5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x v="5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x v="5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x v="5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x v="5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x v="5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x v="5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x v="5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x v="5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x v="5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x v="5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x v="5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x v="5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x v="5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x v="5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x v="5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x v="5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x v="5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x v="5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x v="5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x v="5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x v="5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x v="5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x v="5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x v="5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x v="5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x v="5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x v="5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x v="5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x v="5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x v="5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x v="5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x v="5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x v="5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x v="5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x v="5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x v="5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x v="5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x v="5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x v="5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x v="5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x v="5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x v="5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x v="5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x v="5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x v="5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x v="5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x v="5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x v="5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x v="5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x v="5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x v="5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x v="5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x v="5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x v="5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x v="5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x v="5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x v="5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x v="5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x v="5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x v="5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x v="5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x v="5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x v="5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x v="5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x v="5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x v="5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x v="5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x v="5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x v="5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x v="5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x v="5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x v="5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x v="5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x v="5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x v="6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x v="6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x v="6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x v="6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x v="6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x v="6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x v="6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x v="6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x v="6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x v="6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x v="6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x v="6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x v="6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x v="6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x v="6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x v="6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x v="6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x v="6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x v="6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x v="6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x v="6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x v="6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x v="6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x v="6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x v="6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x v="6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x v="6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x v="6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x v="6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x v="6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x v="6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x v="6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x v="6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x v="6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x v="6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x v="6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x v="6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x v="6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x v="6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x v="6"/>
    <x v="1100"/>
    <s v="C00000042"/>
    <x v="43"/>
    <s v="RO CSM 450 1040mm(W) (30kg)"/>
    <n v="9"/>
    <s v="Cash"/>
    <x v="0"/>
    <d v="2025-01-14T00:00:00"/>
    <x v="7"/>
    <x v="7"/>
    <n v="1566"/>
    <n v="-1566"/>
    <n v="0"/>
    <n v="5913516.1500000004"/>
    <s v="Trsf"/>
    <s v="Trsf 30/5/25 RM13,000.00(RM1,157.60), 4/6/25 RM14,500.00(RM408.40)"/>
    <m/>
  </r>
  <r>
    <x v="694"/>
    <n v="1"/>
    <x v="6"/>
    <x v="1100"/>
    <s v="C00000042"/>
    <x v="43"/>
    <s v="RA Woven Roving E-600gm 1120mm (45Kg)"/>
    <n v="8"/>
    <s v="Cash"/>
    <x v="0"/>
    <d v="2025-01-14T00:00:00"/>
    <x v="7"/>
    <x v="7"/>
    <n v="1980"/>
    <n v="-1980"/>
    <n v="0"/>
    <n v="5915496.1500000004"/>
    <s v="Trsf"/>
    <s v="Trsf 4/6/25 RM14,500.00(RM1,980.00)"/>
    <m/>
  </r>
  <r>
    <x v="694"/>
    <n v="1"/>
    <x v="6"/>
    <x v="1100"/>
    <s v="C00000042"/>
    <x v="43"/>
    <s v="RA Butanox M50 (5kg)"/>
    <n v="4"/>
    <s v="Cash"/>
    <x v="0"/>
    <d v="2025-01-14T00:00:00"/>
    <x v="7"/>
    <x v="7"/>
    <n v="460"/>
    <n v="-460"/>
    <n v="0"/>
    <n v="5915956.1500000004"/>
    <s v="Trsf"/>
    <s v="Trsf 4/6/25 RM14,500.00(RM460.00)"/>
    <m/>
  </r>
  <r>
    <x v="694"/>
    <n v="1"/>
    <x v="6"/>
    <x v="1100"/>
    <s v="C00000042"/>
    <x v="43"/>
    <s v="RM Pigment Paste Smooth Cream M19 (25Kg)"/>
    <n v="1"/>
    <s v="Cash"/>
    <x v="0"/>
    <d v="2025-01-14T00:00:00"/>
    <x v="7"/>
    <x v="7"/>
    <n v="1000"/>
    <n v="-1000"/>
    <n v="0"/>
    <n v="5916956.1500000004"/>
    <s v="Trsf"/>
    <s v="Trsf 4/6/25 RM14,500.00(RM1,000.00)"/>
    <m/>
  </r>
  <r>
    <x v="695"/>
    <n v="1"/>
    <x v="6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x v="6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x v="6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x v="6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x v="6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x v="6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x v="6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x v="6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x v="6"/>
    <x v="1103"/>
    <s v="C00000042"/>
    <x v="43"/>
    <s v="RA Resin 268BQT (225Kg)"/>
    <n v="2"/>
    <s v="Cash"/>
    <x v="0"/>
    <d v="2025-01-16T00:00:00"/>
    <x v="7"/>
    <x v="7"/>
    <n v="3240"/>
    <n v="-3240"/>
    <n v="0"/>
    <n v="5925094.6500000004"/>
    <s v="Trsf"/>
    <s v="Trsf 4/6/25 RM14,500.00(RM3,240.00)"/>
    <m/>
  </r>
  <r>
    <x v="696"/>
    <n v="1"/>
    <x v="6"/>
    <x v="1103"/>
    <s v="C00000042"/>
    <x v="43"/>
    <s v="RO CSM 450 1040mm(W) (30kg)"/>
    <n v="4"/>
    <s v="Cash"/>
    <x v="0"/>
    <d v="2025-01-16T00:00:00"/>
    <x v="7"/>
    <x v="7"/>
    <n v="696"/>
    <n v="-696"/>
    <n v="0"/>
    <n v="5925790.6500000004"/>
    <s v="Trsf"/>
    <s v="Trsf 4/6/25 RM14,500.00(RM696.00)"/>
    <m/>
  </r>
  <r>
    <x v="696"/>
    <n v="1"/>
    <x v="6"/>
    <x v="1103"/>
    <s v="C00000042"/>
    <x v="43"/>
    <s v="RA Woven Roving E-600gm 1120mm (45Kg)"/>
    <n v="2"/>
    <s v="Cash"/>
    <x v="0"/>
    <d v="2025-01-16T00:00:00"/>
    <x v="7"/>
    <x v="7"/>
    <n v="495"/>
    <n v="-495"/>
    <n v="0"/>
    <n v="5926285.6500000004"/>
    <s v="Trsf"/>
    <s v="Trsf 4/6/25 RM14,500.00(RM495.00)"/>
    <m/>
  </r>
  <r>
    <x v="696"/>
    <n v="1"/>
    <x v="6"/>
    <x v="1103"/>
    <s v="C00000042"/>
    <x v="43"/>
    <s v="RA Butanox M50 (5kg)"/>
    <n v="4"/>
    <s v="Cash"/>
    <x v="0"/>
    <d v="2025-01-16T00:00:00"/>
    <x v="7"/>
    <x v="7"/>
    <n v="460"/>
    <n v="-460"/>
    <n v="0"/>
    <n v="5926745.6500000004"/>
    <s v="Trsf"/>
    <s v="Trsf 4/6/25 RM14,500.00(RM460.00)"/>
    <m/>
  </r>
  <r>
    <x v="696"/>
    <n v="1"/>
    <x v="6"/>
    <x v="1103"/>
    <s v="C00000042"/>
    <x v="43"/>
    <s v="RM Pigment Paste Riviera Blue B5 (25Kg)"/>
    <n v="1"/>
    <s v="Cash"/>
    <x v="0"/>
    <d v="2025-01-16T00:00:00"/>
    <x v="7"/>
    <x v="7"/>
    <n v="975"/>
    <n v="-975"/>
    <n v="0"/>
    <n v="5927720.6500000004"/>
    <s v="Trsf"/>
    <s v="Trsf 4/6/25 RM14,500.00(RM975.00)"/>
    <m/>
  </r>
  <r>
    <x v="697"/>
    <n v="1"/>
    <x v="6"/>
    <x v="1104"/>
    <s v="C00000042"/>
    <x v="43"/>
    <s v="RQ Talcum Powder (25Kg)"/>
    <n v="1"/>
    <s v="Cash"/>
    <x v="0"/>
    <d v="2025-01-17T00:00:00"/>
    <x v="7"/>
    <x v="7"/>
    <n v="62.5"/>
    <n v="-62.5"/>
    <n v="0"/>
    <n v="5927783.1500000004"/>
    <s v="Trsf"/>
    <s v="Trsf 4/6/25 RM14,500.00(RM62.50)"/>
    <m/>
  </r>
  <r>
    <x v="697"/>
    <n v="1"/>
    <x v="6"/>
    <x v="1105"/>
    <s v="C00000042"/>
    <x v="43"/>
    <s v="RA Resin 2100BQT-L (225Kg)"/>
    <n v="3"/>
    <s v="Cash"/>
    <x v="0"/>
    <d v="2025-01-17T00:00:00"/>
    <x v="7"/>
    <x v="7"/>
    <n v="4860"/>
    <n v="-4860"/>
    <n v="0"/>
    <n v="5932643.1500000004"/>
    <s v="Trsf"/>
    <s v="Trsf 4/6/25 RM14,500.00(RM4,723.10), 5/6/25 RM10,000.00(RM136.90)"/>
    <m/>
  </r>
  <r>
    <x v="697"/>
    <n v="1"/>
    <x v="6"/>
    <x v="1105"/>
    <s v="C00000042"/>
    <x v="43"/>
    <s v="RO CSM 450 1040mm(W) (30kg)"/>
    <n v="9"/>
    <s v="Cash"/>
    <x v="0"/>
    <d v="2025-01-17T00:00:00"/>
    <x v="7"/>
    <x v="7"/>
    <n v="1566"/>
    <n v="-1566"/>
    <n v="0"/>
    <n v="5934209.1500000004"/>
    <s v="Trsf"/>
    <s v="Trsf 5/6/25 RM10,000.00(RM1,566.00)"/>
    <m/>
  </r>
  <r>
    <x v="697"/>
    <n v="1"/>
    <x v="6"/>
    <x v="1105"/>
    <s v="C00000042"/>
    <x v="43"/>
    <s v="RA Woven Roving E-600gm 1120mm (45Kg)"/>
    <n v="4"/>
    <s v="Cash"/>
    <x v="0"/>
    <d v="2025-01-17T00:00:00"/>
    <x v="7"/>
    <x v="7"/>
    <n v="990"/>
    <n v="-990"/>
    <n v="0"/>
    <n v="5935199.1500000004"/>
    <s v="Trsf"/>
    <s v="Trsf 5/6/25 RM10,000.00(RM990.00)"/>
    <m/>
  </r>
  <r>
    <x v="697"/>
    <n v="1"/>
    <x v="6"/>
    <x v="1105"/>
    <s v="C00000042"/>
    <x v="43"/>
    <s v="RA Butanox M50 (5kg)"/>
    <n v="4"/>
    <s v="Cash"/>
    <x v="0"/>
    <d v="2025-01-17T00:00:00"/>
    <x v="7"/>
    <x v="7"/>
    <n v="460"/>
    <n v="-460"/>
    <n v="0"/>
    <n v="5935659.1500000004"/>
    <s v="Trsf"/>
    <s v="Trsf 5/6/25 RM10,000.00(RM460.00)"/>
    <m/>
  </r>
  <r>
    <x v="697"/>
    <n v="1"/>
    <x v="6"/>
    <x v="1105"/>
    <s v="C00000042"/>
    <x v="43"/>
    <s v="RM Pigment Paste Smooth Cream M19 (25Kg)"/>
    <n v="1"/>
    <s v="Cash"/>
    <x v="0"/>
    <d v="2025-01-17T00:00:00"/>
    <x v="7"/>
    <x v="7"/>
    <n v="1000"/>
    <n v="-1000"/>
    <n v="0"/>
    <n v="5936659.1500000004"/>
    <s v="Trsf"/>
    <s v="Trsf 5/6/25 RM10,000.00(RM1,000.00)"/>
    <m/>
  </r>
  <r>
    <x v="698"/>
    <n v="1"/>
    <x v="6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x v="6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x v="6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x v="6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x v="6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x v="6"/>
    <x v="1107"/>
    <s v="C00000042"/>
    <x v="43"/>
    <s v="RQ Talcum Powder (25Kg)"/>
    <n v="1"/>
    <s v="Cash"/>
    <x v="0"/>
    <d v="2025-01-21T00:00:00"/>
    <x v="7"/>
    <x v="7"/>
    <n v="62.5"/>
    <n v="-62.5"/>
    <n v="0"/>
    <n v="5942432.3500000006"/>
    <s v="Trsf"/>
    <s v="Trsf 5/6/25 RM10,000.00(RM62.50)"/>
    <m/>
  </r>
  <r>
    <x v="698"/>
    <n v="1"/>
    <x v="6"/>
    <x v="1108"/>
    <s v="C00000042"/>
    <x v="43"/>
    <s v="RA Resin 2100BQT-L (225Kg)"/>
    <n v="1"/>
    <s v="Cash"/>
    <x v="0"/>
    <d v="2025-01-21T00:00:00"/>
    <x v="7"/>
    <x v="7"/>
    <n v="1620"/>
    <n v="-1620"/>
    <n v="0"/>
    <n v="5944052.3500000006"/>
    <s v="Trsf"/>
    <s v="Trsf 5/6/25 RM10,000.00(RM1,620.00)"/>
    <m/>
  </r>
  <r>
    <x v="698"/>
    <n v="1"/>
    <x v="6"/>
    <x v="1108"/>
    <s v="C00000042"/>
    <x v="43"/>
    <s v="RO CSM 450 1040mm(W) (30kg)"/>
    <n v="3"/>
    <s v="Cash"/>
    <x v="0"/>
    <d v="2025-01-21T00:00:00"/>
    <x v="7"/>
    <x v="7"/>
    <n v="522"/>
    <n v="-522"/>
    <n v="0"/>
    <n v="5944574.3500000006"/>
    <s v="Trsf"/>
    <s v="Trsf 5/6/25 RM10,000.00(RM522.00)"/>
    <m/>
  </r>
  <r>
    <x v="698"/>
    <n v="1"/>
    <x v="6"/>
    <x v="1108"/>
    <s v="C00000042"/>
    <x v="43"/>
    <s v="RA Woven Roving E-600gm 1120mm (45Kg)"/>
    <n v="1"/>
    <s v="Cash"/>
    <x v="0"/>
    <d v="2025-01-21T00:00:00"/>
    <x v="7"/>
    <x v="7"/>
    <n v="247.5"/>
    <n v="-247.5"/>
    <n v="0"/>
    <n v="5944821.8500000006"/>
    <s v="Trsf"/>
    <s v="Trsf 5/6/25 RM10,000.00(RM247.50)"/>
    <m/>
  </r>
  <r>
    <x v="698"/>
    <n v="1"/>
    <x v="6"/>
    <x v="1108"/>
    <s v="C00000042"/>
    <x v="43"/>
    <s v="RM Pigment Paste Riviera Blue B5 (25Kg)"/>
    <n v="1"/>
    <s v="Cash"/>
    <x v="0"/>
    <d v="2025-01-21T00:00:00"/>
    <x v="7"/>
    <x v="7"/>
    <n v="975"/>
    <n v="-975"/>
    <n v="0"/>
    <n v="5945796.8500000006"/>
    <s v="Trsf"/>
    <s v="Trsf 5/6/25 RM10,000.00(RM975.00)"/>
    <m/>
  </r>
  <r>
    <x v="699"/>
    <n v="1"/>
    <x v="6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x v="6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x v="6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x v="6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x v="6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x v="6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x v="6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x v="6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x v="6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x v="6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x v="6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x v="6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x v="6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x v="6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x v="6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x v="6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x v="6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x v="6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x v="6"/>
    <x v="1114"/>
    <s v="C00000042"/>
    <x v="43"/>
    <s v="RQ Talcum Powder (25Kg)"/>
    <n v="3"/>
    <s v="Cash"/>
    <x v="0"/>
    <d v="2025-01-27T00:00:00"/>
    <x v="7"/>
    <x v="7"/>
    <n v="187.5"/>
    <n v="-187.5"/>
    <n v="0"/>
    <n v="5969482.8500000006"/>
    <s v="Trsf"/>
    <s v="Trsf 5/6/25 RM10,000.00(RM187.50)"/>
    <m/>
  </r>
  <r>
    <x v="702"/>
    <n v="1"/>
    <x v="6"/>
    <x v="1115"/>
    <s v="C00000042"/>
    <x v="43"/>
    <s v="RA Resin 2100BQT-L (225Kg)"/>
    <n v="7"/>
    <s v="Cash"/>
    <x v="0"/>
    <d v="2025-01-27T00:00:00"/>
    <x v="7"/>
    <x v="7"/>
    <n v="11340"/>
    <n v="-11340"/>
    <n v="0"/>
    <n v="5980822.8500000006"/>
    <s v="Trsf"/>
    <s v="Trsf 5/6/25 RM10,000.00(RM2,232.60), 9/6/25 RM6,700.00(RM6,700.00), 11/6/25 RM15,600.00(RM2,407.40)"/>
    <m/>
  </r>
  <r>
    <x v="702"/>
    <n v="1"/>
    <x v="6"/>
    <x v="1115"/>
    <s v="C00000042"/>
    <x v="43"/>
    <s v="RO CSM 450 1040mm(W) (30kg)"/>
    <n v="20"/>
    <s v="Cash"/>
    <x v="0"/>
    <d v="2025-01-27T00:00:00"/>
    <x v="7"/>
    <x v="7"/>
    <n v="3480"/>
    <n v="-3480"/>
    <n v="0"/>
    <n v="5984302.8500000006"/>
    <s v="Trsf"/>
    <s v="Trsf 11/6/25 RM15,600.00(RM3,480.00)"/>
    <m/>
  </r>
  <r>
    <x v="702"/>
    <n v="1"/>
    <x v="6"/>
    <x v="1115"/>
    <s v="C00000042"/>
    <x v="43"/>
    <s v="RA Woven Roving E-600gm 1120mm (45Kg)"/>
    <n v="10"/>
    <s v="Cash"/>
    <x v="0"/>
    <d v="2025-01-27T00:00:00"/>
    <x v="7"/>
    <x v="7"/>
    <n v="2475"/>
    <n v="-2475"/>
    <n v="0"/>
    <n v="5986777.8500000006"/>
    <s v="Trsf"/>
    <s v="Trsf 11/6/25 RM15,600.00(RM2,475.00)"/>
    <m/>
  </r>
  <r>
    <x v="702"/>
    <n v="1"/>
    <x v="6"/>
    <x v="1115"/>
    <s v="C00000042"/>
    <x v="43"/>
    <s v="RM Pigment Paste Smooth Cream M19 (25Kg)"/>
    <n v="1"/>
    <s v="Cash"/>
    <x v="0"/>
    <d v="2025-01-27T00:00:00"/>
    <x v="7"/>
    <x v="7"/>
    <n v="1000"/>
    <n v="-1000"/>
    <n v="0"/>
    <n v="5987777.8500000006"/>
    <s v="Trsf"/>
    <s v="Trsf 11/6/25 RM15,600.00(RM1,000.00)"/>
    <m/>
  </r>
  <r>
    <x v="703"/>
    <n v="2"/>
    <x v="6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x v="6"/>
    <x v="1117"/>
    <s v="C00000042"/>
    <x v="43"/>
    <s v="RQ Talcum Powder (25Kg)"/>
    <n v="2"/>
    <s v="Cash"/>
    <x v="0"/>
    <d v="2025-02-03T00:00:00"/>
    <x v="8"/>
    <x v="7"/>
    <n v="125"/>
    <n v="-125"/>
    <n v="0"/>
    <n v="5989352.8500000006"/>
    <s v="Trsf"/>
    <s v="Trsf 11/6/25 RM15,600.00(RM125.00)"/>
    <m/>
  </r>
  <r>
    <x v="703"/>
    <n v="2"/>
    <x v="6"/>
    <x v="1118"/>
    <s v="C00000042"/>
    <x v="43"/>
    <s v="RA Resin 2100BQT-L (225Kg)"/>
    <n v="4"/>
    <s v="Cash"/>
    <x v="0"/>
    <d v="2025-02-03T00:00:00"/>
    <x v="8"/>
    <x v="7"/>
    <n v="6480"/>
    <n v="-6480"/>
    <n v="0"/>
    <n v="5995832.8500000006"/>
    <s v="Trsf"/>
    <s v="Trsf 11/6/25 RM5,600.00(RM6,112.60), 13/6/25 RM20,000.00(RM367.40)"/>
    <m/>
  </r>
  <r>
    <x v="703"/>
    <n v="2"/>
    <x v="6"/>
    <x v="1118"/>
    <s v="C00000042"/>
    <x v="43"/>
    <s v="RO CSM 450 1040mm(W) (30kg)"/>
    <n v="12"/>
    <s v="Cash"/>
    <x v="0"/>
    <d v="2025-02-03T00:00:00"/>
    <x v="8"/>
    <x v="7"/>
    <n v="2088"/>
    <n v="-2088"/>
    <n v="0"/>
    <n v="5997920.8500000006"/>
    <s v="Trsf"/>
    <s v="Trsf 13/6/25 RM20,000.00(RM2,088.00)"/>
    <m/>
  </r>
  <r>
    <x v="703"/>
    <n v="2"/>
    <x v="6"/>
    <x v="1118"/>
    <s v="C00000042"/>
    <x v="43"/>
    <s v="RA Woven Roving E-600gm 1120mm (45Kg)"/>
    <n v="6"/>
    <s v="Cash"/>
    <x v="0"/>
    <d v="2025-02-03T00:00:00"/>
    <x v="8"/>
    <x v="7"/>
    <n v="1485"/>
    <n v="-1485"/>
    <n v="0"/>
    <n v="5999405.8500000006"/>
    <s v="Trsf"/>
    <s v="Trsf 13/6/25 RM20,000.00(RM1,485.00)"/>
    <m/>
  </r>
  <r>
    <x v="703"/>
    <n v="2"/>
    <x v="6"/>
    <x v="1118"/>
    <s v="C00000042"/>
    <x v="43"/>
    <s v="RA Butanox M50 (5kg)"/>
    <n v="4"/>
    <s v="Cash"/>
    <x v="0"/>
    <d v="2025-02-03T00:00:00"/>
    <x v="8"/>
    <x v="7"/>
    <n v="460"/>
    <n v="-460"/>
    <n v="0"/>
    <n v="5999865.8500000006"/>
    <s v="Trsf"/>
    <s v="Trsf 13/6/25 RM20,000.00(RM460.00)"/>
    <m/>
  </r>
  <r>
    <x v="703"/>
    <n v="2"/>
    <x v="6"/>
    <x v="1118"/>
    <s v="C00000042"/>
    <x v="43"/>
    <s v="RM Pigment Paste Smooth Cream M19 (25Kg)"/>
    <n v="1"/>
    <s v="Cash"/>
    <x v="0"/>
    <d v="2025-02-03T00:00:00"/>
    <x v="8"/>
    <x v="7"/>
    <n v="1000"/>
    <n v="-1000"/>
    <n v="0"/>
    <n v="6000865.8500000006"/>
    <s v="Trsf"/>
    <s v="Trsf 13/6/25 RM20,000.00(RM1,000.00)"/>
    <m/>
  </r>
  <r>
    <x v="704"/>
    <n v="2"/>
    <x v="6"/>
    <x v="1119"/>
    <s v="C00000042"/>
    <x v="43"/>
    <s v="RQ Talcum Powder (25Kg)"/>
    <n v="1"/>
    <s v="Cash"/>
    <x v="0"/>
    <d v="2025-02-05T00:00:00"/>
    <x v="8"/>
    <x v="7"/>
    <n v="62.5"/>
    <n v="-62.5"/>
    <n v="0"/>
    <n v="6000928.3500000006"/>
    <s v="Trsf"/>
    <s v="Trsf 13/6/25 RM20,000.00(RM62.50)"/>
    <m/>
  </r>
  <r>
    <x v="704"/>
    <n v="2"/>
    <x v="6"/>
    <x v="1120"/>
    <s v="C00000042"/>
    <x v="43"/>
    <s v="RA Resin 2100BQT-L (225Kg)"/>
    <n v="3"/>
    <s v="Cash"/>
    <x v="0"/>
    <d v="2025-02-05T00:00:00"/>
    <x v="8"/>
    <x v="7"/>
    <n v="4860"/>
    <n v="-4860"/>
    <n v="0"/>
    <n v="6005788.3500000006"/>
    <s v="Trsf"/>
    <s v="Trsf 13/6/25 RM20,000.00(RM4,860.00)"/>
    <m/>
  </r>
  <r>
    <x v="704"/>
    <n v="2"/>
    <x v="6"/>
    <x v="1120"/>
    <s v="C00000042"/>
    <x v="43"/>
    <s v="RO CSM 450 1040mm(W) (30kg)"/>
    <n v="9"/>
    <s v="Cash"/>
    <x v="0"/>
    <d v="2025-02-05T00:00:00"/>
    <x v="8"/>
    <x v="7"/>
    <n v="1566"/>
    <n v="-1566"/>
    <n v="0"/>
    <n v="6007354.3500000006"/>
    <s v="Trsf"/>
    <s v="Trsf 13/6/25 RM20,000.00(RM1,566.00)"/>
    <m/>
  </r>
  <r>
    <x v="704"/>
    <n v="2"/>
    <x v="6"/>
    <x v="1120"/>
    <s v="C00000042"/>
    <x v="43"/>
    <s v="RA Woven Roving E-600gm 1120mm (45Kg)"/>
    <n v="4"/>
    <s v="Cash"/>
    <x v="0"/>
    <d v="2025-02-05T00:00:00"/>
    <x v="8"/>
    <x v="7"/>
    <n v="990"/>
    <n v="-990"/>
    <n v="0"/>
    <n v="6008344.3500000006"/>
    <s v="Trsf"/>
    <s v="Trsf 13/6/25 RM20,000.00(RM990.00)"/>
    <m/>
  </r>
  <r>
    <x v="705"/>
    <n v="2"/>
    <x v="6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x v="6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x v="6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x v="6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x v="6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x v="6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x v="6"/>
    <x v="1123"/>
    <s v="C00000042"/>
    <x v="43"/>
    <s v="RQ Talcum Powder (25Kg)"/>
    <n v="6"/>
    <s v="Cash"/>
    <x v="0"/>
    <d v="2025-02-11T00:00:00"/>
    <x v="8"/>
    <x v="7"/>
    <n v="375"/>
    <n v="-375"/>
    <n v="0"/>
    <n v="6011701.8500000006"/>
    <s v="Trsf"/>
    <s v="Trsf 13/6/25 RM20,000.00(RM375.00)"/>
    <m/>
  </r>
  <r>
    <x v="706"/>
    <n v="2"/>
    <x v="6"/>
    <x v="1124"/>
    <s v="C00000042"/>
    <x v="43"/>
    <s v="RA Resin 2100BQT-L (225Kg)"/>
    <n v="12"/>
    <s v="Cash"/>
    <x v="0"/>
    <d v="2025-02-11T00:00:00"/>
    <x v="8"/>
    <x v="7"/>
    <n v="19440"/>
    <n v="-19440"/>
    <n v="0"/>
    <n v="6031141.8500000006"/>
    <s v="Trsf"/>
    <s v="Trsf 13/6/25 RM20,000.00(RM6,746.10), 20/6/25 RM21,000.00(RM12,693.90)"/>
    <m/>
  </r>
  <r>
    <x v="706"/>
    <n v="2"/>
    <x v="6"/>
    <x v="1124"/>
    <s v="C00000042"/>
    <x v="43"/>
    <s v="RO CSM 450 1040mm(W) (30kg)"/>
    <n v="36"/>
    <s v="Cash"/>
    <x v="0"/>
    <d v="2025-02-11T00:00:00"/>
    <x v="8"/>
    <x v="7"/>
    <n v="6264"/>
    <n v="-6264"/>
    <n v="0"/>
    <n v="6037405.8500000006"/>
    <s v="Trsf"/>
    <s v="Trsf 20/6/25 RM21,000.00(RM6,264.00)"/>
    <m/>
  </r>
  <r>
    <x v="706"/>
    <n v="2"/>
    <x v="6"/>
    <x v="1124"/>
    <s v="C00000042"/>
    <x v="43"/>
    <s v="RA Woven Roving E-600gm 1120mm (45Kg)"/>
    <n v="18"/>
    <s v="Cash"/>
    <x v="0"/>
    <d v="2025-02-11T00:00:00"/>
    <x v="8"/>
    <x v="7"/>
    <n v="4455"/>
    <n v="-4455"/>
    <n v="0"/>
    <n v="6041860.8500000006"/>
    <s v="Trsf"/>
    <s v="Trsf 20/6/25 RM21,000.00(RM2,042.10), 24/6/25 RM14,500.00(RM2,412.90)"/>
    <m/>
  </r>
  <r>
    <x v="706"/>
    <n v="2"/>
    <x v="6"/>
    <x v="1124"/>
    <s v="C00000042"/>
    <x v="43"/>
    <s v="RA Butanox M50 (5kg)"/>
    <n v="8"/>
    <s v="Cash"/>
    <x v="0"/>
    <d v="2025-02-11T00:00:00"/>
    <x v="8"/>
    <x v="7"/>
    <n v="920"/>
    <n v="-920"/>
    <n v="0"/>
    <n v="6042780.8500000006"/>
    <s v="Trsf"/>
    <s v="Trsf 24/6/25 RM14,500.00(RM920.00)"/>
    <m/>
  </r>
  <r>
    <x v="706"/>
    <n v="2"/>
    <x v="6"/>
    <x v="1124"/>
    <s v="C00000042"/>
    <x v="43"/>
    <s v="RM Pigment Paste Riviera Blue B5 (25Kg)"/>
    <n v="2"/>
    <s v="Cash"/>
    <x v="0"/>
    <d v="2025-02-11T00:00:00"/>
    <x v="8"/>
    <x v="7"/>
    <n v="1950"/>
    <n v="-1950"/>
    <n v="0"/>
    <n v="6044730.8500000006"/>
    <s v="Trsf"/>
    <s v="Trsf 24/6/25 RM14,500.00(RM1,950.00)"/>
    <m/>
  </r>
  <r>
    <x v="707"/>
    <n v="2"/>
    <x v="6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x v="6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x v="6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x v="6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x v="6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x v="6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x v="6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x v="6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x v="6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x v="6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x v="6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x v="6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x v="6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x v="6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x v="6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x v="6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x v="6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x v="6"/>
    <x v="1131"/>
    <s v="C00000042"/>
    <x v="43"/>
    <s v="RQ Talcum Powder (25Kg)"/>
    <n v="2"/>
    <s v="Cash"/>
    <x v="0"/>
    <d v="2025-02-17T00:00:00"/>
    <x v="8"/>
    <x v="7"/>
    <n v="125"/>
    <n v="-125"/>
    <n v="0"/>
    <n v="6050020.8500000006"/>
    <s v="Trsf"/>
    <s v="Trsf 24/6/25 RM14,500.00(RM125.00)"/>
    <m/>
  </r>
  <r>
    <x v="709"/>
    <n v="2"/>
    <x v="6"/>
    <x v="1132"/>
    <s v="C00000042"/>
    <x v="43"/>
    <s v="RA Resin 2100BQT-L (225Kg)"/>
    <n v="4"/>
    <s v="Cash"/>
    <x v="0"/>
    <d v="2025-02-17T00:00:00"/>
    <x v="8"/>
    <x v="7"/>
    <n v="6480"/>
    <n v="-6480"/>
    <n v="0"/>
    <n v="6056500.8500000006"/>
    <s v="Trsf"/>
    <s v="Trsf 24/6/25 RM14,500.00(RM6,480.00)"/>
    <m/>
  </r>
  <r>
    <x v="709"/>
    <n v="2"/>
    <x v="6"/>
    <x v="1132"/>
    <s v="C00000042"/>
    <x v="43"/>
    <s v="RO CSM 450 1040mm(W) (30kg)"/>
    <n v="10"/>
    <s v="Cash"/>
    <x v="0"/>
    <d v="2025-02-17T00:00:00"/>
    <x v="8"/>
    <x v="7"/>
    <n v="1740"/>
    <n v="-1740"/>
    <n v="0"/>
    <n v="6058240.8500000006"/>
    <s v="Trsf"/>
    <s v="Trsf 24/6/25 RM14,500.00(RM1,740.00)"/>
    <m/>
  </r>
  <r>
    <x v="709"/>
    <n v="2"/>
    <x v="6"/>
    <x v="1132"/>
    <s v="C00000042"/>
    <x v="43"/>
    <s v="RA Woven Roving E-600gm 1120mm (45Kg)"/>
    <n v="6"/>
    <s v="Cash"/>
    <x v="0"/>
    <d v="2025-02-17T00:00:00"/>
    <x v="8"/>
    <x v="7"/>
    <n v="1485"/>
    <n v="-1485"/>
    <n v="0"/>
    <n v="6059725.8500000006"/>
    <s v="Trsf"/>
    <s v="Trsf 24/6/25 RM14,500.00(RM872.10), 30/6/25 RM15,000.00(RM612.90)"/>
    <m/>
  </r>
  <r>
    <x v="710"/>
    <n v="2"/>
    <x v="6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x v="6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x v="6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x v="6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x v="6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x v="6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x v="6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x v="6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x v="6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x v="6"/>
    <x v="1134"/>
    <s v="C00000042"/>
    <x v="43"/>
    <s v="RQ Talcum Powder (25Kg)"/>
    <n v="2"/>
    <s v="Cash"/>
    <x v="0"/>
    <d v="2025-02-19T00:00:00"/>
    <x v="8"/>
    <x v="7"/>
    <n v="125"/>
    <n v="-125"/>
    <n v="0"/>
    <n v="6069019.3500000006"/>
    <s v="Trsf"/>
    <s v="Trsf 30/6/25 RM15,000.00(RM125.00)"/>
    <m/>
  </r>
  <r>
    <x v="710"/>
    <n v="2"/>
    <x v="6"/>
    <x v="1135"/>
    <s v="C00000042"/>
    <x v="43"/>
    <s v="RA Resin 2100BQT-L (225Kg)"/>
    <n v="4"/>
    <s v="Cash"/>
    <x v="0"/>
    <d v="2025-02-19T00:00:00"/>
    <x v="8"/>
    <x v="7"/>
    <n v="6480"/>
    <n v="-6480"/>
    <n v="0"/>
    <n v="6075499.3500000006"/>
    <s v="Trsf"/>
    <s v="Trsf 30/6/25 RM15,000.00(RM6,480.00)"/>
    <m/>
  </r>
  <r>
    <x v="710"/>
    <n v="2"/>
    <x v="6"/>
    <x v="1135"/>
    <s v="C00000042"/>
    <x v="43"/>
    <s v="RO CSM 450 1040mm(W) (30kg)"/>
    <n v="12"/>
    <s v="Cash"/>
    <x v="0"/>
    <d v="2025-02-19T00:00:00"/>
    <x v="8"/>
    <x v="7"/>
    <n v="2088"/>
    <n v="-2088"/>
    <n v="0"/>
    <n v="6077587.3500000006"/>
    <s v="Trsf"/>
    <s v="Trsf 30/6/25 RM15,000.00(RM2,088.00)"/>
    <m/>
  </r>
  <r>
    <x v="710"/>
    <n v="2"/>
    <x v="6"/>
    <x v="1135"/>
    <s v="C00000042"/>
    <x v="43"/>
    <s v="RA Woven Roving E-600gm 1120mm (45Kg)"/>
    <n v="6"/>
    <s v="Cash"/>
    <x v="0"/>
    <d v="2025-02-19T00:00:00"/>
    <x v="8"/>
    <x v="7"/>
    <n v="1485"/>
    <n v="-1485"/>
    <n v="0"/>
    <n v="6079072.3500000006"/>
    <s v="Trsf"/>
    <s v="Trsf 30/6/25 RM15,000.00(RM1,485.00)"/>
    <m/>
  </r>
  <r>
    <x v="710"/>
    <n v="2"/>
    <x v="6"/>
    <x v="1135"/>
    <s v="C00000042"/>
    <x v="43"/>
    <s v="RA Butanox M50 (5kg)"/>
    <n v="6"/>
    <s v="Cash"/>
    <x v="0"/>
    <d v="2025-02-19T00:00:00"/>
    <x v="8"/>
    <x v="7"/>
    <n v="690"/>
    <n v="-690"/>
    <n v="0"/>
    <n v="6079762.3500000006"/>
    <s v="Trsf"/>
    <s v="Trsf 30/6/25 RM15,000.00(RM690.00)"/>
    <m/>
  </r>
  <r>
    <x v="710"/>
    <n v="2"/>
    <x v="6"/>
    <x v="1135"/>
    <s v="C00000042"/>
    <x v="43"/>
    <s v="RM Pigment Paste Smooth Cream M19 (25Kg)"/>
    <n v="1"/>
    <s v="Cash"/>
    <x v="0"/>
    <d v="2025-02-19T00:00:00"/>
    <x v="8"/>
    <x v="7"/>
    <n v="1000"/>
    <n v="-1000"/>
    <n v="0"/>
    <n v="6080762.3500000006"/>
    <s v="Trsf"/>
    <s v="Trsf 30/6/25 RM15,000.00(RM1,000.00)"/>
    <m/>
  </r>
  <r>
    <x v="711"/>
    <n v="2"/>
    <x v="6"/>
    <x v="1136"/>
    <s v="C00000042"/>
    <x v="43"/>
    <s v="RQ Talcum Powder (25Kg)"/>
    <n v="5"/>
    <s v="Cash"/>
    <x v="0"/>
    <d v="2025-02-24T00:00:00"/>
    <x v="8"/>
    <x v="7"/>
    <n v="312.5"/>
    <n v="-312.5"/>
    <n v="0"/>
    <n v="6081074.8500000006"/>
    <s v="Trsf"/>
    <s v="Trsf 30/6/25 RM15,000.00(RM312.50)"/>
    <m/>
  </r>
  <r>
    <x v="711"/>
    <n v="2"/>
    <x v="6"/>
    <x v="1137"/>
    <s v="C00000042"/>
    <x v="43"/>
    <s v="RA Resin 2100BQT-L (225Kg)"/>
    <n v="10"/>
    <s v="Cash"/>
    <x v="0"/>
    <d v="2025-02-24T00:00:00"/>
    <x v="8"/>
    <x v="7"/>
    <n v="16200"/>
    <n v="-2206.6"/>
    <n v="13993.4"/>
    <n v="6097274.8500000006"/>
    <s v="Trsf"/>
    <s v="Trsf 30/6/25 RM15,000.00(RM2,206.60)"/>
    <m/>
  </r>
  <r>
    <x v="711"/>
    <n v="2"/>
    <x v="6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x v="6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x v="6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x v="6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x v="6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x v="6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x v="6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x v="6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x v="6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x v="6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x v="6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x v="6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x v="6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x v="6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x v="6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x v="6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x v="6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x v="6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x v="6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x v="6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x v="6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x v="6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x v="6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x v="6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x v="6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x v="6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x v="6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x v="6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x v="6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x v="6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x v="6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x v="6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x v="6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x v="6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x v="6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x v="6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x v="6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x v="6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x v="6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x v="6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x v="6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x v="6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x v="6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x v="6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x v="6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x v="6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x v="6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x v="6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x v="6"/>
    <x v="1149"/>
    <s v="C00000006"/>
    <x v="5"/>
    <s v="RA Resin 268BQT (225Kg)"/>
    <n v="2"/>
    <s v="Cash"/>
    <x v="0"/>
    <d v="2025-03-12T00:00:00"/>
    <x v="9"/>
    <x v="7"/>
    <n v="3420"/>
    <n v="-3420"/>
    <n v="0"/>
    <n v="6182684.3500000015"/>
    <s v="Chq"/>
    <s v="Cash deposit 6/6/25 RM4,623.00"/>
    <m/>
  </r>
  <r>
    <x v="718"/>
    <n v="3"/>
    <x v="6"/>
    <x v="1149"/>
    <s v="C00000006"/>
    <x v="5"/>
    <s v="RA CSM 450 1040mm(W) (30Kg)"/>
    <n v="3"/>
    <s v="Cash"/>
    <x v="0"/>
    <d v="2025-03-12T00:00:00"/>
    <x v="9"/>
    <x v="7"/>
    <n v="648"/>
    <n v="-648"/>
    <n v="0"/>
    <n v="6183332.3500000015"/>
    <s v="Chq"/>
    <s v="Cash deposit 6/6/25 RM4,623.00"/>
    <m/>
  </r>
  <r>
    <x v="718"/>
    <n v="3"/>
    <x v="6"/>
    <x v="1149"/>
    <s v="C00000006"/>
    <x v="5"/>
    <s v="RA Butanox M50 (5Kg)"/>
    <n v="2"/>
    <s v="Cash"/>
    <x v="0"/>
    <d v="2025-03-12T00:00:00"/>
    <x v="9"/>
    <x v="7"/>
    <n v="230"/>
    <n v="-230"/>
    <n v="0"/>
    <n v="6183562.3500000015"/>
    <s v="Chq"/>
    <s v="Cash deposit 6/6/25 RM4,623.00"/>
    <m/>
  </r>
  <r>
    <x v="718"/>
    <n v="3"/>
    <x v="6"/>
    <x v="1149"/>
    <s v="C00000006"/>
    <x v="5"/>
    <s v="RM Pigment Transparent Green (5Kg)"/>
    <n v="1"/>
    <s v="Cash"/>
    <x v="0"/>
    <d v="2025-03-12T00:00:00"/>
    <x v="9"/>
    <x v="7"/>
    <n v="325"/>
    <n v="-325"/>
    <n v="0"/>
    <n v="6183887.3500000015"/>
    <s v="Chq"/>
    <s v="Cash deposit 6/6/25 RM4,623.00"/>
    <m/>
  </r>
  <r>
    <x v="719"/>
    <n v="3"/>
    <x v="6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x v="6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x v="6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x v="6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x v="6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x v="6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x v="6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x v="6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x v="6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x v="6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x v="6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x v="6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x v="6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x v="6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x v="6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x v="6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x v="6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x v="6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x v="6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x v="6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x v="6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x v="6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x v="6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x v="6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x v="6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x v="6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x v="6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x v="6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x v="6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x v="6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x v="6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x v="6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x v="6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x v="6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x v="6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x v="6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x v="6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x v="6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x v="6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x v="6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x v="6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x v="6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x v="6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x v="6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x v="6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x v="6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x v="6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x v="6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x v="6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x v="6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x v="6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x v="6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x v="6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x v="6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x v="6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x v="6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x v="6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x v="6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x v="6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x v="6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x v="6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x v="6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x v="6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x v="6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x v="6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x v="6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x v="6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x v="6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x v="6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x v="6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x v="6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x v="6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x v="6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x v="6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x v="6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x v="6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x v="6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x v="6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x v="6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x v="6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x v="6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x v="6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x v="6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x v="6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x v="6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x v="6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x v="6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x v="6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x v="6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x v="6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x v="6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x v="6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x v="6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x v="6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x v="6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x v="6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x v="6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x v="6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x v="6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x v="6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x v="6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x v="6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x v="6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x v="6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x v="6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x v="6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x v="6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x v="6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x v="6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x v="6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x v="6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x v="6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x v="6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x v="6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x v="6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x v="6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x v="6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x v="6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x v="6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x v="6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x v="6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x v="6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x v="6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x v="6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x v="6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x v="6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x v="6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x v="6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x v="6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x v="6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x v="6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x v="6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x v="6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x v="6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x v="6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x v="6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x v="6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x v="6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x v="6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x v="6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x v="6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x v="6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x v="6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x v="6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x v="6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x v="6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x v="6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x v="6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x v="6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x v="6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x v="6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x v="6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x v="6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x v="6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x v="6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x v="6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x v="6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x v="6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x v="6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x v="6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x v="6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x v="6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x v="6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x v="6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x v="6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x v="6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x v="6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x v="6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x v="6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x v="6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x v="6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x v="6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x v="6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x v="6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x v="6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x v="6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x v="6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x v="6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x v="6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x v="6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x v="6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x v="6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x v="6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x v="6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x v="6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x v="6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x v="6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x v="6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x v="6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x v="6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x v="6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x v="6"/>
    <x v="1211"/>
    <s v="C00000050"/>
    <x v="52"/>
    <s v="RO Resin 8213WPT (225Kg)"/>
    <n v="1"/>
    <s v="Cash"/>
    <x v="0"/>
    <d v="2025-05-14T00:00:00"/>
    <x v="12"/>
    <x v="7"/>
    <n v="1710"/>
    <n v="-1710"/>
    <n v="0"/>
    <n v="6540682.5500000017"/>
    <s v="Cash"/>
    <s v="Chq PBB 072029, Cleared 10/6/25 RM2,307.50"/>
    <m/>
  </r>
  <r>
    <x v="753"/>
    <n v="5"/>
    <x v="6"/>
    <x v="1211"/>
    <s v="C00000050"/>
    <x v="52"/>
    <s v="RA CSM 450 1040mm(W) (37kg)"/>
    <n v="1"/>
    <s v="Cash"/>
    <x v="0"/>
    <d v="2025-05-14T00:00:00"/>
    <x v="12"/>
    <x v="7"/>
    <n v="277.5"/>
    <n v="-277.5"/>
    <n v="0"/>
    <n v="6540960.0500000017"/>
    <s v="Cash"/>
    <s v="Chq PBB 072029, Cleared 10/6/25 RM2,307.50"/>
    <m/>
  </r>
  <r>
    <x v="753"/>
    <n v="5"/>
    <x v="6"/>
    <x v="1211"/>
    <s v="C00000050"/>
    <x v="52"/>
    <s v="RA Mepoxe (5kg)"/>
    <n v="1"/>
    <s v="Cash"/>
    <x v="0"/>
    <d v="2025-05-14T00:00:00"/>
    <x v="12"/>
    <x v="7"/>
    <n v="95"/>
    <n v="-95"/>
    <n v="0"/>
    <n v="6541055.0500000017"/>
    <s v="Cash"/>
    <s v="Chq PBB 072029, Cleared 10/6/25 RM2,307.50"/>
    <m/>
  </r>
  <r>
    <x v="753"/>
    <n v="5"/>
    <x v="6"/>
    <x v="1211"/>
    <s v="C00000050"/>
    <x v="52"/>
    <s v="RA Sand Wheel 105 X 2 X 16 (30PC)"/>
    <n v="1"/>
    <s v="Cash"/>
    <x v="0"/>
    <d v="2025-05-14T00:00:00"/>
    <x v="12"/>
    <x v="7"/>
    <n v="225"/>
    <n v="-225"/>
    <n v="0"/>
    <n v="6541280.0500000017"/>
    <s v="Cash"/>
    <s v="Chq PBB 072029, Cleared 10/6/25 RM2,307.50"/>
    <m/>
  </r>
  <r>
    <x v="753"/>
    <n v="5"/>
    <x v="6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x v="6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x v="6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x v="6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x v="6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x v="6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x v="6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x v="6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x v="6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x v="6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x v="6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x v="6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x v="6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x v="6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x v="6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x v="6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x v="6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x v="6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x v="6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x v="6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x v="6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x v="6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x v="6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x v="6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x v="6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x v="6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x v="6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x v="6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x v="6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x v="6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x v="6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x v="6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x v="6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x v="6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x v="6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x v="6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x v="6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x v="6"/>
    <x v="1223"/>
    <s v="C00000061"/>
    <x v="63"/>
    <s v="RA Resin 268BQT (225Kg)"/>
    <n v="1"/>
    <s v="Cash"/>
    <x v="0"/>
    <d v="2025-05-26T00:00:00"/>
    <x v="12"/>
    <x v="7"/>
    <n v="1642.5"/>
    <n v="-1642.5"/>
    <n v="0"/>
    <n v="6623478.450000003"/>
    <s v="Cash"/>
    <s v="Trsf 7/6/25 RM2,458.70"/>
    <m/>
  </r>
  <r>
    <x v="760"/>
    <n v="5"/>
    <x v="6"/>
    <x v="1223"/>
    <s v="C00000061"/>
    <x v="63"/>
    <s v="RO CSM 450 1860mm(W) (67kg)"/>
    <n v="1"/>
    <s v="Cash"/>
    <x v="0"/>
    <d v="2025-05-26T00:00:00"/>
    <x v="12"/>
    <x v="7"/>
    <n v="408.7"/>
    <n v="-408.7"/>
    <n v="0"/>
    <n v="6623887.1500000032"/>
    <s v="Cash"/>
    <s v="Trsf 7/6/25 RM2,458.70"/>
    <m/>
  </r>
  <r>
    <x v="760"/>
    <n v="5"/>
    <x v="6"/>
    <x v="1223"/>
    <s v="C00000061"/>
    <x v="63"/>
    <s v="RA Butanox M50 (5kg)"/>
    <n v="1"/>
    <s v="Cash"/>
    <x v="0"/>
    <d v="2025-05-26T00:00:00"/>
    <x v="12"/>
    <x v="7"/>
    <n v="115"/>
    <n v="-115"/>
    <n v="0"/>
    <n v="6624002.1500000032"/>
    <s v="Cash"/>
    <s v="Trsf 7/6/25 RM2,458.70"/>
    <m/>
  </r>
  <r>
    <x v="760"/>
    <n v="5"/>
    <x v="6"/>
    <x v="1223"/>
    <s v="C00000061"/>
    <x v="63"/>
    <s v="RQ Talcum Powder (25kg)"/>
    <n v="3"/>
    <s v="Cash"/>
    <x v="0"/>
    <d v="2025-05-26T00:00:00"/>
    <x v="12"/>
    <x v="7"/>
    <n v="172.5"/>
    <n v="-172.5"/>
    <n v="0"/>
    <n v="6624174.6500000032"/>
    <s v="Cash"/>
    <s v="Trsf 7/6/25 RM2,458.70"/>
    <m/>
  </r>
  <r>
    <x v="760"/>
    <n v="5"/>
    <x v="6"/>
    <x v="1223"/>
    <s v="C00000061"/>
    <x v="63"/>
    <s v="RM TR104 Hi Temp Wax"/>
    <n v="2"/>
    <s v="Cash"/>
    <x v="0"/>
    <d v="2025-05-26T00:00:00"/>
    <x v="12"/>
    <x v="7"/>
    <n v="120"/>
    <n v="-120"/>
    <n v="0"/>
    <n v="6624294.6500000032"/>
    <s v="Cash"/>
    <s v="Trsf 7/6/25 RM2,458.70"/>
    <m/>
  </r>
  <r>
    <x v="761"/>
    <n v="5"/>
    <x v="6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x v="6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x v="6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x v="6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x v="6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x v="6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x v="6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x v="6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x v="6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x v="6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x v="6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x v="6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x v="6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x v="6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x v="6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x v="6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x v="6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x v="6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x v="6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x v="6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x v="6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  <r>
    <x v="764"/>
    <n v="6"/>
    <x v="6"/>
    <x v="1230"/>
    <s v="C00000042"/>
    <x v="43"/>
    <s v="RQ Talcum Powder (25Kg)"/>
    <n v="3"/>
    <s v="Cash"/>
    <x v="0"/>
    <d v="2025-06-03T00:00:00"/>
    <x v="1"/>
    <x v="7"/>
    <n v="187.5"/>
    <m/>
    <n v="187.5"/>
    <n v="6668811.6500000032"/>
    <s v="Trsf"/>
    <m/>
    <m/>
  </r>
  <r>
    <x v="764"/>
    <n v="6"/>
    <x v="6"/>
    <x v="1231"/>
    <s v="C00000042"/>
    <x v="43"/>
    <s v="RA Resin 2100BQT-L (225Kg)"/>
    <n v="5"/>
    <s v="Cash"/>
    <x v="0"/>
    <d v="2025-06-03T00:00:00"/>
    <x v="1"/>
    <x v="7"/>
    <n v="8100"/>
    <m/>
    <n v="8100"/>
    <n v="6676911.6500000032"/>
    <s v="Trsf"/>
    <m/>
    <m/>
  </r>
  <r>
    <x v="764"/>
    <n v="6"/>
    <x v="6"/>
    <x v="1231"/>
    <s v="C00000042"/>
    <x v="43"/>
    <s v="RO CSM 450 1040mm(W) (37kg)"/>
    <n v="15"/>
    <s v="Cash"/>
    <x v="0"/>
    <d v="2025-06-03T00:00:00"/>
    <x v="1"/>
    <x v="7"/>
    <n v="3274.5"/>
    <m/>
    <n v="3274.5"/>
    <n v="6680186.1500000032"/>
    <s v="Trsf"/>
    <m/>
    <m/>
  </r>
  <r>
    <x v="764"/>
    <n v="6"/>
    <x v="6"/>
    <x v="1231"/>
    <s v="C00000042"/>
    <x v="43"/>
    <s v="RA Woven Roving E-600gm 1120mm (45Kg)"/>
    <n v="7"/>
    <s v="Cash"/>
    <x v="0"/>
    <d v="2025-06-03T00:00:00"/>
    <x v="1"/>
    <x v="7"/>
    <n v="1732.5"/>
    <m/>
    <n v="1732.5"/>
    <n v="6681918.6500000032"/>
    <s v="Trsf"/>
    <m/>
    <m/>
  </r>
  <r>
    <x v="764"/>
    <n v="6"/>
    <x v="6"/>
    <x v="1231"/>
    <s v="C00000042"/>
    <x v="43"/>
    <s v="RM Pigment Paste Riviera Blue B5 (25Kg)"/>
    <n v="1"/>
    <s v="Cash"/>
    <x v="0"/>
    <d v="2025-06-03T00:00:00"/>
    <x v="1"/>
    <x v="7"/>
    <n v="975"/>
    <m/>
    <n v="975"/>
    <n v="6682893.6500000032"/>
    <s v="Trsf"/>
    <m/>
    <m/>
  </r>
  <r>
    <x v="765"/>
    <n v="6"/>
    <x v="6"/>
    <x v="1232"/>
    <s v="C00000063"/>
    <x v="65"/>
    <s v="CSM 450 GSM 1860mm (54kg)"/>
    <n v="2"/>
    <s v="Cash"/>
    <x v="0"/>
    <d v="2025-06-04T00:00:00"/>
    <x v="1"/>
    <x v="7"/>
    <n v="777.6"/>
    <n v="-777.6"/>
    <n v="0"/>
    <n v="6683671.2500000028"/>
    <s v="Cash"/>
    <s v="Trsd 5/6/25 RM3,756.40"/>
    <m/>
  </r>
  <r>
    <x v="765"/>
    <n v="6"/>
    <x v="6"/>
    <x v="1232"/>
    <s v="C00000063"/>
    <x v="65"/>
    <s v="CSM 300 GSM 1860mm (54kg)"/>
    <n v="1"/>
    <s v="Cash"/>
    <x v="0"/>
    <d v="2025-06-04T00:00:00"/>
    <x v="1"/>
    <x v="7"/>
    <n v="388.8"/>
    <n v="-388.8"/>
    <n v="0"/>
    <n v="6684060.0500000026"/>
    <s v="Cash"/>
    <s v="Trsd 5/6/25 RM3,756.40"/>
    <m/>
  </r>
  <r>
    <x v="765"/>
    <n v="6"/>
    <x v="6"/>
    <x v="1232"/>
    <s v="C00000063"/>
    <x v="65"/>
    <s v="Gelcoat (25kg)"/>
    <n v="2"/>
    <s v="Cash"/>
    <x v="0"/>
    <d v="2025-06-04T00:00:00"/>
    <x v="1"/>
    <x v="7"/>
    <n v="640"/>
    <n v="-640"/>
    <n v="0"/>
    <n v="6684700.0500000026"/>
    <s v="Cash"/>
    <s v="Trsd 5/6/25 RM3,756.40"/>
    <m/>
  </r>
  <r>
    <x v="765"/>
    <n v="6"/>
    <x v="6"/>
    <x v="1232"/>
    <s v="C00000063"/>
    <x v="65"/>
    <s v="TR104 Wax Mould Release"/>
    <n v="4"/>
    <s v="Cash"/>
    <x v="0"/>
    <d v="2025-06-04T00:00:00"/>
    <x v="1"/>
    <x v="7"/>
    <n v="240"/>
    <n v="-240"/>
    <n v="0"/>
    <n v="6684940.0500000026"/>
    <s v="Cash"/>
    <s v="Trsd 5/6/25 RM3,756.40"/>
    <m/>
  </r>
  <r>
    <x v="765"/>
    <n v="6"/>
    <x v="6"/>
    <x v="1232"/>
    <s v="C00000063"/>
    <x v="65"/>
    <s v="Pigment Grey G1 (5kg)"/>
    <n v="2"/>
    <s v="Cash"/>
    <x v="0"/>
    <d v="2025-06-04T00:00:00"/>
    <x v="1"/>
    <x v="7"/>
    <n v="320"/>
    <n v="-320"/>
    <n v="0"/>
    <n v="6685260.0500000026"/>
    <s v="Cash"/>
    <s v="Trsd 5/6/25 RM3,756.40"/>
    <m/>
  </r>
  <r>
    <x v="765"/>
    <n v="6"/>
    <x v="6"/>
    <x v="1232"/>
    <s v="C00000063"/>
    <x v="65"/>
    <s v="Chemlease 71-90 EZ (1 gallon)"/>
    <n v="1"/>
    <s v="Cash"/>
    <x v="0"/>
    <d v="2025-06-04T00:00:00"/>
    <x v="1"/>
    <x v="7"/>
    <n v="390"/>
    <n v="-390"/>
    <n v="0"/>
    <n v="6685650.0500000026"/>
    <s v="Cash"/>
    <s v="Trsd 5/6/25 RM3,756.40"/>
    <m/>
  </r>
  <r>
    <x v="765"/>
    <n v="6"/>
    <x v="6"/>
    <x v="1232"/>
    <s v="C00000063"/>
    <x v="65"/>
    <s v="Butanox M50 (5Kg)"/>
    <n v="2"/>
    <s v="Cash"/>
    <x v="0"/>
    <d v="2025-06-04T00:00:00"/>
    <x v="1"/>
    <x v="7"/>
    <n v="230"/>
    <n v="-230"/>
    <n v="0"/>
    <n v="6685880.0500000026"/>
    <s v="Cash"/>
    <s v="Trsd 5/6/25 RM3,756.40"/>
    <m/>
  </r>
  <r>
    <x v="765"/>
    <n v="6"/>
    <x v="6"/>
    <x v="1232"/>
    <s v="C00000063"/>
    <x v="65"/>
    <s v="Brush 3&quot; (12pcs)"/>
    <n v="1"/>
    <s v="Cash"/>
    <x v="0"/>
    <d v="2025-06-04T00:00:00"/>
    <x v="1"/>
    <x v="7"/>
    <n v="60"/>
    <n v="-60"/>
    <n v="0"/>
    <n v="6685940.0500000026"/>
    <s v="Cash"/>
    <s v="Trsd 5/6/25 RM3,756.40"/>
    <m/>
  </r>
  <r>
    <x v="765"/>
    <n v="6"/>
    <x v="6"/>
    <x v="1232"/>
    <s v="C00000063"/>
    <x v="65"/>
    <s v="Acccelerator (4kg)"/>
    <n v="1"/>
    <s v="Cash"/>
    <x v="0"/>
    <d v="2025-06-04T00:00:00"/>
    <x v="1"/>
    <x v="7"/>
    <n v="240"/>
    <n v="-240"/>
    <n v="0"/>
    <n v="6686180.0500000026"/>
    <s v="Cash"/>
    <s v="Trsd 5/6/25 RM3,756.40"/>
    <m/>
  </r>
  <r>
    <x v="765"/>
    <n v="6"/>
    <x v="6"/>
    <x v="1232"/>
    <s v="C00000063"/>
    <x v="65"/>
    <s v="Pigment Orange (5kg)  "/>
    <n v="1"/>
    <s v="Cash"/>
    <x v="0"/>
    <d v="2025-06-04T00:00:00"/>
    <x v="1"/>
    <x v="7"/>
    <n v="300"/>
    <n v="-300"/>
    <n v="0"/>
    <n v="6686480.0500000026"/>
    <s v="Cash"/>
    <s v="Trsd 5/6/25 RM3,756.40"/>
    <m/>
  </r>
  <r>
    <x v="765"/>
    <n v="6"/>
    <x v="6"/>
    <x v="1232"/>
    <s v="C00000063"/>
    <x v="65"/>
    <s v="PVA (5kg)"/>
    <n v="1"/>
    <s v="Cash"/>
    <x v="0"/>
    <d v="2025-06-04T00:00:00"/>
    <x v="1"/>
    <x v="7"/>
    <n v="170"/>
    <n v="-170"/>
    <n v="0"/>
    <n v="6686650.0500000026"/>
    <s v="Cash"/>
    <s v="Trsd 5/6/25 RM3,756.40"/>
    <m/>
  </r>
  <r>
    <x v="766"/>
    <n v="6"/>
    <x v="6"/>
    <x v="1233"/>
    <s v="C00000042"/>
    <x v="43"/>
    <s v="RQ Talcum Powder (25Kg)"/>
    <n v="1"/>
    <s v="Cash"/>
    <x v="0"/>
    <d v="2025-06-05T00:00:00"/>
    <x v="1"/>
    <x v="7"/>
    <n v="62.5"/>
    <m/>
    <n v="62.5"/>
    <n v="6686712.5500000026"/>
    <s v="Trsf"/>
    <m/>
    <m/>
  </r>
  <r>
    <x v="766"/>
    <n v="6"/>
    <x v="6"/>
    <x v="1234"/>
    <s v="C00000042"/>
    <x v="43"/>
    <s v="RA Resin 2100BQT-L (225Kg)"/>
    <n v="3"/>
    <s v="Cash"/>
    <x v="0"/>
    <d v="2025-06-05T00:00:00"/>
    <x v="1"/>
    <x v="7"/>
    <n v="4860"/>
    <m/>
    <n v="4860"/>
    <n v="6691572.5500000026"/>
    <s v="Trsf"/>
    <m/>
    <m/>
  </r>
  <r>
    <x v="766"/>
    <n v="6"/>
    <x v="6"/>
    <x v="1234"/>
    <s v="C00000042"/>
    <x v="43"/>
    <s v="RO CSM 450 1040mm(W) (37kg)"/>
    <n v="9"/>
    <s v="Cash"/>
    <x v="0"/>
    <d v="2025-06-05T00:00:00"/>
    <x v="1"/>
    <x v="7"/>
    <n v="1964.7"/>
    <m/>
    <n v="1964.7"/>
    <n v="6693537.2500000028"/>
    <s v="Trsf"/>
    <m/>
    <m/>
  </r>
  <r>
    <x v="766"/>
    <n v="6"/>
    <x v="6"/>
    <x v="1234"/>
    <s v="C00000042"/>
    <x v="43"/>
    <s v="RA Woven Roving E-600gm 1120mm (45Kg)"/>
    <n v="4"/>
    <s v="Cash"/>
    <x v="0"/>
    <d v="2025-06-05T00:00:00"/>
    <x v="1"/>
    <x v="7"/>
    <n v="990"/>
    <m/>
    <n v="990"/>
    <n v="6694527.2500000028"/>
    <s v="Trsf"/>
    <m/>
    <m/>
  </r>
  <r>
    <x v="766"/>
    <n v="6"/>
    <x v="6"/>
    <x v="1234"/>
    <s v="C00000042"/>
    <x v="43"/>
    <s v="RA Butanox M50 (5kg)"/>
    <n v="4"/>
    <s v="Cash"/>
    <x v="0"/>
    <d v="2025-06-05T00:00:00"/>
    <x v="1"/>
    <x v="7"/>
    <n v="460"/>
    <m/>
    <n v="460"/>
    <n v="6694987.2500000028"/>
    <s v="Trsf"/>
    <m/>
    <m/>
  </r>
  <r>
    <x v="766"/>
    <n v="6"/>
    <x v="6"/>
    <x v="1234"/>
    <s v="C00000042"/>
    <x v="43"/>
    <s v="RO Resin 8213WPT (225kg)"/>
    <n v="1"/>
    <s v="Cash"/>
    <x v="0"/>
    <d v="2025-06-05T00:00:00"/>
    <x v="1"/>
    <x v="7"/>
    <n v="1620"/>
    <m/>
    <n v="1620"/>
    <n v="6696607.2500000028"/>
    <s v="Trsf"/>
    <m/>
    <m/>
  </r>
  <r>
    <x v="767"/>
    <n v="6"/>
    <x v="6"/>
    <x v="1235"/>
    <s v="C00000042"/>
    <x v="43"/>
    <s v="RQ Talcum Powder (25Kg)"/>
    <n v="1"/>
    <s v="Cash"/>
    <x v="0"/>
    <d v="2025-06-06T00:00:00"/>
    <x v="1"/>
    <x v="7"/>
    <n v="62.5"/>
    <m/>
    <n v="62.5"/>
    <n v="6696669.7500000028"/>
    <s v="Trsf"/>
    <m/>
    <m/>
  </r>
  <r>
    <x v="767"/>
    <n v="6"/>
    <x v="6"/>
    <x v="1236"/>
    <s v="C00000042"/>
    <x v="43"/>
    <s v="RA Resin 2100BQT-L (225Kg)"/>
    <n v="2"/>
    <s v="Cash"/>
    <x v="0"/>
    <d v="2025-06-06T00:00:00"/>
    <x v="1"/>
    <x v="7"/>
    <n v="3240"/>
    <m/>
    <n v="3240"/>
    <n v="6699909.7500000028"/>
    <s v="Trsf"/>
    <m/>
    <m/>
  </r>
  <r>
    <x v="767"/>
    <n v="6"/>
    <x v="6"/>
    <x v="1236"/>
    <s v="C00000042"/>
    <x v="43"/>
    <s v="RO CSM 450 1040mm(W) (37kg)"/>
    <n v="6"/>
    <s v="Cash"/>
    <x v="0"/>
    <d v="2025-06-06T00:00:00"/>
    <x v="1"/>
    <x v="7"/>
    <n v="1309.8"/>
    <m/>
    <n v="1309.8"/>
    <n v="6701219.5500000026"/>
    <s v="Trsf"/>
    <m/>
    <m/>
  </r>
  <r>
    <x v="767"/>
    <n v="6"/>
    <x v="6"/>
    <x v="1236"/>
    <s v="C00000042"/>
    <x v="43"/>
    <s v="RA Woven Roving E-600gm 1120mm (45Kg)"/>
    <n v="3"/>
    <s v="Cash"/>
    <x v="0"/>
    <d v="2025-06-06T00:00:00"/>
    <x v="1"/>
    <x v="7"/>
    <n v="742.5"/>
    <m/>
    <n v="742.5"/>
    <n v="6701962.0500000026"/>
    <s v="Trsf"/>
    <m/>
    <m/>
  </r>
  <r>
    <x v="767"/>
    <n v="6"/>
    <x v="6"/>
    <x v="1236"/>
    <s v="C00000042"/>
    <x v="43"/>
    <s v="RM Pigment Paste Smooth Cream M19 (25Kg)"/>
    <n v="1"/>
    <s v="Cash"/>
    <x v="0"/>
    <d v="2025-06-06T00:00:00"/>
    <x v="1"/>
    <x v="7"/>
    <n v="1000"/>
    <m/>
    <n v="1000"/>
    <n v="6702962.0500000026"/>
    <s v="Trsf"/>
    <m/>
    <m/>
  </r>
  <r>
    <x v="767"/>
    <n v="6"/>
    <x v="6"/>
    <x v="1237"/>
    <s v="C00000019"/>
    <x v="18"/>
    <s v="RA Resin 268BQT (225Kg)"/>
    <n v="1"/>
    <s v="Cash"/>
    <x v="0"/>
    <d v="2025-06-06T00:00:00"/>
    <x v="1"/>
    <x v="7"/>
    <n v="1710"/>
    <m/>
    <n v="1710"/>
    <n v="6704672.0500000026"/>
    <s v="Trsf"/>
    <m/>
    <m/>
  </r>
  <r>
    <x v="767"/>
    <n v="6"/>
    <x v="6"/>
    <x v="1237"/>
    <s v="C00000019"/>
    <x v="18"/>
    <s v="RA Butanox M50 (5kg)"/>
    <n v="1"/>
    <s v="Cash"/>
    <x v="0"/>
    <d v="2025-06-06T00:00:00"/>
    <x v="1"/>
    <x v="7"/>
    <n v="110"/>
    <m/>
    <n v="110"/>
    <n v="6704782.0500000026"/>
    <s v="Trsf"/>
    <m/>
    <m/>
  </r>
  <r>
    <x v="767"/>
    <n v="6"/>
    <x v="6"/>
    <x v="1237"/>
    <s v="C00000019"/>
    <x v="18"/>
    <s v="RM Chemlease 71-90 EZ (1 gallon)"/>
    <n v="1"/>
    <s v="Cash"/>
    <x v="0"/>
    <d v="2025-06-06T00:00:00"/>
    <x v="1"/>
    <x v="7"/>
    <n v="390"/>
    <m/>
    <n v="390"/>
    <n v="6705172.0500000026"/>
    <s v="Trsf"/>
    <m/>
    <m/>
  </r>
  <r>
    <x v="767"/>
    <n v="6"/>
    <x v="6"/>
    <x v="1237"/>
    <s v="C00000019"/>
    <x v="18"/>
    <s v="RM Pigment Super White (5Kg)"/>
    <n v="1"/>
    <s v="Cash"/>
    <x v="0"/>
    <d v="2025-06-06T00:00:00"/>
    <x v="1"/>
    <x v="7"/>
    <n v="150"/>
    <m/>
    <n v="150"/>
    <n v="6705322.0500000026"/>
    <s v="Trsf"/>
    <m/>
    <m/>
  </r>
  <r>
    <x v="768"/>
    <n v="6"/>
    <x v="6"/>
    <x v="1238"/>
    <s v="C00000061"/>
    <x v="63"/>
    <s v="RA Resin 268BQT (225Kg)"/>
    <n v="1"/>
    <s v="Cash"/>
    <x v="0"/>
    <d v="2025-06-07T00:00:00"/>
    <x v="1"/>
    <x v="7"/>
    <n v="1642.5"/>
    <m/>
    <n v="1642.5"/>
    <n v="6706964.5500000026"/>
    <s v="Cash"/>
    <m/>
    <m/>
  </r>
  <r>
    <x v="768"/>
    <n v="6"/>
    <x v="6"/>
    <x v="1238"/>
    <s v="C00000061"/>
    <x v="63"/>
    <s v="RO CSM 450 1860mm(W) (67kg)"/>
    <n v="1"/>
    <s v="Cash"/>
    <x v="0"/>
    <d v="2025-06-07T00:00:00"/>
    <x v="1"/>
    <x v="7"/>
    <n v="408.7"/>
    <m/>
    <n v="408.7"/>
    <n v="6707373.2500000028"/>
    <s v="Cash"/>
    <m/>
    <m/>
  </r>
  <r>
    <x v="769"/>
    <n v="6"/>
    <x v="6"/>
    <x v="1239"/>
    <s v="C00000063"/>
    <x v="65"/>
    <s v="RD Steel Roller 7&quot;"/>
    <n v="1"/>
    <s v="Cash"/>
    <x v="0"/>
    <d v="2025-06-09T00:00:00"/>
    <x v="1"/>
    <x v="7"/>
    <n v="55"/>
    <n v="-55"/>
    <n v="0"/>
    <n v="6707428.2500000028"/>
    <s v="Cash"/>
    <s v="Trsd 24/6/25 RM55.00"/>
    <m/>
  </r>
  <r>
    <x v="770"/>
    <n v="6"/>
    <x v="6"/>
    <x v="1240"/>
    <s v="C00000042"/>
    <x v="43"/>
    <s v="RQ Talcum Powder (25Kg)"/>
    <n v="2"/>
    <s v="Cash"/>
    <x v="0"/>
    <d v="2025-06-10T00:00:00"/>
    <x v="1"/>
    <x v="7"/>
    <n v="125"/>
    <m/>
    <n v="125"/>
    <n v="6707553.2500000028"/>
    <s v="Trsf"/>
    <m/>
    <m/>
  </r>
  <r>
    <x v="770"/>
    <n v="6"/>
    <x v="6"/>
    <x v="1241"/>
    <s v="C00000042"/>
    <x v="43"/>
    <s v="RO Resin 8213WPT (225kg)"/>
    <n v="5"/>
    <s v="Cash"/>
    <x v="0"/>
    <d v="2025-06-10T00:00:00"/>
    <x v="1"/>
    <x v="7"/>
    <n v="8100"/>
    <m/>
    <n v="8100"/>
    <n v="6715653.2500000028"/>
    <s v="Trsf"/>
    <m/>
    <m/>
  </r>
  <r>
    <x v="770"/>
    <n v="6"/>
    <x v="6"/>
    <x v="1241"/>
    <s v="C00000042"/>
    <x v="43"/>
    <s v="RO CSM 450 1040mm(W) (37kg)"/>
    <n v="15"/>
    <s v="Cash"/>
    <x v="0"/>
    <d v="2025-06-10T00:00:00"/>
    <x v="1"/>
    <x v="7"/>
    <n v="3274.5"/>
    <m/>
    <n v="3274.5"/>
    <n v="6718927.7500000028"/>
    <s v="Trsf"/>
    <m/>
    <m/>
  </r>
  <r>
    <x v="770"/>
    <n v="6"/>
    <x v="6"/>
    <x v="1241"/>
    <s v="C00000042"/>
    <x v="43"/>
    <s v="RA Woven Roving E-600gm 1120mm (45Kg)"/>
    <n v="8"/>
    <s v="Cash"/>
    <x v="0"/>
    <d v="2025-06-10T00:00:00"/>
    <x v="1"/>
    <x v="7"/>
    <n v="1980"/>
    <m/>
    <n v="1980"/>
    <n v="6720907.7500000028"/>
    <s v="Trsf"/>
    <m/>
    <m/>
  </r>
  <r>
    <x v="770"/>
    <n v="6"/>
    <x v="6"/>
    <x v="1241"/>
    <s v="C00000042"/>
    <x v="43"/>
    <s v="RA Butanox M50 (5kg)"/>
    <n v="4"/>
    <s v="Cash"/>
    <x v="0"/>
    <d v="2025-06-10T00:00:00"/>
    <x v="1"/>
    <x v="7"/>
    <n v="460"/>
    <m/>
    <n v="460"/>
    <n v="6721367.7500000028"/>
    <s v="Trsf"/>
    <m/>
    <m/>
  </r>
  <r>
    <x v="770"/>
    <n v="6"/>
    <x v="6"/>
    <x v="1241"/>
    <s v="C00000042"/>
    <x v="43"/>
    <s v="RM Pigment Paste Smooth Cream M19 (25Kg)"/>
    <n v="1"/>
    <s v="Cash"/>
    <x v="0"/>
    <d v="2025-06-10T00:00:00"/>
    <x v="1"/>
    <x v="7"/>
    <n v="1000"/>
    <m/>
    <n v="1000"/>
    <n v="6722367.7500000028"/>
    <s v="Trsf"/>
    <m/>
    <m/>
  </r>
  <r>
    <x v="770"/>
    <n v="6"/>
    <x v="6"/>
    <x v="1241"/>
    <s v="C00000042"/>
    <x v="43"/>
    <s v="RA Mepoxe (5kg)"/>
    <n v="4"/>
    <s v="Cash"/>
    <x v="0"/>
    <d v="2025-06-10T00:00:00"/>
    <x v="1"/>
    <x v="7"/>
    <n v="380"/>
    <m/>
    <n v="380"/>
    <n v="6722747.7500000028"/>
    <s v="Trsf"/>
    <m/>
    <m/>
  </r>
  <r>
    <x v="771"/>
    <n v="6"/>
    <x v="6"/>
    <x v="1242"/>
    <s v="C00000042"/>
    <x v="43"/>
    <s v="RQ Talcum Powder (25Kg)"/>
    <n v="4"/>
    <s v="Cash"/>
    <x v="0"/>
    <d v="2025-06-12T00:00:00"/>
    <x v="1"/>
    <x v="7"/>
    <n v="250"/>
    <m/>
    <n v="250"/>
    <n v="6722997.7500000028"/>
    <s v="Trsf"/>
    <m/>
    <m/>
  </r>
  <r>
    <x v="771"/>
    <n v="6"/>
    <x v="6"/>
    <x v="1243"/>
    <s v="C00000042"/>
    <x v="43"/>
    <s v="RA Resin 268BQT (225Kg)"/>
    <n v="8"/>
    <s v="Cash"/>
    <x v="0"/>
    <d v="2025-06-12T00:00:00"/>
    <x v="1"/>
    <x v="7"/>
    <n v="12960"/>
    <m/>
    <n v="12960"/>
    <n v="6735957.7500000028"/>
    <s v="Trsf"/>
    <m/>
    <m/>
  </r>
  <r>
    <x v="771"/>
    <n v="6"/>
    <x v="6"/>
    <x v="1243"/>
    <s v="C00000042"/>
    <x v="43"/>
    <s v="RM CSM 450 1040mm(W) (30kg)"/>
    <n v="12"/>
    <s v="Cash"/>
    <x v="0"/>
    <d v="2025-06-12T00:00:00"/>
    <x v="1"/>
    <x v="7"/>
    <n v="2124"/>
    <m/>
    <n v="2124"/>
    <n v="6738081.7500000028"/>
    <s v="Trsf"/>
    <m/>
    <m/>
  </r>
  <r>
    <x v="771"/>
    <n v="6"/>
    <x v="6"/>
    <x v="1243"/>
    <s v="C00000042"/>
    <x v="43"/>
    <s v="RA Woven Roving E-600gm 1120mm (45Kg)"/>
    <n v="15"/>
    <s v="Cash"/>
    <x v="0"/>
    <d v="2025-06-12T00:00:00"/>
    <x v="1"/>
    <x v="7"/>
    <n v="3712.5"/>
    <m/>
    <n v="3712.5"/>
    <n v="6741794.2500000028"/>
    <s v="Trsf"/>
    <m/>
    <m/>
  </r>
  <r>
    <x v="772"/>
    <n v="6"/>
    <x v="6"/>
    <x v="1244"/>
    <s v="C00000044"/>
    <x v="46"/>
    <s v="RO Resin 8213WPT (225Kg)"/>
    <n v="1"/>
    <s v="Cash"/>
    <x v="0"/>
    <d v="2025-06-13T00:00:00"/>
    <x v="1"/>
    <x v="7"/>
    <n v="1687.5"/>
    <n v="-1687.5"/>
    <n v="0"/>
    <n v="6743481.7500000028"/>
    <s v="Cash"/>
    <s v="Trsf 24/6/25 RM2,697.00"/>
    <m/>
  </r>
  <r>
    <x v="772"/>
    <n v="6"/>
    <x v="6"/>
    <x v="1244"/>
    <s v="C00000044"/>
    <x v="46"/>
    <s v="RA CSM 450 1040mm (30kg)"/>
    <n v="2"/>
    <s v="Cash"/>
    <x v="0"/>
    <d v="2025-06-13T00:00:00"/>
    <x v="1"/>
    <x v="7"/>
    <n v="432"/>
    <n v="-432"/>
    <n v="0"/>
    <n v="6743913.7500000028"/>
    <s v="Cash"/>
    <s v="Trsf 24/6/25 RM2,697.00"/>
    <m/>
  </r>
  <r>
    <x v="772"/>
    <n v="6"/>
    <x v="6"/>
    <x v="1244"/>
    <s v="C00000044"/>
    <x v="46"/>
    <s v="RM Pigment Light Grey G1 (5kg)"/>
    <n v="1"/>
    <s v="Cash"/>
    <x v="0"/>
    <d v="2025-06-13T00:00:00"/>
    <x v="1"/>
    <x v="7"/>
    <n v="165"/>
    <n v="-165"/>
    <n v="0"/>
    <n v="6744078.7500000028"/>
    <s v="Cash"/>
    <s v="Trsf 24/6/25 RM2,697.00"/>
    <m/>
  </r>
  <r>
    <x v="772"/>
    <n v="6"/>
    <x v="6"/>
    <x v="1244"/>
    <s v="C00000044"/>
    <x v="46"/>
    <s v="RA Honeycomb 19mm - 1220(W) x 2440(L)"/>
    <n v="2"/>
    <s v="Cash"/>
    <x v="0"/>
    <d v="2025-06-13T00:00:00"/>
    <x v="1"/>
    <x v="7"/>
    <n v="350"/>
    <n v="-350"/>
    <n v="0"/>
    <n v="6744428.7500000028"/>
    <s v="Cash"/>
    <s v="Trsf 24/6/25 RM2,697.00"/>
    <m/>
  </r>
  <r>
    <x v="772"/>
    <n v="6"/>
    <x v="6"/>
    <x v="1244"/>
    <s v="C00000044"/>
    <x v="46"/>
    <s v="RQ Talcum Powder (25Kg)"/>
    <n v="1"/>
    <s v="Cash"/>
    <x v="0"/>
    <d v="2025-06-13T00:00:00"/>
    <x v="1"/>
    <x v="7"/>
    <n v="62.5"/>
    <n v="-62.5"/>
    <n v="0"/>
    <n v="6744491.2500000028"/>
    <s v="Cash"/>
    <s v="Trsf 24/6/25 RM2,697.00"/>
    <m/>
  </r>
  <r>
    <x v="772"/>
    <n v="6"/>
    <x v="6"/>
    <x v="1245"/>
    <s v="C00000041"/>
    <x v="42"/>
    <s v="RA Resin 9509wax (225kg)"/>
    <n v="1"/>
    <s v="Cash"/>
    <x v="0"/>
    <d v="2025-06-13T00:00:00"/>
    <x v="1"/>
    <x v="7"/>
    <n v="1687.5"/>
    <n v="-1687.5"/>
    <n v="0"/>
    <n v="6746178.7500000028"/>
    <s v="Trsf"/>
    <s v="Trsf 13/6/25 RM2,173.50"/>
    <m/>
  </r>
  <r>
    <x v="772"/>
    <n v="6"/>
    <x v="6"/>
    <x v="1245"/>
    <s v="C00000041"/>
    <x v="42"/>
    <s v="RM Steel Roller 4&quot; "/>
    <n v="1"/>
    <s v="Cash"/>
    <x v="0"/>
    <d v="2025-06-13T00:00:00"/>
    <x v="1"/>
    <x v="7"/>
    <n v="48"/>
    <n v="-48"/>
    <n v="0"/>
    <n v="6746226.7500000028"/>
    <s v="Trsf"/>
    <s v="Trsf 13/6/25 RM2,173.50"/>
    <m/>
  </r>
  <r>
    <x v="772"/>
    <n v="6"/>
    <x v="6"/>
    <x v="1245"/>
    <s v="C00000041"/>
    <x v="42"/>
    <s v="RA CSM 300 1040mm(W) (30kg)"/>
    <n v="2"/>
    <s v="Cash"/>
    <x v="0"/>
    <d v="2025-06-13T00:00:00"/>
    <x v="1"/>
    <x v="7"/>
    <n v="438"/>
    <n v="-438"/>
    <n v="0"/>
    <n v="6746664.7500000028"/>
    <s v="Trsf"/>
    <s v="Trsf 13/6/25 RM2,173.50"/>
    <m/>
  </r>
  <r>
    <x v="773"/>
    <n v="6"/>
    <x v="6"/>
    <x v="1246"/>
    <s v="C00000062"/>
    <x v="66"/>
    <s v="RA Resin 268BQT (225kg)"/>
    <n v="1"/>
    <s v="Cash"/>
    <x v="0"/>
    <d v="2025-06-16T00:00:00"/>
    <x v="1"/>
    <x v="7"/>
    <n v="1732.5"/>
    <n v="-1732.5"/>
    <n v="0"/>
    <n v="6748397.2500000028"/>
    <s v="Cash"/>
    <s v="Trsf 23/6/25 RM4,660.00"/>
    <m/>
  </r>
  <r>
    <x v="773"/>
    <n v="6"/>
    <x v="6"/>
    <x v="1246"/>
    <s v="C00000062"/>
    <x v="66"/>
    <s v="RM Gelcoat NPG 9319-H (225kg)"/>
    <n v="1"/>
    <s v="Cash"/>
    <x v="0"/>
    <d v="2025-06-16T00:00:00"/>
    <x v="1"/>
    <x v="7"/>
    <n v="2812.5"/>
    <n v="-2812.5"/>
    <n v="0"/>
    <n v="6751209.7500000028"/>
    <s v="Cash"/>
    <s v="Trsf 23/6/25 RM4,660.00"/>
    <m/>
  </r>
  <r>
    <x v="773"/>
    <n v="6"/>
    <x v="6"/>
    <x v="1246"/>
    <s v="C00000062"/>
    <x v="66"/>
    <s v="RA Butanox M50 (5kg)"/>
    <n v="1"/>
    <s v="Cash"/>
    <x v="0"/>
    <d v="2025-06-16T00:00:00"/>
    <x v="1"/>
    <x v="7"/>
    <n v="115"/>
    <n v="-115"/>
    <n v="0"/>
    <n v="6751324.7500000028"/>
    <s v="Cash"/>
    <s v="Trsf 23/6/25 RM4,660.00"/>
    <m/>
  </r>
  <r>
    <x v="774"/>
    <n v="6"/>
    <x v="6"/>
    <x v="1247"/>
    <s v="C00000050"/>
    <x v="52"/>
    <s v="RO Resin 8213WPT (225Kg)"/>
    <n v="1"/>
    <s v="Cash"/>
    <x v="0"/>
    <d v="2025-06-14T00:00:00"/>
    <x v="1"/>
    <x v="7"/>
    <n v="1710"/>
    <m/>
    <n v="1710"/>
    <n v="6753034.7500000028"/>
    <s v="Cash"/>
    <m/>
    <m/>
  </r>
  <r>
    <x v="774"/>
    <n v="6"/>
    <x v="6"/>
    <x v="1247"/>
    <s v="C00000050"/>
    <x v="52"/>
    <s v="RA CSM 450 1040mm(W) (37kg)"/>
    <n v="2"/>
    <s v="Cash"/>
    <x v="0"/>
    <d v="2025-06-14T00:00:00"/>
    <x v="1"/>
    <x v="7"/>
    <n v="555"/>
    <m/>
    <n v="555"/>
    <n v="6753589.7500000028"/>
    <s v="Cash"/>
    <m/>
    <m/>
  </r>
  <r>
    <x v="774"/>
    <n v="6"/>
    <x v="6"/>
    <x v="1247"/>
    <s v="C00000050"/>
    <x v="52"/>
    <s v="RA Mepoxe (5kg)"/>
    <n v="1"/>
    <s v="Cash"/>
    <x v="0"/>
    <d v="2025-06-14T00:00:00"/>
    <x v="1"/>
    <x v="7"/>
    <n v="95"/>
    <m/>
    <n v="95"/>
    <n v="6753684.7500000028"/>
    <s v="Cash"/>
    <m/>
    <m/>
  </r>
  <r>
    <x v="773"/>
    <n v="6"/>
    <x v="6"/>
    <x v="1248"/>
    <s v="C00000042"/>
    <x v="43"/>
    <s v="RQ Talcum Powder (25Kg)"/>
    <n v="2"/>
    <s v="Cash"/>
    <x v="0"/>
    <d v="2025-06-16T00:00:00"/>
    <x v="1"/>
    <x v="7"/>
    <n v="125"/>
    <m/>
    <n v="125"/>
    <n v="6753809.7500000028"/>
    <s v="Trsf"/>
    <m/>
    <m/>
  </r>
  <r>
    <x v="773"/>
    <n v="6"/>
    <x v="6"/>
    <x v="1249"/>
    <s v="C00000042"/>
    <x v="43"/>
    <s v="RO Resin 8213WPT (225kg)"/>
    <n v="5"/>
    <s v="Cash"/>
    <x v="0"/>
    <d v="2025-06-16T00:00:00"/>
    <x v="1"/>
    <x v="7"/>
    <n v="8100"/>
    <m/>
    <n v="8100"/>
    <n v="6761909.7500000028"/>
    <s v="Trsf"/>
    <m/>
    <m/>
  </r>
  <r>
    <x v="773"/>
    <n v="6"/>
    <x v="6"/>
    <x v="1249"/>
    <s v="C00000042"/>
    <x v="43"/>
    <s v="RM CSM 450 1040mm(W) (30kg)"/>
    <n v="15"/>
    <s v="Cash"/>
    <x v="0"/>
    <d v="2025-06-16T00:00:00"/>
    <x v="1"/>
    <x v="7"/>
    <n v="2655"/>
    <m/>
    <n v="2655"/>
    <n v="6764564.7500000028"/>
    <s v="Trsf"/>
    <m/>
    <m/>
  </r>
  <r>
    <x v="773"/>
    <n v="6"/>
    <x v="6"/>
    <x v="1249"/>
    <s v="C00000042"/>
    <x v="43"/>
    <s v="RA Woven Roving E-600gm 1120mm (45Kg)"/>
    <n v="8"/>
    <s v="Cash"/>
    <x v="0"/>
    <d v="2025-06-16T00:00:00"/>
    <x v="1"/>
    <x v="7"/>
    <n v="1980"/>
    <m/>
    <n v="1980"/>
    <n v="6766544.7500000028"/>
    <s v="Trsf"/>
    <m/>
    <m/>
  </r>
  <r>
    <x v="773"/>
    <n v="6"/>
    <x v="6"/>
    <x v="1249"/>
    <s v="C00000042"/>
    <x v="43"/>
    <s v="RM Pigment Paste Smooth Cream M19 (25Kg)"/>
    <n v="1"/>
    <s v="Cash"/>
    <x v="0"/>
    <d v="2025-06-16T00:00:00"/>
    <x v="1"/>
    <x v="7"/>
    <n v="1000"/>
    <m/>
    <n v="1000"/>
    <n v="6767544.7500000028"/>
    <s v="Trsf"/>
    <m/>
    <m/>
  </r>
  <r>
    <x v="773"/>
    <n v="6"/>
    <x v="6"/>
    <x v="1249"/>
    <s v="C00000042"/>
    <x v="43"/>
    <s v="RA Mepoxe (5kg)"/>
    <n v="4"/>
    <s v="Cash"/>
    <x v="0"/>
    <d v="2025-06-16T00:00:00"/>
    <x v="1"/>
    <x v="7"/>
    <n v="380"/>
    <m/>
    <n v="380"/>
    <n v="6767924.7500000028"/>
    <s v="Trsf"/>
    <m/>
    <m/>
  </r>
  <r>
    <x v="775"/>
    <n v="6"/>
    <x v="6"/>
    <x v="1250"/>
    <s v="C00000003"/>
    <x v="2"/>
    <s v="RA Resin 2100BQT-L (225Kg)"/>
    <n v="1"/>
    <n v="45"/>
    <x v="1"/>
    <d v="2025-08-01T00:00:00"/>
    <x v="2"/>
    <x v="7"/>
    <n v="1687.5"/>
    <m/>
    <n v="1687.5"/>
    <n v="6769612.2500000028"/>
    <s v="PD Chq"/>
    <m/>
    <m/>
  </r>
  <r>
    <x v="775"/>
    <n v="6"/>
    <x v="6"/>
    <x v="1250"/>
    <s v="C00000003"/>
    <x v="2"/>
    <s v="RA Butanox M50 (5Kg)"/>
    <n v="2"/>
    <n v="45"/>
    <x v="1"/>
    <d v="2025-08-01T00:00:00"/>
    <x v="2"/>
    <x v="7"/>
    <n v="220"/>
    <m/>
    <n v="220"/>
    <n v="6769832.2500000028"/>
    <s v="PD Chq"/>
    <m/>
    <m/>
  </r>
  <r>
    <x v="775"/>
    <n v="6"/>
    <x v="6"/>
    <x v="1250"/>
    <s v="C00000003"/>
    <x v="2"/>
    <s v="RQ Talcum Powder (25kg)"/>
    <n v="2"/>
    <n v="45"/>
    <x v="1"/>
    <d v="2025-08-01T00:00:00"/>
    <x v="2"/>
    <x v="7"/>
    <n v="130"/>
    <m/>
    <n v="130"/>
    <n v="6769962.2500000028"/>
    <s v="PD Chq"/>
    <m/>
    <m/>
  </r>
  <r>
    <x v="775"/>
    <n v="6"/>
    <x v="6"/>
    <x v="1250"/>
    <s v="C00000003"/>
    <x v="2"/>
    <s v="RM TR104 Hi Temp Wax"/>
    <n v="3"/>
    <n v="45"/>
    <x v="1"/>
    <d v="2025-08-01T00:00:00"/>
    <x v="2"/>
    <x v="7"/>
    <n v="540"/>
    <m/>
    <n v="540"/>
    <n v="6770502.2500000028"/>
    <s v="PD Chq"/>
    <m/>
    <m/>
  </r>
  <r>
    <x v="776"/>
    <n v="6"/>
    <x v="6"/>
    <x v="1251"/>
    <s v="C00000019"/>
    <x v="18"/>
    <s v="RA Resin 268BQT (225Kg)"/>
    <n v="1"/>
    <s v="Cash"/>
    <x v="0"/>
    <d v="2025-06-19T00:00:00"/>
    <x v="1"/>
    <x v="7"/>
    <n v="1710"/>
    <m/>
    <n v="1710"/>
    <n v="6772212.2500000028"/>
    <s v="Trsf"/>
    <m/>
    <m/>
  </r>
  <r>
    <x v="776"/>
    <n v="6"/>
    <x v="6"/>
    <x v="1251"/>
    <s v="C00000019"/>
    <x v="18"/>
    <s v="RM CSM 450 1860mm(W) (54kg)"/>
    <n v="1"/>
    <s v="Cash"/>
    <x v="0"/>
    <d v="2025-06-19T00:00:00"/>
    <x v="1"/>
    <x v="7"/>
    <n v="405"/>
    <m/>
    <n v="405"/>
    <n v="6772617.2500000028"/>
    <s v="Trsf"/>
    <m/>
    <m/>
  </r>
  <r>
    <x v="776"/>
    <n v="6"/>
    <x v="6"/>
    <x v="1251"/>
    <s v="C00000019"/>
    <x v="18"/>
    <s v="RA Butanox M50 (5kg)"/>
    <n v="1"/>
    <s v="Cash"/>
    <x v="0"/>
    <d v="2025-06-19T00:00:00"/>
    <x v="1"/>
    <x v="7"/>
    <n v="110"/>
    <m/>
    <n v="110"/>
    <n v="6772727.2500000028"/>
    <s v="Trsf"/>
    <m/>
    <m/>
  </r>
  <r>
    <x v="776"/>
    <n v="6"/>
    <x v="6"/>
    <x v="1251"/>
    <s v="C00000019"/>
    <x v="18"/>
    <s v="RQ Talcum Powder (25kg)"/>
    <n v="3"/>
    <s v="Cash"/>
    <x v="0"/>
    <d v="2025-06-19T00:00:00"/>
    <x v="1"/>
    <x v="7"/>
    <n v="187.5"/>
    <m/>
    <n v="187.5"/>
    <n v="6772914.7500000028"/>
    <s v="Trsf"/>
    <m/>
    <m/>
  </r>
  <r>
    <x v="776"/>
    <n v="6"/>
    <x v="6"/>
    <x v="1251"/>
    <s v="C00000019"/>
    <x v="18"/>
    <s v="RO Gelcoat LB9888 (22kg)"/>
    <n v="1"/>
    <s v="Cash"/>
    <x v="0"/>
    <d v="2025-06-19T00:00:00"/>
    <x v="1"/>
    <x v="7"/>
    <n v="283.8"/>
    <m/>
    <n v="283.8"/>
    <n v="6773198.5500000026"/>
    <s v="Trsf"/>
    <m/>
    <m/>
  </r>
  <r>
    <x v="776"/>
    <n v="6"/>
    <x v="6"/>
    <x v="1252"/>
    <s v="C00000042"/>
    <x v="43"/>
    <s v="RQ Talcum Powder (25Kg)"/>
    <n v="1"/>
    <s v="Cash"/>
    <x v="0"/>
    <d v="2025-06-19T00:00:00"/>
    <x v="1"/>
    <x v="7"/>
    <n v="62.5"/>
    <m/>
    <n v="62.5"/>
    <n v="6773261.0500000026"/>
    <s v="Trsf"/>
    <m/>
    <m/>
  </r>
  <r>
    <x v="776"/>
    <n v="6"/>
    <x v="6"/>
    <x v="1253"/>
    <s v="C00000042"/>
    <x v="43"/>
    <s v="RA Resin 2100BQT-L (225Kg)"/>
    <n v="2"/>
    <s v="Cash"/>
    <x v="0"/>
    <d v="2025-06-19T00:00:00"/>
    <x v="1"/>
    <x v="7"/>
    <n v="3240"/>
    <m/>
    <n v="3240"/>
    <n v="6776501.0500000026"/>
    <s v="Trsf"/>
    <m/>
    <m/>
  </r>
  <r>
    <x v="776"/>
    <n v="6"/>
    <x v="6"/>
    <x v="1253"/>
    <s v="C00000042"/>
    <x v="43"/>
    <s v="RM CSM 450 1040mm(W) (30kg)"/>
    <n v="6"/>
    <s v="Cash"/>
    <x v="0"/>
    <d v="2025-06-19T00:00:00"/>
    <x v="1"/>
    <x v="7"/>
    <n v="1062"/>
    <m/>
    <n v="1062"/>
    <n v="6777563.0500000026"/>
    <s v="Trsf"/>
    <m/>
    <m/>
  </r>
  <r>
    <x v="776"/>
    <n v="6"/>
    <x v="6"/>
    <x v="1253"/>
    <s v="C00000042"/>
    <x v="43"/>
    <s v="RA Woven Roving E-600gm 1120mm (45Kg)"/>
    <n v="2"/>
    <s v="Cash"/>
    <x v="0"/>
    <d v="2025-06-19T00:00:00"/>
    <x v="1"/>
    <x v="7"/>
    <n v="495"/>
    <m/>
    <n v="495"/>
    <n v="6778058.0500000026"/>
    <s v="Trsf"/>
    <m/>
    <m/>
  </r>
  <r>
    <x v="776"/>
    <n v="6"/>
    <x v="6"/>
    <x v="1253"/>
    <s v="C00000042"/>
    <x v="43"/>
    <s v="RA Mepoxe (5kg)"/>
    <n v="4"/>
    <s v="Cash"/>
    <x v="0"/>
    <d v="2025-06-19T00:00:00"/>
    <x v="1"/>
    <x v="7"/>
    <n v="380"/>
    <m/>
    <n v="380"/>
    <n v="6778438.0500000026"/>
    <s v="Trsf"/>
    <m/>
    <m/>
  </r>
  <r>
    <x v="776"/>
    <n v="6"/>
    <x v="6"/>
    <x v="1253"/>
    <s v="C00000042"/>
    <x v="43"/>
    <s v="RM Pigment Paste Smooth Cream M19 (25Kg)"/>
    <n v="1"/>
    <s v="Cash"/>
    <x v="0"/>
    <d v="2025-06-19T00:00:00"/>
    <x v="1"/>
    <x v="7"/>
    <n v="1000"/>
    <m/>
    <n v="1000"/>
    <n v="6779438.0500000026"/>
    <s v="Trsf"/>
    <m/>
    <m/>
  </r>
  <r>
    <x v="777"/>
    <n v="6"/>
    <x v="6"/>
    <x v="1254"/>
    <s v="C00000042"/>
    <x v="43"/>
    <s v="RQ Talcum Powder (25Kg)"/>
    <n v="3"/>
    <s v="Cash"/>
    <x v="0"/>
    <d v="2025-06-21T00:00:00"/>
    <x v="1"/>
    <x v="7"/>
    <n v="187.5"/>
    <m/>
    <n v="187.5"/>
    <n v="6779625.5500000026"/>
    <s v="Trsf"/>
    <m/>
    <m/>
  </r>
  <r>
    <x v="777"/>
    <n v="6"/>
    <x v="6"/>
    <x v="1255"/>
    <s v="C00000042"/>
    <x v="43"/>
    <s v="RA Resin 2100BQT-L (225Kg)"/>
    <n v="5"/>
    <s v="Cash"/>
    <x v="0"/>
    <d v="2025-06-21T00:00:00"/>
    <x v="1"/>
    <x v="7"/>
    <n v="8100"/>
    <m/>
    <n v="8100"/>
    <n v="6787725.5500000026"/>
    <s v="Trsf"/>
    <m/>
    <m/>
  </r>
  <r>
    <x v="777"/>
    <n v="6"/>
    <x v="6"/>
    <x v="1255"/>
    <s v="C00000042"/>
    <x v="43"/>
    <s v="RM CSM 450 1040mm(W) (30kg)"/>
    <n v="15"/>
    <s v="Cash"/>
    <x v="0"/>
    <d v="2025-06-21T00:00:00"/>
    <x v="1"/>
    <x v="7"/>
    <n v="2655"/>
    <m/>
    <n v="2655"/>
    <n v="6790380.5500000026"/>
    <s v="Trsf"/>
    <m/>
    <m/>
  </r>
  <r>
    <x v="777"/>
    <n v="6"/>
    <x v="6"/>
    <x v="1255"/>
    <s v="C00000042"/>
    <x v="43"/>
    <s v="RA Woven Roving E-600gm 1120mm (45Kg)"/>
    <n v="8"/>
    <s v="Cash"/>
    <x v="0"/>
    <d v="2025-06-21T00:00:00"/>
    <x v="1"/>
    <x v="7"/>
    <n v="1980"/>
    <m/>
    <n v="1980"/>
    <n v="6792360.5500000026"/>
    <s v="Trsf"/>
    <m/>
    <m/>
  </r>
  <r>
    <x v="777"/>
    <n v="6"/>
    <x v="6"/>
    <x v="1255"/>
    <s v="C00000042"/>
    <x v="43"/>
    <s v="RA Mepoxe (5kg)"/>
    <n v="4"/>
    <s v="Cash"/>
    <x v="0"/>
    <d v="2025-06-21T00:00:00"/>
    <x v="1"/>
    <x v="7"/>
    <n v="380"/>
    <m/>
    <n v="380"/>
    <n v="6792740.5500000026"/>
    <s v="Trsf"/>
    <m/>
    <m/>
  </r>
  <r>
    <x v="777"/>
    <n v="6"/>
    <x v="6"/>
    <x v="1255"/>
    <s v="C00000042"/>
    <x v="43"/>
    <s v="RM Pigment Paste Smooth Cream M19 (25Kg)"/>
    <n v="1"/>
    <s v="Cash"/>
    <x v="0"/>
    <d v="2025-06-21T00:00:00"/>
    <x v="1"/>
    <x v="7"/>
    <n v="1000"/>
    <m/>
    <n v="1000"/>
    <n v="6793740.5500000026"/>
    <s v="Trsf"/>
    <m/>
    <m/>
  </r>
  <r>
    <x v="778"/>
    <n v="6"/>
    <x v="6"/>
    <x v="1256"/>
    <s v="C00000061"/>
    <x v="63"/>
    <s v="RA Resin 268BQT (225Kg)"/>
    <n v="1"/>
    <s v="Cash"/>
    <x v="0"/>
    <d v="2025-06-25T00:00:00"/>
    <x v="1"/>
    <x v="7"/>
    <n v="1642.5"/>
    <m/>
    <n v="1642.5"/>
    <n v="6795383.0500000026"/>
    <s v="Cash"/>
    <m/>
    <m/>
  </r>
  <r>
    <x v="778"/>
    <n v="6"/>
    <x v="6"/>
    <x v="1256"/>
    <s v="C00000061"/>
    <x v="63"/>
    <s v="RQ Talcum Powder (25kg)"/>
    <n v="4"/>
    <s v="Cash"/>
    <x v="0"/>
    <d v="2025-06-25T00:00:00"/>
    <x v="1"/>
    <x v="7"/>
    <n v="230"/>
    <m/>
    <n v="230"/>
    <n v="6795613.0500000026"/>
    <s v="Cash"/>
    <m/>
    <m/>
  </r>
  <r>
    <x v="778"/>
    <n v="6"/>
    <x v="6"/>
    <x v="1257"/>
    <s v="C00000042"/>
    <x v="43"/>
    <s v="RQ Talcum Powder (25Kg)"/>
    <n v="3"/>
    <s v="Cash"/>
    <x v="0"/>
    <d v="2025-06-25T00:00:00"/>
    <x v="1"/>
    <x v="7"/>
    <n v="187.5"/>
    <m/>
    <n v="187.5"/>
    <n v="6795800.5500000026"/>
    <s v="Trsf"/>
    <m/>
    <m/>
  </r>
  <r>
    <x v="778"/>
    <n v="6"/>
    <x v="6"/>
    <x v="1258"/>
    <s v="C00000042"/>
    <x v="43"/>
    <s v="RA Resin 2100BQT-L (225Kg)"/>
    <n v="5"/>
    <s v="Cash"/>
    <x v="0"/>
    <d v="2025-06-25T00:00:00"/>
    <x v="1"/>
    <x v="7"/>
    <n v="8100"/>
    <m/>
    <n v="8100"/>
    <n v="6803900.5500000026"/>
    <s v="Trsf"/>
    <m/>
    <m/>
  </r>
  <r>
    <x v="778"/>
    <n v="6"/>
    <x v="6"/>
    <x v="1258"/>
    <s v="C00000042"/>
    <x v="43"/>
    <s v="RM CSM 450 1040mm(W) (30kg)"/>
    <n v="12"/>
    <s v="Cash"/>
    <x v="0"/>
    <d v="2025-06-25T00:00:00"/>
    <x v="1"/>
    <x v="7"/>
    <n v="2124"/>
    <m/>
    <n v="2124"/>
    <n v="6806024.5500000026"/>
    <s v="Trsf"/>
    <m/>
    <m/>
  </r>
  <r>
    <x v="778"/>
    <n v="6"/>
    <x v="6"/>
    <x v="1258"/>
    <s v="C00000042"/>
    <x v="43"/>
    <s v="RA Woven Roving E-600gm 1120mm (45Kg)"/>
    <n v="7"/>
    <s v="Cash"/>
    <x v="0"/>
    <d v="2025-06-25T00:00:00"/>
    <x v="1"/>
    <x v="7"/>
    <n v="1732.5"/>
    <m/>
    <n v="1732.5"/>
    <n v="6807757.0500000026"/>
    <s v="Trsf"/>
    <m/>
    <m/>
  </r>
  <r>
    <x v="778"/>
    <n v="6"/>
    <x v="6"/>
    <x v="1258"/>
    <s v="C00000042"/>
    <x v="43"/>
    <s v="RA Butanox M50 (5kg)"/>
    <n v="4"/>
    <s v="Cash"/>
    <x v="0"/>
    <d v="2025-06-25T00:00:00"/>
    <x v="1"/>
    <x v="7"/>
    <n v="460"/>
    <m/>
    <n v="460"/>
    <n v="6808217.0500000026"/>
    <s v="Trsf"/>
    <m/>
    <m/>
  </r>
  <r>
    <x v="778"/>
    <n v="6"/>
    <x v="6"/>
    <x v="1258"/>
    <s v="C00000042"/>
    <x v="43"/>
    <s v="RM Pigment Paste Riviera Blue B5 (25Kg)"/>
    <n v="1"/>
    <s v="Cash"/>
    <x v="0"/>
    <d v="2025-06-25T00:00:00"/>
    <x v="1"/>
    <x v="7"/>
    <n v="975"/>
    <m/>
    <n v="975"/>
    <n v="6809192.0500000026"/>
    <s v="Trsf"/>
    <m/>
    <m/>
  </r>
  <r>
    <x v="779"/>
    <n v="6"/>
    <x v="6"/>
    <x v="1259"/>
    <s v="C00000010"/>
    <x v="9"/>
    <s v="RO Resin 8213WPT (225kg)"/>
    <n v="10"/>
    <n v="120"/>
    <x v="2"/>
    <d v="2025-10-24T00:00:00"/>
    <x v="3"/>
    <x v="7"/>
    <n v="15525"/>
    <m/>
    <n v="15525"/>
    <n v="6824717.0500000026"/>
    <s v="Trsf"/>
    <m/>
    <m/>
  </r>
  <r>
    <x v="779"/>
    <n v="6"/>
    <x v="6"/>
    <x v="1259"/>
    <s v="C00000010"/>
    <x v="9"/>
    <s v="RA CSM 450 1040mm(W) (30kg)"/>
    <n v="15"/>
    <n v="120"/>
    <x v="2"/>
    <d v="2025-10-24T00:00:00"/>
    <x v="3"/>
    <x v="7"/>
    <n v="2610"/>
    <m/>
    <n v="2610"/>
    <n v="6827327.0500000026"/>
    <s v="Trsf"/>
    <m/>
    <m/>
  </r>
  <r>
    <x v="779"/>
    <n v="6"/>
    <x v="6"/>
    <x v="1259"/>
    <s v="C00000010"/>
    <x v="9"/>
    <s v="RD Brush 3&quot; (12Pc)"/>
    <n v="4"/>
    <n v="120"/>
    <x v="2"/>
    <d v="2025-10-24T00:00:00"/>
    <x v="3"/>
    <x v="7"/>
    <n v="230.4"/>
    <m/>
    <n v="230.4"/>
    <n v="6827557.450000003"/>
    <s v="Trsf"/>
    <m/>
    <m/>
  </r>
  <r>
    <x v="779"/>
    <n v="6"/>
    <x v="6"/>
    <x v="1259"/>
    <s v="C00000010"/>
    <x v="9"/>
    <s v="RA Butanox M50 (5kg)"/>
    <n v="8"/>
    <n v="120"/>
    <x v="2"/>
    <d v="2025-10-24T00:00:00"/>
    <x v="3"/>
    <x v="7"/>
    <n v="880"/>
    <m/>
    <n v="880"/>
    <n v="6828437.450000003"/>
    <s v="Trsf"/>
    <m/>
    <m/>
  </r>
  <r>
    <x v="780"/>
    <n v="6"/>
    <x v="6"/>
    <x v="1260"/>
    <s v="C00000044"/>
    <x v="46"/>
    <s v="RA Resin 268BQT (225Kg)"/>
    <n v="1"/>
    <s v="Cash"/>
    <x v="0"/>
    <d v="2025-06-28T00:00:00"/>
    <x v="1"/>
    <x v="7"/>
    <n v="1687.5"/>
    <n v="-1687.5"/>
    <n v="0"/>
    <n v="6830124.950000003"/>
    <s v="Cash"/>
    <s v="Trsf 30/6/25 RM2,644.50"/>
    <m/>
  </r>
  <r>
    <x v="780"/>
    <n v="6"/>
    <x v="6"/>
    <x v="1260"/>
    <s v="C00000044"/>
    <x v="46"/>
    <s v="RA CSM 450 1040mm (30kg)"/>
    <n v="2"/>
    <s v="Cash"/>
    <x v="0"/>
    <d v="2025-06-28T00:00:00"/>
    <x v="1"/>
    <x v="7"/>
    <n v="432"/>
    <n v="-432"/>
    <n v="0"/>
    <n v="6830556.950000003"/>
    <s v="Cash"/>
    <s v="Trsf 30/6/25 RM2,644.50"/>
    <m/>
  </r>
  <r>
    <x v="780"/>
    <n v="6"/>
    <x v="6"/>
    <x v="1260"/>
    <s v="C00000044"/>
    <x v="46"/>
    <s v="RA Honeycomb 19mm - 1220(W) x 2440(L)"/>
    <n v="3"/>
    <s v="Cash"/>
    <x v="0"/>
    <d v="2025-06-28T00:00:00"/>
    <x v="1"/>
    <x v="7"/>
    <n v="525"/>
    <n v="-525"/>
    <n v="0"/>
    <n v="6831081.950000003"/>
    <s v="Cash"/>
    <s v="Trsf 30/6/25 RM2,644.50"/>
    <m/>
  </r>
  <r>
    <x v="781"/>
    <n v="6"/>
    <x v="6"/>
    <x v="1261"/>
    <s v="C00000013"/>
    <x v="64"/>
    <s v="Gelcoat (22kg)"/>
    <n v="6"/>
    <s v="Cash"/>
    <x v="0"/>
    <d v="2025-06-30T00:00:00"/>
    <x v="1"/>
    <x v="7"/>
    <n v="1702.8"/>
    <n v="-1702.8"/>
    <n v="0"/>
    <n v="6832784.7500000028"/>
    <s v="Chq"/>
    <s v="Trsf 30/6/25 RM2,487.80"/>
    <m/>
  </r>
  <r>
    <x v="781"/>
    <n v="6"/>
    <x v="6"/>
    <x v="1261"/>
    <s v="C00000013"/>
    <x v="64"/>
    <s v="Pigment Grey G13 (15kg)"/>
    <n v="1"/>
    <s v="Cash"/>
    <x v="0"/>
    <d v="2025-06-30T00:00:00"/>
    <x v="1"/>
    <x v="7"/>
    <n v="525"/>
    <n v="-525"/>
    <n v="0"/>
    <n v="6833309.7500000028"/>
    <s v="Chq"/>
    <s v="Trsf 30/6/25 RM2,487.80"/>
    <m/>
  </r>
  <r>
    <x v="781"/>
    <n v="6"/>
    <x v="6"/>
    <x v="1261"/>
    <s v="C00000013"/>
    <x v="64"/>
    <s v="Accelerator (4kg)"/>
    <n v="1"/>
    <s v="Cash"/>
    <x v="0"/>
    <d v="2025-06-30T00:00:00"/>
    <x v="1"/>
    <x v="7"/>
    <n v="260"/>
    <n v="-260"/>
    <n v="0"/>
    <n v="6833569.7500000028"/>
    <s v="Chq"/>
    <s v="Trsf 30/6/25 RM2,487.8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n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n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n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n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n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n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n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n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n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n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n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n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n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n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n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n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n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n v="0"/>
    <d v="2024-03-16T00:00:00"/>
    <n v="3"/>
    <n v="2024"/>
    <n v="260"/>
    <n v="-260"/>
    <n v="0"/>
    <n v="4441826.6500000004"/>
    <s v="Trsf"/>
    <s v="Trsf 23/4/25 RM2,000.00(RM101.70), 2/5/25 RM2,000.00(RM158.30)"/>
    <m/>
  </r>
  <r>
    <x v="542"/>
    <x v="9"/>
    <x v="5"/>
    <x v="829"/>
    <s v="C00000019"/>
    <x v="18"/>
    <s v="RM TR104 Hi Temp Wax"/>
    <n v="2"/>
    <s v="Cash"/>
    <n v="0"/>
    <d v="2024-03-16T00:00:00"/>
    <n v="3"/>
    <n v="2024"/>
    <n v="120"/>
    <n v="-120"/>
    <n v="0"/>
    <n v="4441946.6500000004"/>
    <s v="Trsf"/>
    <s v="Trsf 2/5/25 RM2,000.00(RM120.00)"/>
    <m/>
  </r>
  <r>
    <x v="542"/>
    <x v="9"/>
    <x v="5"/>
    <x v="830"/>
    <s v="C00000042"/>
    <x v="43"/>
    <s v="RM Talcum Powder (25Kg)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n v="0"/>
    <d v="2024-03-28T00:00:00"/>
    <n v="3"/>
    <n v="2024"/>
    <n v="1738"/>
    <n v="-1738"/>
    <n v="0"/>
    <n v="4484397.1500000004"/>
    <s v="Trsf"/>
    <s v="Trsf 2/5/25 RM2,000.00(RM1.721.70), 11/5/25 RM1,000.00(RM16.30)"/>
    <m/>
  </r>
  <r>
    <x v="547"/>
    <x v="9"/>
    <x v="5"/>
    <x v="837"/>
    <s v="C00000019"/>
    <x v="18"/>
    <s v="RM CSM 450 1860mm(W) (54kg)"/>
    <n v="1"/>
    <s v="Cash"/>
    <n v="0"/>
    <d v="2024-03-28T00:00:00"/>
    <n v="3"/>
    <n v="2024"/>
    <n v="405"/>
    <n v="-405"/>
    <n v="0"/>
    <n v="4484802.1500000004"/>
    <s v="Trsf"/>
    <s v="Trsf 11/5/25 RM2,000.00(RM405.00)"/>
    <m/>
  </r>
  <r>
    <x v="547"/>
    <x v="9"/>
    <x v="5"/>
    <x v="837"/>
    <s v="C00000019"/>
    <x v="18"/>
    <s v="RM Chemlease 71-90 EZ (1 gallon)"/>
    <n v="1"/>
    <s v="Cash"/>
    <n v="0"/>
    <d v="2024-03-28T00:00:00"/>
    <n v="3"/>
    <n v="2024"/>
    <n v="390"/>
    <n v="-390"/>
    <n v="0"/>
    <n v="4485192.1500000004"/>
    <s v="Trsf"/>
    <s v="Trsf 11/5/25 RM2,000.00(RM390.00)"/>
    <m/>
  </r>
  <r>
    <x v="548"/>
    <x v="9"/>
    <x v="5"/>
    <x v="838"/>
    <s v="C00000042"/>
    <x v="43"/>
    <s v="RM Talcum Powder (25Kg)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n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n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n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n v="0"/>
    <d v="2024-04-08T00:00:00"/>
    <n v="4"/>
    <n v="2024"/>
    <n v="1738"/>
    <n v="-1738"/>
    <n v="0"/>
    <n v="4500432.95"/>
    <s v="Trsf"/>
    <s v="Trsf 11/5/25 RM2,000.00(RM188.70), 13/5/25 RM1,000.00(RM1,000.00). 21/5/25 RM1,400.00(RM549.30)"/>
    <m/>
  </r>
  <r>
    <x v="552"/>
    <x v="10"/>
    <x v="5"/>
    <x v="845"/>
    <s v="C00000019"/>
    <x v="18"/>
    <s v="RM CSM 450 1860mm(W) (54kg)"/>
    <n v="1"/>
    <s v="Cash"/>
    <n v="0"/>
    <d v="2024-04-08T00:00:00"/>
    <n v="4"/>
    <n v="2024"/>
    <n v="405"/>
    <n v="-405"/>
    <n v="0"/>
    <n v="4500837.95"/>
    <s v="Trsf"/>
    <s v="Trsf 21/5/25 RM1,400.00(RM405.00)"/>
    <m/>
  </r>
  <r>
    <x v="552"/>
    <x v="10"/>
    <x v="5"/>
    <x v="845"/>
    <s v="C00000019"/>
    <x v="18"/>
    <s v="RM Chemlease 71-90 EZ (1 gallon)"/>
    <n v="1"/>
    <s v="Cash"/>
    <n v="0"/>
    <d v="2024-04-08T00:00:00"/>
    <n v="4"/>
    <n v="2024"/>
    <n v="395"/>
    <n v="-395"/>
    <n v="0"/>
    <n v="4501232.95"/>
    <s v="Trsf"/>
    <s v="Trsf 21/5/25 RM1,400.00(RM395.00)"/>
    <m/>
  </r>
  <r>
    <x v="552"/>
    <x v="10"/>
    <x v="5"/>
    <x v="845"/>
    <s v="C00000019"/>
    <x v="18"/>
    <s v="RM Pigment Super White (5Kg)"/>
    <n v="1"/>
    <s v="Cash"/>
    <n v="0"/>
    <d v="2024-04-08T00:00:00"/>
    <n v="4"/>
    <n v="2024"/>
    <n v="150"/>
    <n v="-150"/>
    <n v="0"/>
    <n v="4501382.95"/>
    <s v="Trsf"/>
    <s v="Trsf 21/5/25 RM1,400.00(RM50.70), 24/5/25 RM600.00(RM99.30)"/>
    <m/>
  </r>
  <r>
    <x v="552"/>
    <x v="10"/>
    <x v="5"/>
    <x v="846"/>
    <s v="C00000021"/>
    <x v="21"/>
    <s v="RA Resin 3317AW (220Kg)"/>
    <n v="1"/>
    <s v="Cash"/>
    <n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n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n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n v="0"/>
    <d v="2024-04-20T00:00:00"/>
    <n v="4"/>
    <n v="2024"/>
    <n v="1738"/>
    <n v="-1738"/>
    <n v="0"/>
    <n v="4528280.45"/>
    <s v="Trsf"/>
    <s v="Trsf 24/5/25 RM600.00(RM500.70), 26/5/25 RM1,000.00(1,000.00), 1/6/25 RM500.00 (RM237.30)"/>
    <m/>
  </r>
  <r>
    <x v="555"/>
    <x v="10"/>
    <x v="5"/>
    <x v="851"/>
    <s v="C00000019"/>
    <x v="18"/>
    <s v="RM Talcum Powder (25kg)"/>
    <n v="3"/>
    <s v="Cash"/>
    <n v="0"/>
    <d v="2024-04-20T00:00:00"/>
    <n v="4"/>
    <n v="2024"/>
    <n v="187.5"/>
    <n v="-187.5"/>
    <n v="0"/>
    <n v="4528467.95"/>
    <s v="Trsf"/>
    <s v="Trsf 1/6/25 RM500.00 (RM187.50)"/>
    <m/>
  </r>
  <r>
    <x v="556"/>
    <x v="10"/>
    <x v="5"/>
    <x v="852"/>
    <s v="C00000010"/>
    <x v="9"/>
    <s v="RA Resin 3338W (220kg)"/>
    <n v="6"/>
    <n v="120"/>
    <n v="120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n v="120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n v="120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n v="120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n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n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n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n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n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n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n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n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n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n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n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n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n v="0"/>
    <d v="2024-04-29T00:00:00"/>
    <n v="4"/>
    <n v="2024"/>
    <n v="420"/>
    <n v="-420"/>
    <n v="0"/>
    <n v="4476234.1499999994"/>
    <s v="Trsf"/>
    <s v="Trsf 1/6/25 RM500.00 (RM75.20), 12/6/25 RM1,000.00(RM344.80)"/>
    <m/>
  </r>
  <r>
    <x v="560"/>
    <x v="10"/>
    <x v="5"/>
    <x v="856"/>
    <s v="C00000019"/>
    <x v="18"/>
    <s v="RA Butanox M50 (5kg)"/>
    <n v="1"/>
    <s v="Cash"/>
    <n v="0"/>
    <d v="2024-04-29T00:00:00"/>
    <n v="4"/>
    <n v="2024"/>
    <n v="110"/>
    <n v="-110"/>
    <n v="0"/>
    <n v="4476314.1499999994"/>
    <s v="Trsf"/>
    <s v="Trsf 12/6/25 RM1,000.00(RM110.00)"/>
    <m/>
  </r>
  <r>
    <x v="560"/>
    <x v="10"/>
    <x v="5"/>
    <x v="857"/>
    <s v="C00000041"/>
    <x v="42"/>
    <s v="RA CSM 300 1040mm(W) (30kg)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n v="0"/>
    <d v="2024-05-01T00:00:00"/>
    <n v="5"/>
    <n v="2024"/>
    <n v="1760"/>
    <n v="-1760"/>
    <n v="0"/>
    <n v="4522710.45"/>
    <s v="Trsf"/>
    <s v="Trsf 12/6/25 RM1,000.00(RM545.20), 17/7/25 RM1,000.00(RM1,000.00),  18/7/25 RM1,500.00(RM214.80)"/>
    <m/>
  </r>
  <r>
    <x v="561"/>
    <x v="11"/>
    <x v="5"/>
    <x v="861"/>
    <s v="C00000019"/>
    <x v="18"/>
    <s v="RM CSM 450 1860mm(W) (54kg)"/>
    <n v="1"/>
    <s v="Cash"/>
    <n v="0"/>
    <d v="2024-05-01T00:00:00"/>
    <n v="5"/>
    <n v="2024"/>
    <n v="405"/>
    <n v="-405"/>
    <n v="0"/>
    <n v="4524835.45"/>
    <s v="Trsf"/>
    <s v="Trsf 18/6/25 RM1,500.00(RM405.00)"/>
    <m/>
  </r>
  <r>
    <x v="561"/>
    <x v="11"/>
    <x v="5"/>
    <x v="861"/>
    <s v="C00000019"/>
    <x v="18"/>
    <s v="RM Chemlease 71-90 EZ (1 gallon)"/>
    <n v="1"/>
    <s v="Cash"/>
    <n v="0"/>
    <d v="2024-05-01T00:00:00"/>
    <n v="5"/>
    <n v="2024"/>
    <n v="390"/>
    <n v="-390"/>
    <n v="0"/>
    <n v="4527160.45"/>
    <s v="Trsf"/>
    <s v="Trsf 18/6/25 RM1,500.00(RM390.00)"/>
    <m/>
  </r>
  <r>
    <x v="561"/>
    <x v="11"/>
    <x v="5"/>
    <x v="861"/>
    <s v="C00000019"/>
    <x v="18"/>
    <s v="RM Talcum Powder (25kg)"/>
    <n v="3"/>
    <s v="Cash"/>
    <n v="0"/>
    <d v="2024-05-01T00:00:00"/>
    <n v="5"/>
    <n v="2024"/>
    <n v="187.5"/>
    <n v="-187.5"/>
    <n v="0"/>
    <n v="4527337.95"/>
    <s v="Trsf"/>
    <s v="Trsf 18/6/25 RM1,500.00(RM187.50)"/>
    <m/>
  </r>
  <r>
    <x v="562"/>
    <x v="11"/>
    <x v="5"/>
    <x v="862"/>
    <s v="C00000014"/>
    <x v="13"/>
    <s v="RO Gelcoat LB988 (22kg)"/>
    <n v="1"/>
    <s v="Cash"/>
    <n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n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n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n v="0"/>
    <d v="2024-05-10T00:00:00"/>
    <n v="5"/>
    <n v="2024"/>
    <n v="1760"/>
    <n v="-302.7"/>
    <n v="1457.3"/>
    <n v="4570933.75"/>
    <s v="Trsf"/>
    <s v="Trsf 18/6/25 RM1,500.00(RM302.70)"/>
    <m/>
  </r>
  <r>
    <x v="566"/>
    <x v="11"/>
    <x v="5"/>
    <x v="870"/>
    <s v="C00000019"/>
    <x v="18"/>
    <s v="RO CSM 450 1860mm(W) (54kg)"/>
    <n v="1"/>
    <s v="Cash"/>
    <n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n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n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n v="120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n v="120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n v="120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n v="120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n v="120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n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n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n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n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n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n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n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n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n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n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n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n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n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n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n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n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n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n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n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n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n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n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n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n v="120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n v="120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n v="120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n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n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n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n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n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n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n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n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n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n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n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n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n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n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n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n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n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n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n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n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n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n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n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n v="120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n v="120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n v="120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n v="120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n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n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n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n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n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n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n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n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n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n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n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n v="120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n v="120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n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n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n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n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n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n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n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n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n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n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n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n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n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n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n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n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n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n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n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n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n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n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n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n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n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n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n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n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n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n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n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n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n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n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n v="120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n v="120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n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n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n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n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n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n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n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n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n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n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n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n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n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n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n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n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n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n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n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n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n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n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n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n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n v="120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n v="120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n v="120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n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n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n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n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n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n v="120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260"/>
    <n v="0"/>
    <n v="4441826.6500000004"/>
    <s v="Trsf"/>
    <s v="Trsf 23/4/25 RM2,000.00(RM101.70), 2/5/25 RM2,000.00(RM158.3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n v="-120"/>
    <n v="0"/>
    <n v="4441946.6500000004"/>
    <s v="Trsf"/>
    <s v="Trsf 2/5/25 RM2,000.00(RM120.00)"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n v="-1738"/>
    <n v="0"/>
    <n v="4484397.1500000004"/>
    <s v="Trsf"/>
    <s v="Trsf 2/5/25 RM2,000.00(RM1.721.70), 11/5/25 RM1,000.00(RM16.30)"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n v="-405"/>
    <n v="0"/>
    <n v="4484802.1500000004"/>
    <s v="Trsf"/>
    <s v="Trsf 11/5/25 RM2,000.00(RM405.00)"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n v="-390"/>
    <n v="0"/>
    <n v="4485192.1500000004"/>
    <s v="Trsf"/>
    <s v="Trsf 11/5/25 RM2,000.00(RM390.00)"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n v="-1738"/>
    <n v="0"/>
    <n v="4500432.95"/>
    <s v="Trsf"/>
    <s v="Trsf 11/5/25 RM2,000.00(RM188.70), 13/5/25 RM1,000.00(RM1,000.00). 21/5/25 RM1,400.00(RM549.30)"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n v="-405"/>
    <n v="0"/>
    <n v="4500837.95"/>
    <s v="Trsf"/>
    <s v="Trsf 21/5/25 RM1,400.00(RM405.00)"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n v="-395"/>
    <n v="0"/>
    <n v="4501232.95"/>
    <s v="Trsf"/>
    <s v="Trsf 21/5/25 RM1,400.00(RM395.00)"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n v="-150"/>
    <n v="0"/>
    <n v="4501382.95"/>
    <s v="Trsf"/>
    <s v="Trsf 21/5/25 RM1,400.00(RM50.70), 24/5/25 RM600.00(RM99.30)"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n v="-1738"/>
    <n v="0"/>
    <n v="4528280.45"/>
    <s v="Trsf"/>
    <s v="Trsf 24/5/25 RM600.00(RM500.70), 26/5/25 RM1,000.00(1,000.00), 1/6/25 RM500.00 (RM237.30)"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n v="-187.5"/>
    <n v="0"/>
    <n v="4528467.95"/>
    <s v="Trsf"/>
    <s v="Trsf 1/6/25 RM500.00 (RM187.50)"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n v="-420"/>
    <n v="0"/>
    <n v="4476234.1499999994"/>
    <s v="Trsf"/>
    <s v="Trsf 1/6/25 RM500.00 (RM75.20), 12/6/25 RM1,000.00(RM344.80)"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n v="-110"/>
    <n v="0"/>
    <n v="4476314.1499999994"/>
    <s v="Trsf"/>
    <s v="Trsf 12/6/25 RM1,000.00(RM110.00)"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n v="-1760"/>
    <n v="0"/>
    <n v="4522710.45"/>
    <s v="Trsf"/>
    <s v="Trsf 12/6/25 RM1,000.00(RM545.20), 17/7/25 RM1,000.00(RM1,000.00),  18/7/25 RM1,500.00(RM214.80)"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n v="-405"/>
    <n v="0"/>
    <n v="4524835.45"/>
    <s v="Trsf"/>
    <s v="Trsf 18/6/25 RM1,500.00(RM405.00)"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n v="-390"/>
    <n v="0"/>
    <n v="4527160.45"/>
    <s v="Trsf"/>
    <s v="Trsf 18/6/25 RM1,500.00(RM390.00)"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n v="-187.5"/>
    <n v="0"/>
    <n v="4527337.95"/>
    <s v="Trsf"/>
    <s v="Trsf 18/6/25 RM1,500.00(RM187.50)"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n v="-302.7"/>
    <n v="1457.3"/>
    <n v="4570933.75"/>
    <s v="Trsf"/>
    <s v="Trsf 18/6/25 RM1,500.00(RM302.70)"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2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n v="-1738"/>
    <n v="0"/>
    <n v="4048712.1500000018"/>
    <s v="PD Chq"/>
    <s v="Trsf 7/7/24, RM2,145.50"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n v="-95"/>
    <n v="0"/>
    <n v="4048807.1500000018"/>
    <s v="PD Chq"/>
    <s v="Trsf 7/7/24, RM2,145.50"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n v="-312.5"/>
    <n v="0"/>
    <n v="4049119.6500000018"/>
    <s v="PD Chq"/>
    <s v="Trsf 7/7/24, RM2,145.50"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n v="-150"/>
    <n v="0"/>
    <n v="4501382.95"/>
    <s v="Trsf"/>
    <s v="Trsf 21/5/25 RM1,400.00(RM50.70), 24/5/25 RM600.00(RM99.30)"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n v="-1738"/>
    <n v="0"/>
    <n v="4528280.45"/>
    <s v="Trsf"/>
    <s v="Trsf 24/5/25 RM600.00(RM500.70), 26/5/25 RM1,000.00(1,000.00), 1/6/25 RM500.00 (RM237.30)"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n v="-187.5"/>
    <n v="0"/>
    <n v="4528467.95"/>
    <s v="Trsf"/>
    <s v="Trsf 1/6/25 RM500.00 (RM187.50)"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n v="-420"/>
    <n v="0"/>
    <n v="4476234.1499999994"/>
    <s v="Trsf"/>
    <s v="Trsf 1/6/25 RM500.00 (RM75.20), 12/6/25 RM1,000.00(RM344.80)"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n v="-110"/>
    <n v="0"/>
    <n v="4476314.1499999994"/>
    <s v="Trsf"/>
    <s v="Trsf 12/6/25 RM1,000.00(RM110.00)"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n v="-1760"/>
    <n v="0"/>
    <n v="4522710.45"/>
    <s v="Trsf"/>
    <s v="Trsf 12/6/25 RM1,000.00(RM545.20), 17/7/25 RM1,000.00(RM1,000.00),  18/7/25 RM1,500.00(RM214.80)"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n v="-405"/>
    <n v="0"/>
    <n v="4524835.45"/>
    <s v="Trsf"/>
    <s v="Trsf 18/6/25 RM1,500.00(RM405.00)"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n v="-390"/>
    <n v="0"/>
    <n v="4527160.45"/>
    <s v="Trsf"/>
    <s v="Trsf 18/6/25 RM1,500.00(RM390.00)"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n v="-187.5"/>
    <n v="0"/>
    <n v="4527337.95"/>
    <s v="Trsf"/>
    <s v="Trsf 18/6/25 RM1,500.00(RM187.50)"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n v="-1760"/>
    <n v="0"/>
    <n v="4570933.75"/>
    <s v="Trsf"/>
    <s v="Trsf 18/6/25 RM1,500.00(RM302.70), 1/7/25 RM700.00(RM700.00), 13/7/25 RM500.00(RM500.00), 14/7/25 RM500.00(RM257.30)"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n v="-405"/>
    <n v="0"/>
    <n v="4573232.75"/>
    <s v="Trsf"/>
    <s v="Trsf 14/7/25 RM500.00(RM242.70), 15/7/25 RM500.00(RM162.30)"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n v="-187.5"/>
    <n v="0"/>
    <n v="4574887.25"/>
    <s v="Trsf"/>
    <s v="Trsf 15/7/25 RM500.00(RM187.50)"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n v="-160"/>
    <n v="0"/>
    <n v="4575859.75"/>
    <s v="Trsf"/>
    <s v="Trsf 15/7/25 RM500.00(RM150.20), 21/7/25 RM500.00(RM9.80)"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n v="-1760"/>
    <n v="0"/>
    <n v="4550759.75"/>
    <s v="Trsf"/>
    <s v="Trsf 21/7/25 RM500.00(RM490.20), 27/7/25 RM500.00(RM500.00), 28/7/25 RM500.00(RM500.00), 29/7/25 RM500.00(269.80)"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n v="-230.2"/>
    <n v="174.8"/>
    <n v="4554218.25"/>
    <s v="Trsf"/>
    <s v="Trsf 29/7/25 RM500(RM230.20)"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n v="-12960"/>
    <n v="0"/>
    <n v="5899312.6500000004"/>
    <s v="Trsf"/>
    <s v="Trsf 18/7/25 RM30,481.00"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n v="-1740"/>
    <n v="0"/>
    <n v="5901052.6500000004"/>
    <s v="Trsf"/>
    <s v="Trsf 18/7/25 RM30,481.00"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n v="-1150"/>
    <n v="0"/>
    <n v="5902202.6500000004"/>
    <s v="Trsf"/>
    <s v="Trsf 18/7/25 RM30,481.00"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n v="-880"/>
    <n v="0"/>
    <n v="5903082.6500000004"/>
    <s v="Trsf"/>
    <s v="Trsf 18/7/25 RM30,481.00"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n v="-420"/>
    <n v="0"/>
    <n v="5903502.6500000004"/>
    <s v="Trsf"/>
    <s v="Trsf 18/7/25 RM30,481.00"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n v="-160"/>
    <n v="0"/>
    <n v="5903662.6500000004"/>
    <s v="Trsf"/>
    <s v="Trsf 18/7/25 RM30,481.00"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n v="-1566"/>
    <n v="0"/>
    <n v="5913516.1500000004"/>
    <s v="Trsf"/>
    <s v="Trsf 30/5/25 RM13,000.00(RM1,157.60), 4/6/25 RM14,500.00(RM408.40)"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n v="-1980"/>
    <n v="0"/>
    <n v="5915496.1500000004"/>
    <s v="Trsf"/>
    <s v="Trsf 4/6/25 RM14,500.00(RM1,980.00)"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n v="-460"/>
    <n v="0"/>
    <n v="5915956.1500000004"/>
    <s v="Trsf"/>
    <s v="Trsf 4/6/25 RM14,500.00(RM460.00)"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n v="-1000"/>
    <n v="0"/>
    <n v="5916956.1500000004"/>
    <s v="Trsf"/>
    <s v="Trsf 4/6/25 RM14,500.00(RM1,000.00)"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n v="-3240"/>
    <n v="0"/>
    <n v="5925094.6500000004"/>
    <s v="Trsf"/>
    <s v="Trsf 4/6/25 RM14,500.00(RM3,240.00)"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n v="-696"/>
    <n v="0"/>
    <n v="5925790.6500000004"/>
    <s v="Trsf"/>
    <s v="Trsf 4/6/25 RM14,500.00(RM696.00)"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n v="-495"/>
    <n v="0"/>
    <n v="5926285.6500000004"/>
    <s v="Trsf"/>
    <s v="Trsf 4/6/25 RM14,500.00(RM495.00)"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n v="-460"/>
    <n v="0"/>
    <n v="5926745.6500000004"/>
    <s v="Trsf"/>
    <s v="Trsf 4/6/25 RM14,500.00(RM460.00)"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n v="-975"/>
    <n v="0"/>
    <n v="5927720.6500000004"/>
    <s v="Trsf"/>
    <s v="Trsf 4/6/25 RM14,500.00(RM975.00)"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n v="-62.5"/>
    <n v="0"/>
    <n v="5927783.1500000004"/>
    <s v="Trsf"/>
    <s v="Trsf 4/6/25 RM14,500.00(RM62.50)"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n v="-4860"/>
    <n v="0"/>
    <n v="5932643.1500000004"/>
    <s v="Trsf"/>
    <s v="Trsf 4/6/25 RM14,500.00(RM4,723.10), 5/6/25 RM10,000.00(RM136.90)"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n v="-1566"/>
    <n v="0"/>
    <n v="5934209.1500000004"/>
    <s v="Trsf"/>
    <s v="Trsf 5/6/25 RM10,000.00(RM1,566.00)"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n v="-990"/>
    <n v="0"/>
    <n v="5935199.1500000004"/>
    <s v="Trsf"/>
    <s v="Trsf 5/6/25 RM10,000.00(RM990.00)"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n v="-460"/>
    <n v="0"/>
    <n v="5935659.1500000004"/>
    <s v="Trsf"/>
    <s v="Trsf 5/6/25 RM10,000.00(RM460.00)"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n v="-1000"/>
    <n v="0"/>
    <n v="5936659.1500000004"/>
    <s v="Trsf"/>
    <s v="Trsf 5/6/25 RM10,000.00(RM1,000.00)"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n v="-62.5"/>
    <n v="0"/>
    <n v="5942432.3500000006"/>
    <s v="Trsf"/>
    <s v="Trsf 5/6/25 RM10,000.00(RM62.50)"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n v="-1620"/>
    <n v="0"/>
    <n v="5944052.3500000006"/>
    <s v="Trsf"/>
    <s v="Trsf 5/6/25 RM10,000.00(RM1,620.00)"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n v="-522"/>
    <n v="0"/>
    <n v="5944574.3500000006"/>
    <s v="Trsf"/>
    <s v="Trsf 5/6/25 RM10,000.00(RM522.00)"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n v="-247.5"/>
    <n v="0"/>
    <n v="5944821.8500000006"/>
    <s v="Trsf"/>
    <s v="Trsf 5/6/25 RM10,000.00(RM247.50)"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n v="-975"/>
    <n v="0"/>
    <n v="5945796.8500000006"/>
    <s v="Trsf"/>
    <s v="Trsf 5/6/25 RM10,000.00(RM975.00)"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n v="-9720"/>
    <n v="0"/>
    <n v="5955516.8500000006"/>
    <s v="Trsf"/>
    <s v="Trsf 18/7/25 RM30,481.00"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n v="-1740"/>
    <n v="0"/>
    <n v="5957256.8500000006"/>
    <s v="Trsf"/>
    <s v="Trsf 18/7/25 RM30,481.00"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n v="-575"/>
    <n v="0"/>
    <n v="5957831.8500000006"/>
    <s v="Trsf"/>
    <s v="Trsf 18/7/25 RM30,481.00"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n v="-440"/>
    <n v="0"/>
    <n v="5958271.8500000006"/>
    <s v="Trsf"/>
    <s v="Trsf 18/7/25 RM30,481.00"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n v="-696"/>
    <n v="0"/>
    <n v="5958967.8500000006"/>
    <s v="Trsf"/>
    <s v="Trsf 18/7/25 RM30,481.00"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n v="-187.5"/>
    <n v="0"/>
    <n v="5969482.8500000006"/>
    <s v="Trsf"/>
    <s v="Trsf 5/6/25 RM10,000.00(RM187.50)"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n v="-11340"/>
    <n v="0"/>
    <n v="5980822.8500000006"/>
    <s v="Trsf"/>
    <s v="Trsf 5/6/25 RM10,000.00(RM2,232.60), 9/6/25 RM6,700.00(RM6,700.00), 11/6/25 RM15,600.00(RM2,407.40)"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n v="-3480"/>
    <n v="0"/>
    <n v="5984302.8500000006"/>
    <s v="Trsf"/>
    <s v="Trsf 11/6/25 RM15,600.00(RM3,480.00)"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n v="-2475"/>
    <n v="0"/>
    <n v="5986777.8500000006"/>
    <s v="Trsf"/>
    <s v="Trsf 11/6/25 RM15,600.00(RM2,475.00)"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n v="-1000"/>
    <n v="0"/>
    <n v="5987777.8500000006"/>
    <s v="Trsf"/>
    <s v="Trsf 11/6/25 RM15,600.00(RM1,000.00)"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n v="-125"/>
    <n v="0"/>
    <n v="5989352.8500000006"/>
    <s v="Trsf"/>
    <s v="Trsf 11/6/25 RM15,600.00(RM125.00)"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n v="-6480"/>
    <n v="0"/>
    <n v="5995832.8500000006"/>
    <s v="Trsf"/>
    <s v="Trsf 11/6/25 RM5,600.00(RM6,112.60), 13/6/25 RM20,000.00(RM367.40)"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n v="-2088"/>
    <n v="0"/>
    <n v="5997920.8500000006"/>
    <s v="Trsf"/>
    <s v="Trsf 13/6/25 RM20,000.00(RM2,088.00)"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n v="-1485"/>
    <n v="0"/>
    <n v="5999405.8500000006"/>
    <s v="Trsf"/>
    <s v="Trsf 13/6/25 RM20,000.00(RM1,485.00)"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n v="-460"/>
    <n v="0"/>
    <n v="5999865.8500000006"/>
    <s v="Trsf"/>
    <s v="Trsf 13/6/25 RM20,000.00(RM460.00)"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n v="-1000"/>
    <n v="0"/>
    <n v="6000865.8500000006"/>
    <s v="Trsf"/>
    <s v="Trsf 13/6/25 RM20,000.00(RM1,000.00)"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n v="-62.5"/>
    <n v="0"/>
    <n v="6000928.3500000006"/>
    <s v="Trsf"/>
    <s v="Trsf 13/6/25 RM20,000.00(RM62.50)"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n v="-4860"/>
    <n v="0"/>
    <n v="6005788.3500000006"/>
    <s v="Trsf"/>
    <s v="Trsf 13/6/25 RM20,000.00(RM4,860.00)"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n v="-1566"/>
    <n v="0"/>
    <n v="6007354.3500000006"/>
    <s v="Trsf"/>
    <s v="Trsf 13/6/25 RM20,000.00(RM1,566.00)"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n v="-990"/>
    <n v="0"/>
    <n v="6008344.3500000006"/>
    <s v="Trsf"/>
    <s v="Trsf 13/6/25 RM20,000.00(RM990.00)"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n v="-375"/>
    <n v="0"/>
    <n v="6011701.8500000006"/>
    <s v="Trsf"/>
    <s v="Trsf 13/6/25 RM20,000.00(RM375.00)"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n v="-19440"/>
    <n v="0"/>
    <n v="6031141.8500000006"/>
    <s v="Trsf"/>
    <s v="Trsf 13/6/25 RM20,000.00(RM6,746.10), 20/6/25 RM21,000.00(RM12,693.90)"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n v="-6264"/>
    <n v="0"/>
    <n v="6037405.8500000006"/>
    <s v="Trsf"/>
    <s v="Trsf 20/6/25 RM21,000.00(RM6,264.00)"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n v="-4455"/>
    <n v="0"/>
    <n v="6041860.8500000006"/>
    <s v="Trsf"/>
    <s v="Trsf 20/6/25 RM21,000.00(RM2,042.10), 24/6/25 RM14,500.00(RM2,412.90)"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n v="-920"/>
    <n v="0"/>
    <n v="6042780.8500000006"/>
    <s v="Trsf"/>
    <s v="Trsf 24/6/25 RM14,500.00(RM920.00)"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n v="-1950"/>
    <n v="0"/>
    <n v="6044730.8500000006"/>
    <s v="Trsf"/>
    <s v="Trsf 24/6/25 RM14,500.00(RM1,950.00)"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n v="-125"/>
    <n v="0"/>
    <n v="6050020.8500000006"/>
    <s v="Trsf"/>
    <s v="Trsf 24/6/25 RM14,500.00(RM125.00)"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n v="-6480"/>
    <n v="0"/>
    <n v="6056500.8500000006"/>
    <s v="Trsf"/>
    <s v="Trsf 24/6/25 RM14,500.00(RM6,480.00)"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n v="-1740"/>
    <n v="0"/>
    <n v="6058240.8500000006"/>
    <s v="Trsf"/>
    <s v="Trsf 24/6/25 RM14,500.00(RM1,740.00)"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n v="-1485"/>
    <n v="0"/>
    <n v="6059725.8500000006"/>
    <s v="Trsf"/>
    <s v="Trsf 24/6/25 RM14,500.00(RM872.10), 30/6/25 RM15,000.00(RM612.90)"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n v="-125"/>
    <n v="0"/>
    <n v="6069019.3500000006"/>
    <s v="Trsf"/>
    <s v="Trsf 30/6/25 RM15,000.00(RM125.00)"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n v="-6480"/>
    <n v="0"/>
    <n v="6075499.3500000006"/>
    <s v="Trsf"/>
    <s v="Trsf 30/6/25 RM15,000.00(RM6,480.00)"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n v="-2088"/>
    <n v="0"/>
    <n v="6077587.3500000006"/>
    <s v="Trsf"/>
    <s v="Trsf 30/6/25 RM15,000.00(RM2,088.00)"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n v="-1485"/>
    <n v="0"/>
    <n v="6079072.3500000006"/>
    <s v="Trsf"/>
    <s v="Trsf 30/6/25 RM15,000.00(RM1,485.00)"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n v="-690"/>
    <n v="0"/>
    <n v="6079762.3500000006"/>
    <s v="Trsf"/>
    <s v="Trsf 30/6/25 RM15,000.00(RM690.00)"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n v="-1000"/>
    <n v="0"/>
    <n v="6080762.3500000006"/>
    <s v="Trsf"/>
    <s v="Trsf 30/6/25 RM15,000.00(RM1,000.00)"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n v="-312.5"/>
    <n v="0"/>
    <n v="6081074.8500000006"/>
    <s v="Trsf"/>
    <s v="Trsf 30/6/25 RM15,000.00(RM312.50)"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n v="-16200"/>
    <n v="0"/>
    <n v="6097274.8500000006"/>
    <s v="Trsf"/>
    <s v="Trsf 30/6/25 RM15,000.00(RM2,206.60), 1/7/25 RM15,000.00(RM13,993.40)"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n v="-4350"/>
    <n v="0"/>
    <n v="6101624.8500000006"/>
    <s v="Trsf"/>
    <s v="Trsf 1/7/25 RM15,000.00(RM1,006.60), 7/7/25 RM14,000.00(RM3,343.40)"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n v="-3712.5"/>
    <n v="0"/>
    <n v="6105337.3500000006"/>
    <s v="Trsf"/>
    <s v="Trsf 7/7/25 RM14,000.00(RM3,712.50)"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n v="-460"/>
    <n v="0"/>
    <n v="6105797.3500000006"/>
    <s v="Trsf"/>
    <s v="Trsf 7/7/25 RM14,000.00(RM460.00)"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n v="-1000"/>
    <n v="0"/>
    <n v="6106797.3500000006"/>
    <s v="Trsf"/>
    <s v="Trsf 7/7/25 RM14,000.00(RM1,000.00)"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n v="-312.5"/>
    <n v="0"/>
    <n v="6131708.3500000015"/>
    <s v="Trsf"/>
    <s v="Trsf 7/7/25 RM14,000.00(RM312.50)"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n v="-16200"/>
    <n v="0"/>
    <n v="6147908.3500000015"/>
    <s v="Trsf"/>
    <s v="Trsf 7/7/25 RM14,000.00(RM5,171.60), 10/7/25 RM17,000.00(RM11,028.40)"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n v="-6438"/>
    <n v="0"/>
    <n v="6154346.3500000015"/>
    <s v="Trsf"/>
    <s v="Trsf 10/7/25 RM17,000.00(RM5,971.60), 14/7/25 RM15,000.00(RM466.40)"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n v="-3712.5"/>
    <n v="0"/>
    <n v="6158058.8500000015"/>
    <s v="Trsf"/>
    <s v="Trsf 14/7/25 RM15,000.00(RM3,712.50)"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n v="-460"/>
    <n v="0"/>
    <n v="6158518.8500000015"/>
    <s v="Trsf"/>
    <s v="Trsf 14/7/25 RM15,000.00(RM460.00)"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n v="-2000"/>
    <n v="0"/>
    <n v="6160518.8500000015"/>
    <s v="Trsf"/>
    <s v="Trsf 14/7/25 RM15,000.00(RM2,000.00)"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n v="-460"/>
    <n v="0"/>
    <n v="6164380.3500000015"/>
    <s v="Trsf"/>
    <s v="Trsf 14/7/25 RM15,000.00(RM460.00)"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n v="-125"/>
    <n v="0"/>
    <n v="6164505.3500000015"/>
    <s v="Trsf"/>
    <s v="Trsf 14/7/25 RM15,000.00(RM125.00)"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n v="-8100"/>
    <n v="0"/>
    <n v="6172605.3500000015"/>
    <s v="Trsf"/>
    <s v="Trsf 14/7/25 RM15,000.00(RM7,776.10), 17/7/25 RM17,000.00(RM323.90)"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n v="-3219"/>
    <n v="0"/>
    <n v="6175824.3500000015"/>
    <s v="Trsf"/>
    <s v="Trsf 17/7/25 RM17,000.00(RM3,219.00)"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n v="-1980"/>
    <n v="0"/>
    <n v="6177804.3500000015"/>
    <s v="Trsf"/>
    <s v="Trsf 17/7/25 RM17,000.00(RM1,980.00)"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n v="-460"/>
    <n v="0"/>
    <n v="6178264.3500000015"/>
    <s v="Trsf"/>
    <s v="Trsf 17/7/25 RM17,000.00(RM460.00)"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n v="-1000"/>
    <n v="0"/>
    <n v="6179264.3500000015"/>
    <s v="Trsf"/>
    <s v="Trsf 17/7/25 RM17,000.00(RM1,000.00)"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n v="-3420"/>
    <n v="0"/>
    <n v="6182684.3500000015"/>
    <s v="Chq"/>
    <s v="Cash deposit 6/6/25 RM4,623.00"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n v="-648"/>
    <n v="0"/>
    <n v="6183332.3500000015"/>
    <s v="Chq"/>
    <s v="Cash deposit 6/6/25 RM4,623.00"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n v="-230"/>
    <n v="0"/>
    <n v="6183562.3500000015"/>
    <s v="Chq"/>
    <s v="Cash deposit 6/6/25 RM4,623.00"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n v="-325"/>
    <n v="0"/>
    <n v="6183887.3500000015"/>
    <s v="Chq"/>
    <s v="Cash deposit 6/6/25 RM4,623.00"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n v="-187.5"/>
    <n v="0"/>
    <n v="6191561.450000002"/>
    <s v="Trsf"/>
    <s v="Trsf 17/7/25 RM17,000.00(RM187.50)"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n v="-8100"/>
    <n v="0"/>
    <n v="6199661.450000002"/>
    <s v="Trsf"/>
    <s v="Trsf 17/7/25 RM17,000.00(RM8,100.00)"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n v="-975"/>
    <n v="0"/>
    <n v="6200636.450000002"/>
    <s v="Trsf"/>
    <s v="Trsf 17/7/25 RM17,000.00(RM975.00)"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n v="-187.5"/>
    <n v="0"/>
    <n v="6208399.6500000022"/>
    <s v="Trsf"/>
    <s v="Trsf 17/7/25 RM17,000.00(RM187.50)"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n v="-11340"/>
    <n v="0"/>
    <n v="6219739.6500000022"/>
    <s v="Trsf"/>
    <s v="Trsf 17/7/25 RM17,000.00(RM567.10), 21/7/25 RM15,000.00(RM10,772.90)"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n v="-3862.8"/>
    <n v="0"/>
    <n v="6223602.450000002"/>
    <s v="Trsf"/>
    <s v="Trsf 21/7/25 RM15,000.00(RM3,862.80)"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n v="-2227.5"/>
    <n v="0"/>
    <n v="6225829.950000002"/>
    <s v="Trsf"/>
    <s v="Trsf 21/7/25 RM15,000.00(RM364.30), 30/7/25 RM10,000.00(RM1,863.20)"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n v="-460"/>
    <n v="0"/>
    <n v="6226289.950000002"/>
    <s v="Trsf"/>
    <s v="Trsf 30/7/25 RM10,000.00(RM460.00)"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n v="-990"/>
    <n v="0"/>
    <n v="6227279.950000002"/>
    <s v="Trsf"/>
    <s v="Trsf 30/7/25 RM10,000.00(RM990.00)"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n v="-1000"/>
    <n v="0"/>
    <n v="6228279.950000002"/>
    <s v="Trsf"/>
    <s v="Trsf 30/7/25 RM10,000.00(RM1,000.00)"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n v="-375"/>
    <n v="0"/>
    <n v="6230898.1500000022"/>
    <s v="Trsf"/>
    <s v="Trsf 30/7/25 RM10,000.00(RM375.00)"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n v="-5311.8"/>
    <n v="14128.2"/>
    <n v="6250338.1500000022"/>
    <s v="Trsf"/>
    <s v="Trsf 30/7/25 RM10,000.00(RM5,311.80)"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n v="-3195"/>
    <n v="0"/>
    <n v="6410338.3500000024"/>
    <s v="Trsf"/>
    <s v="Trsf 26/7/25 RM3,195.00"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n v="2025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n v="2025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n v="2025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n v="2025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n v="2025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n v="2025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n v="2025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n v="2025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n v="2025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n v="2025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n v="2025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n v="2025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n v="2025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n v="2025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n v="2025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n v="2025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n v="2025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n v="2025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n v="2025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n v="2025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n v="2025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n v="2025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n v="2025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n v="2025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n v="2025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n v="2025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n v="2025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n v="2025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n v="2025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n v="2025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n v="2025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n v="2025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n v="2025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n v="2025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n v="2025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n v="2025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n v="2025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n v="2025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n v="2025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n v="2025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n v="2025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n v="2025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n v="2025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n v="2025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n v="2025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n v="2025"/>
    <x v="1211"/>
    <s v="C00000050"/>
    <x v="52"/>
    <s v="RO Resin 8213WPT (225Kg)"/>
    <n v="1"/>
    <s v="Cash"/>
    <x v="0"/>
    <d v="2025-05-14T00:00:00"/>
    <x v="12"/>
    <x v="7"/>
    <n v="1710"/>
    <n v="-1710"/>
    <n v="0"/>
    <n v="6540682.5500000017"/>
    <s v="Cash"/>
    <s v="Chq PBB 072029, Cleared 10/6/25 RM2,307.50"/>
    <m/>
  </r>
  <r>
    <x v="753"/>
    <n v="5"/>
    <n v="2025"/>
    <x v="1211"/>
    <s v="C00000050"/>
    <x v="52"/>
    <s v="RA CSM 450 1040mm(W) (37kg)"/>
    <n v="1"/>
    <s v="Cash"/>
    <x v="0"/>
    <d v="2025-05-14T00:00:00"/>
    <x v="12"/>
    <x v="7"/>
    <n v="277.5"/>
    <n v="-277.5"/>
    <n v="0"/>
    <n v="6540960.0500000017"/>
    <s v="Cash"/>
    <s v="Chq PBB 072029, Cleared 10/6/25 RM2,307.50"/>
    <m/>
  </r>
  <r>
    <x v="753"/>
    <n v="5"/>
    <n v="2025"/>
    <x v="1211"/>
    <s v="C00000050"/>
    <x v="52"/>
    <s v="RA Mepoxe (5kg)"/>
    <n v="1"/>
    <s v="Cash"/>
    <x v="0"/>
    <d v="2025-05-14T00:00:00"/>
    <x v="12"/>
    <x v="7"/>
    <n v="95"/>
    <n v="-95"/>
    <n v="0"/>
    <n v="6541055.0500000017"/>
    <s v="Cash"/>
    <s v="Chq PBB 072029, Cleared 10/6/25 RM2,307.50"/>
    <m/>
  </r>
  <r>
    <x v="753"/>
    <n v="5"/>
    <n v="2025"/>
    <x v="1211"/>
    <s v="C00000050"/>
    <x v="52"/>
    <s v="RA Sand Wheel 105 X 2 X 16 (30PC)"/>
    <n v="1"/>
    <s v="Cash"/>
    <x v="0"/>
    <d v="2025-05-14T00:00:00"/>
    <x v="12"/>
    <x v="7"/>
    <n v="225"/>
    <n v="-225"/>
    <n v="0"/>
    <n v="6541280.0500000017"/>
    <s v="Cash"/>
    <s v="Chq PBB 072029, Cleared 10/6/25 RM2,307.50"/>
    <m/>
  </r>
  <r>
    <x v="753"/>
    <n v="5"/>
    <n v="2025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n v="2025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n v="2025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n v="2025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n v="2025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n v="2025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n v="2025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n v="2025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n v="2025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n v="2025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n v="2025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n v="2025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n v="2025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n v="2025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n v="2025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n v="2025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n v="2025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n v="2025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n v="2025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n v="2025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n v="2025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n v="2025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n v="2025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n v="2025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n v="2025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n v="2025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n v="2025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n v="2025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n v="2025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n v="2025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n v="2025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n v="2025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n v="2025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n v="2025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n v="2025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n v="2025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n v="2025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n v="2025"/>
    <x v="1223"/>
    <s v="C00000061"/>
    <x v="63"/>
    <s v="RA Resin 268BQT (225Kg)"/>
    <n v="1"/>
    <s v="Cash"/>
    <x v="0"/>
    <d v="2025-05-26T00:00:00"/>
    <x v="12"/>
    <x v="7"/>
    <n v="1642.5"/>
    <n v="-1642.5"/>
    <n v="0"/>
    <n v="6623478.450000003"/>
    <s v="Cash"/>
    <s v="Trsf 7/6/25 RM2,458.70"/>
    <m/>
  </r>
  <r>
    <x v="760"/>
    <n v="5"/>
    <n v="2025"/>
    <x v="1223"/>
    <s v="C00000061"/>
    <x v="63"/>
    <s v="RO CSM 450 1860mm(W) (67kg)"/>
    <n v="1"/>
    <s v="Cash"/>
    <x v="0"/>
    <d v="2025-05-26T00:00:00"/>
    <x v="12"/>
    <x v="7"/>
    <n v="408.7"/>
    <n v="-408.7"/>
    <n v="0"/>
    <n v="6623887.1500000032"/>
    <s v="Cash"/>
    <s v="Trsf 7/6/25 RM2,458.70"/>
    <m/>
  </r>
  <r>
    <x v="760"/>
    <n v="5"/>
    <n v="2025"/>
    <x v="1223"/>
    <s v="C00000061"/>
    <x v="63"/>
    <s v="RA Butanox M50 (5kg)"/>
    <n v="1"/>
    <s v="Cash"/>
    <x v="0"/>
    <d v="2025-05-26T00:00:00"/>
    <x v="12"/>
    <x v="7"/>
    <n v="115"/>
    <n v="-115"/>
    <n v="0"/>
    <n v="6624002.1500000032"/>
    <s v="Cash"/>
    <s v="Trsf 7/6/25 RM2,458.70"/>
    <m/>
  </r>
  <r>
    <x v="760"/>
    <n v="5"/>
    <n v="2025"/>
    <x v="1223"/>
    <s v="C00000061"/>
    <x v="63"/>
    <s v="RQ Talcum Powder (25kg)"/>
    <n v="3"/>
    <s v="Cash"/>
    <x v="0"/>
    <d v="2025-05-26T00:00:00"/>
    <x v="12"/>
    <x v="7"/>
    <n v="172.5"/>
    <n v="-172.5"/>
    <n v="0"/>
    <n v="6624174.6500000032"/>
    <s v="Cash"/>
    <s v="Trsf 7/6/25 RM2,458.70"/>
    <m/>
  </r>
  <r>
    <x v="760"/>
    <n v="5"/>
    <n v="2025"/>
    <x v="1223"/>
    <s v="C00000061"/>
    <x v="63"/>
    <s v="RM TR104 Hi Temp Wax"/>
    <n v="2"/>
    <s v="Cash"/>
    <x v="0"/>
    <d v="2025-05-26T00:00:00"/>
    <x v="12"/>
    <x v="7"/>
    <n v="120"/>
    <n v="-120"/>
    <n v="0"/>
    <n v="6624294.6500000032"/>
    <s v="Cash"/>
    <s v="Trsf 7/6/25 RM2,458.70"/>
    <m/>
  </r>
  <r>
    <x v="761"/>
    <n v="5"/>
    <n v="2025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n v="2025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n v="2025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n v="2025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n v="2025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n v="2025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n v="2025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n v="2025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n v="2025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n v="2025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n v="2025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n v="2025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n v="2025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n v="2025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n v="2025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n v="2025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n v="2025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n v="2025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n v="2025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n v="2025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n v="2025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  <r>
    <x v="764"/>
    <n v="6"/>
    <n v="2025"/>
    <x v="1230"/>
    <s v="C00000042"/>
    <x v="43"/>
    <s v="RQ Talcum Powder (25Kg)"/>
    <n v="3"/>
    <s v="Cash"/>
    <x v="0"/>
    <d v="2025-06-03T00:00:00"/>
    <x v="1"/>
    <x v="7"/>
    <n v="187.5"/>
    <m/>
    <n v="187.5"/>
    <n v="6668811.6500000032"/>
    <s v="Trsf"/>
    <m/>
    <m/>
  </r>
  <r>
    <x v="764"/>
    <n v="6"/>
    <n v="2025"/>
    <x v="1231"/>
    <s v="C00000042"/>
    <x v="43"/>
    <s v="RA Resin 2100BQT-L (225Kg)"/>
    <n v="5"/>
    <s v="Cash"/>
    <x v="0"/>
    <d v="2025-06-03T00:00:00"/>
    <x v="1"/>
    <x v="7"/>
    <n v="8100"/>
    <m/>
    <n v="8100"/>
    <n v="6676911.6500000032"/>
    <s v="Trsf"/>
    <m/>
    <m/>
  </r>
  <r>
    <x v="764"/>
    <n v="6"/>
    <n v="2025"/>
    <x v="1231"/>
    <s v="C00000042"/>
    <x v="43"/>
    <s v="RO CSM 450 1040mm(W) (37kg)"/>
    <n v="15"/>
    <s v="Cash"/>
    <x v="0"/>
    <d v="2025-06-03T00:00:00"/>
    <x v="1"/>
    <x v="7"/>
    <n v="3274.5"/>
    <m/>
    <n v="3274.5"/>
    <n v="6680186.1500000032"/>
    <s v="Trsf"/>
    <m/>
    <m/>
  </r>
  <r>
    <x v="764"/>
    <n v="6"/>
    <n v="2025"/>
    <x v="1231"/>
    <s v="C00000042"/>
    <x v="43"/>
    <s v="RA Woven Roving E-600gm 1120mm (45Kg)"/>
    <n v="7"/>
    <s v="Cash"/>
    <x v="0"/>
    <d v="2025-06-03T00:00:00"/>
    <x v="1"/>
    <x v="7"/>
    <n v="1732.5"/>
    <m/>
    <n v="1732.5"/>
    <n v="6681918.6500000032"/>
    <s v="Trsf"/>
    <m/>
    <m/>
  </r>
  <r>
    <x v="764"/>
    <n v="6"/>
    <n v="2025"/>
    <x v="1231"/>
    <s v="C00000042"/>
    <x v="43"/>
    <s v="RM Pigment Paste Riviera Blue B5 (25Kg)"/>
    <n v="1"/>
    <s v="Cash"/>
    <x v="0"/>
    <d v="2025-06-03T00:00:00"/>
    <x v="1"/>
    <x v="7"/>
    <n v="975"/>
    <m/>
    <n v="975"/>
    <n v="6682893.6500000032"/>
    <s v="Trsf"/>
    <m/>
    <m/>
  </r>
  <r>
    <x v="765"/>
    <n v="6"/>
    <n v="2025"/>
    <x v="1232"/>
    <s v="C00000063"/>
    <x v="65"/>
    <s v="CSM 450 GSM 1860mm (54kg)"/>
    <n v="2"/>
    <s v="Cash"/>
    <x v="0"/>
    <d v="2025-06-04T00:00:00"/>
    <x v="1"/>
    <x v="7"/>
    <n v="777.6"/>
    <n v="-777.6"/>
    <n v="0"/>
    <n v="6683671.2500000028"/>
    <s v="Cash"/>
    <s v="Trsd 5/6/25 RM3,756.40"/>
    <m/>
  </r>
  <r>
    <x v="765"/>
    <n v="6"/>
    <n v="2025"/>
    <x v="1232"/>
    <s v="C00000063"/>
    <x v="65"/>
    <s v="CSM 300 GSM 1860mm (54kg)"/>
    <n v="1"/>
    <s v="Cash"/>
    <x v="0"/>
    <d v="2025-06-04T00:00:00"/>
    <x v="1"/>
    <x v="7"/>
    <n v="388.8"/>
    <n v="-388.8"/>
    <n v="0"/>
    <n v="6684060.0500000026"/>
    <s v="Cash"/>
    <s v="Trsd 5/6/25 RM3,756.40"/>
    <m/>
  </r>
  <r>
    <x v="765"/>
    <n v="6"/>
    <n v="2025"/>
    <x v="1232"/>
    <s v="C00000063"/>
    <x v="65"/>
    <s v="Gelcoat (25kg)"/>
    <n v="2"/>
    <s v="Cash"/>
    <x v="0"/>
    <d v="2025-06-04T00:00:00"/>
    <x v="1"/>
    <x v="7"/>
    <n v="640"/>
    <n v="-640"/>
    <n v="0"/>
    <n v="6684700.0500000026"/>
    <s v="Cash"/>
    <s v="Trsd 5/6/25 RM3,756.40"/>
    <m/>
  </r>
  <r>
    <x v="765"/>
    <n v="6"/>
    <n v="2025"/>
    <x v="1232"/>
    <s v="C00000063"/>
    <x v="65"/>
    <s v="TR104 Wax Mould Release"/>
    <n v="4"/>
    <s v="Cash"/>
    <x v="0"/>
    <d v="2025-06-04T00:00:00"/>
    <x v="1"/>
    <x v="7"/>
    <n v="240"/>
    <n v="-240"/>
    <n v="0"/>
    <n v="6684940.0500000026"/>
    <s v="Cash"/>
    <s v="Trsd 5/6/25 RM3,756.40"/>
    <m/>
  </r>
  <r>
    <x v="765"/>
    <n v="6"/>
    <n v="2025"/>
    <x v="1232"/>
    <s v="C00000063"/>
    <x v="65"/>
    <s v="Pigment Grey G1 (5kg)"/>
    <n v="2"/>
    <s v="Cash"/>
    <x v="0"/>
    <d v="2025-06-04T00:00:00"/>
    <x v="1"/>
    <x v="7"/>
    <n v="320"/>
    <n v="-320"/>
    <n v="0"/>
    <n v="6685260.0500000026"/>
    <s v="Cash"/>
    <s v="Trsd 5/6/25 RM3,756.40"/>
    <m/>
  </r>
  <r>
    <x v="765"/>
    <n v="6"/>
    <n v="2025"/>
    <x v="1232"/>
    <s v="C00000063"/>
    <x v="65"/>
    <s v="Chemlease 71-90 EZ (1 gallon)"/>
    <n v="1"/>
    <s v="Cash"/>
    <x v="0"/>
    <d v="2025-06-04T00:00:00"/>
    <x v="1"/>
    <x v="7"/>
    <n v="390"/>
    <n v="-390"/>
    <n v="0"/>
    <n v="6685650.0500000026"/>
    <s v="Cash"/>
    <s v="Trsd 5/6/25 RM3,756.40"/>
    <m/>
  </r>
  <r>
    <x v="765"/>
    <n v="6"/>
    <n v="2025"/>
    <x v="1232"/>
    <s v="C00000063"/>
    <x v="65"/>
    <s v="Butanox M50 (5Kg)"/>
    <n v="2"/>
    <s v="Cash"/>
    <x v="0"/>
    <d v="2025-06-04T00:00:00"/>
    <x v="1"/>
    <x v="7"/>
    <n v="230"/>
    <n v="-230"/>
    <n v="0"/>
    <n v="6685880.0500000026"/>
    <s v="Cash"/>
    <s v="Trsd 5/6/25 RM3,756.40"/>
    <m/>
  </r>
  <r>
    <x v="765"/>
    <n v="6"/>
    <n v="2025"/>
    <x v="1232"/>
    <s v="C00000063"/>
    <x v="65"/>
    <s v="Brush 3&quot; (12pcs)"/>
    <n v="1"/>
    <s v="Cash"/>
    <x v="0"/>
    <d v="2025-06-04T00:00:00"/>
    <x v="1"/>
    <x v="7"/>
    <n v="60"/>
    <n v="-60"/>
    <n v="0"/>
    <n v="6685940.0500000026"/>
    <s v="Cash"/>
    <s v="Trsd 5/6/25 RM3,756.40"/>
    <m/>
  </r>
  <r>
    <x v="765"/>
    <n v="6"/>
    <n v="2025"/>
    <x v="1232"/>
    <s v="C00000063"/>
    <x v="65"/>
    <s v="Acccelerator (4kg)"/>
    <n v="1"/>
    <s v="Cash"/>
    <x v="0"/>
    <d v="2025-06-04T00:00:00"/>
    <x v="1"/>
    <x v="7"/>
    <n v="240"/>
    <n v="-240"/>
    <n v="0"/>
    <n v="6686180.0500000026"/>
    <s v="Cash"/>
    <s v="Trsd 5/6/25 RM3,756.40"/>
    <m/>
  </r>
  <r>
    <x v="765"/>
    <n v="6"/>
    <n v="2025"/>
    <x v="1232"/>
    <s v="C00000063"/>
    <x v="65"/>
    <s v="Pigment Orange (5kg)  "/>
    <n v="1"/>
    <s v="Cash"/>
    <x v="0"/>
    <d v="2025-06-04T00:00:00"/>
    <x v="1"/>
    <x v="7"/>
    <n v="300"/>
    <n v="-300"/>
    <n v="0"/>
    <n v="6686480.0500000026"/>
    <s v="Cash"/>
    <s v="Trsd 5/6/25 RM3,756.40"/>
    <m/>
  </r>
  <r>
    <x v="765"/>
    <n v="6"/>
    <n v="2025"/>
    <x v="1232"/>
    <s v="C00000063"/>
    <x v="65"/>
    <s v="PVA (5kg)"/>
    <n v="1"/>
    <s v="Cash"/>
    <x v="0"/>
    <d v="2025-06-04T00:00:00"/>
    <x v="1"/>
    <x v="7"/>
    <n v="170"/>
    <n v="-170"/>
    <n v="0"/>
    <n v="6686650.0500000026"/>
    <s v="Cash"/>
    <s v="Trsd 5/6/25 RM3,756.40"/>
    <m/>
  </r>
  <r>
    <x v="766"/>
    <n v="6"/>
    <n v="2025"/>
    <x v="1233"/>
    <s v="C00000042"/>
    <x v="43"/>
    <s v="RQ Talcum Powder (25Kg)"/>
    <n v="1"/>
    <s v="Cash"/>
    <x v="0"/>
    <d v="2025-06-05T00:00:00"/>
    <x v="1"/>
    <x v="7"/>
    <n v="62.5"/>
    <m/>
    <n v="62.5"/>
    <n v="6686712.5500000026"/>
    <s v="Trsf"/>
    <m/>
    <m/>
  </r>
  <r>
    <x v="766"/>
    <n v="6"/>
    <n v="2025"/>
    <x v="1234"/>
    <s v="C00000042"/>
    <x v="43"/>
    <s v="RA Resin 2100BQT-L (225Kg)"/>
    <n v="3"/>
    <s v="Cash"/>
    <x v="0"/>
    <d v="2025-06-05T00:00:00"/>
    <x v="1"/>
    <x v="7"/>
    <n v="4860"/>
    <m/>
    <n v="4860"/>
    <n v="6691572.5500000026"/>
    <s v="Trsf"/>
    <m/>
    <m/>
  </r>
  <r>
    <x v="766"/>
    <n v="6"/>
    <n v="2025"/>
    <x v="1234"/>
    <s v="C00000042"/>
    <x v="43"/>
    <s v="RO CSM 450 1040mm(W) (37kg)"/>
    <n v="9"/>
    <s v="Cash"/>
    <x v="0"/>
    <d v="2025-06-05T00:00:00"/>
    <x v="1"/>
    <x v="7"/>
    <n v="1964.7"/>
    <m/>
    <n v="1964.7"/>
    <n v="6693537.2500000028"/>
    <s v="Trsf"/>
    <m/>
    <m/>
  </r>
  <r>
    <x v="766"/>
    <n v="6"/>
    <n v="2025"/>
    <x v="1234"/>
    <s v="C00000042"/>
    <x v="43"/>
    <s v="RA Woven Roving E-600gm 1120mm (45Kg)"/>
    <n v="4"/>
    <s v="Cash"/>
    <x v="0"/>
    <d v="2025-06-05T00:00:00"/>
    <x v="1"/>
    <x v="7"/>
    <n v="990"/>
    <m/>
    <n v="990"/>
    <n v="6694527.2500000028"/>
    <s v="Trsf"/>
    <m/>
    <m/>
  </r>
  <r>
    <x v="766"/>
    <n v="6"/>
    <n v="2025"/>
    <x v="1234"/>
    <s v="C00000042"/>
    <x v="43"/>
    <s v="RA Butanox M50 (5kg)"/>
    <n v="4"/>
    <s v="Cash"/>
    <x v="0"/>
    <d v="2025-06-05T00:00:00"/>
    <x v="1"/>
    <x v="7"/>
    <n v="460"/>
    <m/>
    <n v="460"/>
    <n v="6694987.2500000028"/>
    <s v="Trsf"/>
    <m/>
    <m/>
  </r>
  <r>
    <x v="766"/>
    <n v="6"/>
    <n v="2025"/>
    <x v="1234"/>
    <s v="C00000042"/>
    <x v="43"/>
    <s v="RO Resin 8213WPT (225kg)"/>
    <n v="1"/>
    <s v="Cash"/>
    <x v="0"/>
    <d v="2025-06-05T00:00:00"/>
    <x v="1"/>
    <x v="7"/>
    <n v="1620"/>
    <m/>
    <n v="1620"/>
    <n v="6696607.2500000028"/>
    <s v="Trsf"/>
    <m/>
    <m/>
  </r>
  <r>
    <x v="767"/>
    <n v="6"/>
    <n v="2025"/>
    <x v="1235"/>
    <s v="C00000042"/>
    <x v="43"/>
    <s v="RQ Talcum Powder (25Kg)"/>
    <n v="1"/>
    <s v="Cash"/>
    <x v="0"/>
    <d v="2025-06-06T00:00:00"/>
    <x v="1"/>
    <x v="7"/>
    <n v="62.5"/>
    <m/>
    <n v="62.5"/>
    <n v="6696669.7500000028"/>
    <s v="Trsf"/>
    <m/>
    <m/>
  </r>
  <r>
    <x v="767"/>
    <n v="6"/>
    <n v="2025"/>
    <x v="1236"/>
    <s v="C00000042"/>
    <x v="43"/>
    <s v="RA Resin 2100BQT-L (225Kg)"/>
    <n v="2"/>
    <s v="Cash"/>
    <x v="0"/>
    <d v="2025-06-06T00:00:00"/>
    <x v="1"/>
    <x v="7"/>
    <n v="3240"/>
    <m/>
    <n v="3240"/>
    <n v="6699909.7500000028"/>
    <s v="Trsf"/>
    <m/>
    <m/>
  </r>
  <r>
    <x v="767"/>
    <n v="6"/>
    <n v="2025"/>
    <x v="1236"/>
    <s v="C00000042"/>
    <x v="43"/>
    <s v="RO CSM 450 1040mm(W) (37kg)"/>
    <n v="6"/>
    <s v="Cash"/>
    <x v="0"/>
    <d v="2025-06-06T00:00:00"/>
    <x v="1"/>
    <x v="7"/>
    <n v="1309.8"/>
    <m/>
    <n v="1309.8"/>
    <n v="6701219.5500000026"/>
    <s v="Trsf"/>
    <m/>
    <m/>
  </r>
  <r>
    <x v="767"/>
    <n v="6"/>
    <n v="2025"/>
    <x v="1236"/>
    <s v="C00000042"/>
    <x v="43"/>
    <s v="RA Woven Roving E-600gm 1120mm (45Kg)"/>
    <n v="3"/>
    <s v="Cash"/>
    <x v="0"/>
    <d v="2025-06-06T00:00:00"/>
    <x v="1"/>
    <x v="7"/>
    <n v="742.5"/>
    <m/>
    <n v="742.5"/>
    <n v="6701962.0500000026"/>
    <s v="Trsf"/>
    <m/>
    <m/>
  </r>
  <r>
    <x v="767"/>
    <n v="6"/>
    <n v="2025"/>
    <x v="1236"/>
    <s v="C00000042"/>
    <x v="43"/>
    <s v="RM Pigment Paste Smooth Cream M19 (25Kg)"/>
    <n v="1"/>
    <s v="Cash"/>
    <x v="0"/>
    <d v="2025-06-06T00:00:00"/>
    <x v="1"/>
    <x v="7"/>
    <n v="1000"/>
    <m/>
    <n v="1000"/>
    <n v="6702962.0500000026"/>
    <s v="Trsf"/>
    <m/>
    <m/>
  </r>
  <r>
    <x v="767"/>
    <n v="6"/>
    <n v="2025"/>
    <x v="1237"/>
    <s v="C00000019"/>
    <x v="18"/>
    <s v="RA Resin 268BQT (225Kg)"/>
    <n v="1"/>
    <s v="Cash"/>
    <x v="0"/>
    <d v="2025-06-06T00:00:00"/>
    <x v="1"/>
    <x v="7"/>
    <n v="1710"/>
    <m/>
    <n v="1710"/>
    <n v="6704672.0500000026"/>
    <s v="Trsf"/>
    <m/>
    <m/>
  </r>
  <r>
    <x v="767"/>
    <n v="6"/>
    <n v="2025"/>
    <x v="1237"/>
    <s v="C00000019"/>
    <x v="18"/>
    <s v="RA Butanox M50 (5kg)"/>
    <n v="1"/>
    <s v="Cash"/>
    <x v="0"/>
    <d v="2025-06-06T00:00:00"/>
    <x v="1"/>
    <x v="7"/>
    <n v="110"/>
    <m/>
    <n v="110"/>
    <n v="6704782.0500000026"/>
    <s v="Trsf"/>
    <m/>
    <m/>
  </r>
  <r>
    <x v="767"/>
    <n v="6"/>
    <n v="2025"/>
    <x v="1237"/>
    <s v="C00000019"/>
    <x v="18"/>
    <s v="RM Chemlease 71-90 EZ (1 gallon)"/>
    <n v="1"/>
    <s v="Cash"/>
    <x v="0"/>
    <d v="2025-06-06T00:00:00"/>
    <x v="1"/>
    <x v="7"/>
    <n v="390"/>
    <m/>
    <n v="390"/>
    <n v="6705172.0500000026"/>
    <s v="Trsf"/>
    <m/>
    <m/>
  </r>
  <r>
    <x v="767"/>
    <n v="6"/>
    <n v="2025"/>
    <x v="1237"/>
    <s v="C00000019"/>
    <x v="18"/>
    <s v="RM Pigment Super White (5Kg)"/>
    <n v="1"/>
    <s v="Cash"/>
    <x v="0"/>
    <d v="2025-06-06T00:00:00"/>
    <x v="1"/>
    <x v="7"/>
    <n v="150"/>
    <m/>
    <n v="150"/>
    <n v="6705322.0500000026"/>
    <s v="Trsf"/>
    <m/>
    <m/>
  </r>
  <r>
    <x v="768"/>
    <n v="6"/>
    <n v="2025"/>
    <x v="1238"/>
    <s v="C00000061"/>
    <x v="63"/>
    <s v="RA Resin 268BQT (225Kg)"/>
    <n v="1"/>
    <s v="Cash"/>
    <x v="0"/>
    <d v="2025-06-07T00:00:00"/>
    <x v="1"/>
    <x v="7"/>
    <n v="1642.5"/>
    <m/>
    <n v="1642.5"/>
    <n v="6706964.5500000026"/>
    <s v="Cash"/>
    <m/>
    <m/>
  </r>
  <r>
    <x v="768"/>
    <n v="6"/>
    <n v="2025"/>
    <x v="1238"/>
    <s v="C00000061"/>
    <x v="63"/>
    <s v="RO CSM 450 1860mm(W) (67kg)"/>
    <n v="1"/>
    <s v="Cash"/>
    <x v="0"/>
    <d v="2025-06-07T00:00:00"/>
    <x v="1"/>
    <x v="7"/>
    <n v="408.7"/>
    <m/>
    <n v="408.7"/>
    <n v="6707373.2500000028"/>
    <s v="Cash"/>
    <m/>
    <m/>
  </r>
  <r>
    <x v="769"/>
    <n v="6"/>
    <n v="2025"/>
    <x v="1239"/>
    <s v="C00000063"/>
    <x v="65"/>
    <s v="RD Steel Roller 7&quot;"/>
    <n v="1"/>
    <s v="Cash"/>
    <x v="0"/>
    <d v="2025-06-09T00:00:00"/>
    <x v="1"/>
    <x v="7"/>
    <n v="55"/>
    <n v="-55"/>
    <n v="0"/>
    <n v="6707428.2500000028"/>
    <s v="Cash"/>
    <s v="Trsd 24/6/25 RM55.00"/>
    <m/>
  </r>
  <r>
    <x v="770"/>
    <n v="6"/>
    <n v="2025"/>
    <x v="1240"/>
    <s v="C00000042"/>
    <x v="43"/>
    <s v="RQ Talcum Powder (25Kg)"/>
    <n v="2"/>
    <s v="Cash"/>
    <x v="0"/>
    <d v="2025-06-10T00:00:00"/>
    <x v="1"/>
    <x v="7"/>
    <n v="125"/>
    <m/>
    <n v="125"/>
    <n v="6707553.2500000028"/>
    <s v="Trsf"/>
    <m/>
    <m/>
  </r>
  <r>
    <x v="770"/>
    <n v="6"/>
    <n v="2025"/>
    <x v="1241"/>
    <s v="C00000042"/>
    <x v="43"/>
    <s v="RO Resin 8213WPT (225kg)"/>
    <n v="5"/>
    <s v="Cash"/>
    <x v="0"/>
    <d v="2025-06-10T00:00:00"/>
    <x v="1"/>
    <x v="7"/>
    <n v="8100"/>
    <m/>
    <n v="8100"/>
    <n v="6715653.2500000028"/>
    <s v="Trsf"/>
    <m/>
    <m/>
  </r>
  <r>
    <x v="770"/>
    <n v="6"/>
    <n v="2025"/>
    <x v="1241"/>
    <s v="C00000042"/>
    <x v="43"/>
    <s v="RO CSM 450 1040mm(W) (37kg)"/>
    <n v="15"/>
    <s v="Cash"/>
    <x v="0"/>
    <d v="2025-06-10T00:00:00"/>
    <x v="1"/>
    <x v="7"/>
    <n v="3274.5"/>
    <m/>
    <n v="3274.5"/>
    <n v="6718927.7500000028"/>
    <s v="Trsf"/>
    <m/>
    <m/>
  </r>
  <r>
    <x v="770"/>
    <n v="6"/>
    <n v="2025"/>
    <x v="1241"/>
    <s v="C00000042"/>
    <x v="43"/>
    <s v="RA Woven Roving E-600gm 1120mm (45Kg)"/>
    <n v="8"/>
    <s v="Cash"/>
    <x v="0"/>
    <d v="2025-06-10T00:00:00"/>
    <x v="1"/>
    <x v="7"/>
    <n v="1980"/>
    <m/>
    <n v="1980"/>
    <n v="6720907.7500000028"/>
    <s v="Trsf"/>
    <m/>
    <m/>
  </r>
  <r>
    <x v="770"/>
    <n v="6"/>
    <n v="2025"/>
    <x v="1241"/>
    <s v="C00000042"/>
    <x v="43"/>
    <s v="RA Butanox M50 (5kg)"/>
    <n v="4"/>
    <s v="Cash"/>
    <x v="0"/>
    <d v="2025-06-10T00:00:00"/>
    <x v="1"/>
    <x v="7"/>
    <n v="460"/>
    <m/>
    <n v="460"/>
    <n v="6721367.7500000028"/>
    <s v="Trsf"/>
    <m/>
    <m/>
  </r>
  <r>
    <x v="770"/>
    <n v="6"/>
    <n v="2025"/>
    <x v="1241"/>
    <s v="C00000042"/>
    <x v="43"/>
    <s v="RM Pigment Paste Smooth Cream M19 (25Kg)"/>
    <n v="1"/>
    <s v="Cash"/>
    <x v="0"/>
    <d v="2025-06-10T00:00:00"/>
    <x v="1"/>
    <x v="7"/>
    <n v="1000"/>
    <m/>
    <n v="1000"/>
    <n v="6722367.7500000028"/>
    <s v="Trsf"/>
    <m/>
    <m/>
  </r>
  <r>
    <x v="770"/>
    <n v="6"/>
    <n v="2025"/>
    <x v="1241"/>
    <s v="C00000042"/>
    <x v="43"/>
    <s v="RA Mepoxe (5kg)"/>
    <n v="4"/>
    <s v="Cash"/>
    <x v="0"/>
    <d v="2025-06-10T00:00:00"/>
    <x v="1"/>
    <x v="7"/>
    <n v="380"/>
    <m/>
    <n v="380"/>
    <n v="6722747.7500000028"/>
    <s v="Trsf"/>
    <m/>
    <m/>
  </r>
  <r>
    <x v="771"/>
    <n v="6"/>
    <n v="2025"/>
    <x v="1242"/>
    <s v="C00000042"/>
    <x v="43"/>
    <s v="RQ Talcum Powder (25Kg)"/>
    <n v="4"/>
    <s v="Cash"/>
    <x v="0"/>
    <d v="2025-06-12T00:00:00"/>
    <x v="1"/>
    <x v="7"/>
    <n v="250"/>
    <m/>
    <n v="250"/>
    <n v="6722997.7500000028"/>
    <s v="Trsf"/>
    <m/>
    <m/>
  </r>
  <r>
    <x v="771"/>
    <n v="6"/>
    <n v="2025"/>
    <x v="1243"/>
    <s v="C00000042"/>
    <x v="43"/>
    <s v="RA Resin 268BQT (225Kg)"/>
    <n v="8"/>
    <s v="Cash"/>
    <x v="0"/>
    <d v="2025-06-12T00:00:00"/>
    <x v="1"/>
    <x v="7"/>
    <n v="12960"/>
    <m/>
    <n v="12960"/>
    <n v="6735957.7500000028"/>
    <s v="Trsf"/>
    <m/>
    <m/>
  </r>
  <r>
    <x v="771"/>
    <n v="6"/>
    <n v="2025"/>
    <x v="1243"/>
    <s v="C00000042"/>
    <x v="43"/>
    <s v="RM CSM 450 1040mm(W) (30kg)"/>
    <n v="12"/>
    <s v="Cash"/>
    <x v="0"/>
    <d v="2025-06-12T00:00:00"/>
    <x v="1"/>
    <x v="7"/>
    <n v="2124"/>
    <m/>
    <n v="2124"/>
    <n v="6738081.7500000028"/>
    <s v="Trsf"/>
    <m/>
    <m/>
  </r>
  <r>
    <x v="771"/>
    <n v="6"/>
    <n v="2025"/>
    <x v="1243"/>
    <s v="C00000042"/>
    <x v="43"/>
    <s v="RA Woven Roving E-600gm 1120mm (45Kg)"/>
    <n v="15"/>
    <s v="Cash"/>
    <x v="0"/>
    <d v="2025-06-12T00:00:00"/>
    <x v="1"/>
    <x v="7"/>
    <n v="3712.5"/>
    <m/>
    <n v="3712.5"/>
    <n v="6741794.2500000028"/>
    <s v="Trsf"/>
    <m/>
    <m/>
  </r>
  <r>
    <x v="772"/>
    <n v="6"/>
    <n v="2025"/>
    <x v="1244"/>
    <s v="C00000044"/>
    <x v="46"/>
    <s v="RO Resin 8213WPT (225Kg)"/>
    <n v="1"/>
    <s v="Cash"/>
    <x v="0"/>
    <d v="2025-06-13T00:00:00"/>
    <x v="1"/>
    <x v="7"/>
    <n v="1687.5"/>
    <n v="-1687.5"/>
    <n v="0"/>
    <n v="6743481.7500000028"/>
    <s v="Cash"/>
    <s v="Trsf 24/6/25 RM2,697.00"/>
    <m/>
  </r>
  <r>
    <x v="772"/>
    <n v="6"/>
    <n v="2025"/>
    <x v="1244"/>
    <s v="C00000044"/>
    <x v="46"/>
    <s v="RA CSM 450 1040mm (30kg)"/>
    <n v="2"/>
    <s v="Cash"/>
    <x v="0"/>
    <d v="2025-06-13T00:00:00"/>
    <x v="1"/>
    <x v="7"/>
    <n v="432"/>
    <n v="-432"/>
    <n v="0"/>
    <n v="6743913.7500000028"/>
    <s v="Cash"/>
    <s v="Trsf 24/6/25 RM2,697.00"/>
    <m/>
  </r>
  <r>
    <x v="772"/>
    <n v="6"/>
    <n v="2025"/>
    <x v="1244"/>
    <s v="C00000044"/>
    <x v="46"/>
    <s v="RM Pigment Light Grey G1 (5kg)"/>
    <n v="1"/>
    <s v="Cash"/>
    <x v="0"/>
    <d v="2025-06-13T00:00:00"/>
    <x v="1"/>
    <x v="7"/>
    <n v="165"/>
    <n v="-165"/>
    <n v="0"/>
    <n v="6744078.7500000028"/>
    <s v="Cash"/>
    <s v="Trsf 24/6/25 RM2,697.00"/>
    <m/>
  </r>
  <r>
    <x v="772"/>
    <n v="6"/>
    <n v="2025"/>
    <x v="1244"/>
    <s v="C00000044"/>
    <x v="46"/>
    <s v="RA Honeycomb 19mm - 1220(W) x 2440(L)"/>
    <n v="2"/>
    <s v="Cash"/>
    <x v="0"/>
    <d v="2025-06-13T00:00:00"/>
    <x v="1"/>
    <x v="7"/>
    <n v="350"/>
    <n v="-350"/>
    <n v="0"/>
    <n v="6744428.7500000028"/>
    <s v="Cash"/>
    <s v="Trsf 24/6/25 RM2,697.00"/>
    <m/>
  </r>
  <r>
    <x v="772"/>
    <n v="6"/>
    <n v="2025"/>
    <x v="1244"/>
    <s v="C00000044"/>
    <x v="46"/>
    <s v="RQ Talcum Powder (25Kg)"/>
    <n v="1"/>
    <s v="Cash"/>
    <x v="0"/>
    <d v="2025-06-13T00:00:00"/>
    <x v="1"/>
    <x v="7"/>
    <n v="62.5"/>
    <n v="-62.5"/>
    <n v="0"/>
    <n v="6744491.2500000028"/>
    <s v="Cash"/>
    <s v="Trsf 24/6/25 RM2,697.00"/>
    <m/>
  </r>
  <r>
    <x v="772"/>
    <n v="6"/>
    <n v="2025"/>
    <x v="1245"/>
    <s v="C00000041"/>
    <x v="42"/>
    <s v="RA Resin 9509wax (225kg)"/>
    <n v="1"/>
    <s v="Cash"/>
    <x v="0"/>
    <d v="2025-06-13T00:00:00"/>
    <x v="1"/>
    <x v="7"/>
    <n v="1687.5"/>
    <n v="-1687.5"/>
    <n v="0"/>
    <n v="6746178.7500000028"/>
    <s v="Trsf"/>
    <s v="Trsf 13/6/25 RM2,173.50"/>
    <m/>
  </r>
  <r>
    <x v="772"/>
    <n v="6"/>
    <n v="2025"/>
    <x v="1245"/>
    <s v="C00000041"/>
    <x v="42"/>
    <s v="RM Steel Roller 4&quot; "/>
    <n v="1"/>
    <s v="Cash"/>
    <x v="0"/>
    <d v="2025-06-13T00:00:00"/>
    <x v="1"/>
    <x v="7"/>
    <n v="48"/>
    <n v="-48"/>
    <n v="0"/>
    <n v="6746226.7500000028"/>
    <s v="Trsf"/>
    <s v="Trsf 13/6/25 RM2,173.50"/>
    <m/>
  </r>
  <r>
    <x v="772"/>
    <n v="6"/>
    <n v="2025"/>
    <x v="1245"/>
    <s v="C00000041"/>
    <x v="42"/>
    <s v="RA CSM 300 1040mm(W) (30kg)"/>
    <n v="2"/>
    <s v="Cash"/>
    <x v="0"/>
    <d v="2025-06-13T00:00:00"/>
    <x v="1"/>
    <x v="7"/>
    <n v="438"/>
    <n v="-438"/>
    <n v="0"/>
    <n v="6746664.7500000028"/>
    <s v="Trsf"/>
    <s v="Trsf 13/6/25 RM2,173.50"/>
    <m/>
  </r>
  <r>
    <x v="773"/>
    <n v="6"/>
    <n v="2025"/>
    <x v="1246"/>
    <s v="C00000062"/>
    <x v="66"/>
    <s v="RA Resin 268BQT (225kg)"/>
    <n v="1"/>
    <s v="Cash"/>
    <x v="0"/>
    <d v="2025-06-16T00:00:00"/>
    <x v="1"/>
    <x v="7"/>
    <n v="1732.5"/>
    <n v="-1732.5"/>
    <n v="0"/>
    <n v="6748397.2500000028"/>
    <s v="Cash"/>
    <s v="Trsf 23/6/25 RM4,660.00"/>
    <m/>
  </r>
  <r>
    <x v="773"/>
    <n v="6"/>
    <n v="2025"/>
    <x v="1246"/>
    <s v="C00000062"/>
    <x v="66"/>
    <s v="RM Gelcoat NPG 9319-H (225kg)"/>
    <n v="1"/>
    <s v="Cash"/>
    <x v="0"/>
    <d v="2025-06-16T00:00:00"/>
    <x v="1"/>
    <x v="7"/>
    <n v="2812.5"/>
    <n v="-2812.5"/>
    <n v="0"/>
    <n v="6751209.7500000028"/>
    <s v="Cash"/>
    <s v="Trsf 23/6/25 RM4,660.00"/>
    <m/>
  </r>
  <r>
    <x v="773"/>
    <n v="6"/>
    <n v="2025"/>
    <x v="1246"/>
    <s v="C00000062"/>
    <x v="66"/>
    <s v="RA Butanox M50 (5kg)"/>
    <n v="1"/>
    <s v="Cash"/>
    <x v="0"/>
    <d v="2025-06-16T00:00:00"/>
    <x v="1"/>
    <x v="7"/>
    <n v="115"/>
    <n v="-115"/>
    <n v="0"/>
    <n v="6751324.7500000028"/>
    <s v="Cash"/>
    <s v="Trsf 23/6/25 RM4,660.00"/>
    <m/>
  </r>
  <r>
    <x v="774"/>
    <n v="6"/>
    <n v="2025"/>
    <x v="1247"/>
    <s v="C00000050"/>
    <x v="52"/>
    <s v="RO Resin 8213WPT (225Kg)"/>
    <n v="1"/>
    <s v="Cash"/>
    <x v="0"/>
    <d v="2025-06-14T00:00:00"/>
    <x v="1"/>
    <x v="7"/>
    <n v="1710"/>
    <m/>
    <n v="1710"/>
    <n v="6753034.7500000028"/>
    <s v="Cash"/>
    <m/>
    <m/>
  </r>
  <r>
    <x v="774"/>
    <n v="6"/>
    <n v="2025"/>
    <x v="1247"/>
    <s v="C00000050"/>
    <x v="52"/>
    <s v="RA CSM 450 1040mm(W) (37kg)"/>
    <n v="2"/>
    <s v="Cash"/>
    <x v="0"/>
    <d v="2025-06-14T00:00:00"/>
    <x v="1"/>
    <x v="7"/>
    <n v="555"/>
    <m/>
    <n v="555"/>
    <n v="6753589.7500000028"/>
    <s v="Cash"/>
    <m/>
    <m/>
  </r>
  <r>
    <x v="774"/>
    <n v="6"/>
    <n v="2025"/>
    <x v="1247"/>
    <s v="C00000050"/>
    <x v="52"/>
    <s v="RA Mepoxe (5kg)"/>
    <n v="1"/>
    <s v="Cash"/>
    <x v="0"/>
    <d v="2025-06-14T00:00:00"/>
    <x v="1"/>
    <x v="7"/>
    <n v="95"/>
    <m/>
    <n v="95"/>
    <n v="6753684.7500000028"/>
    <s v="Cash"/>
    <m/>
    <m/>
  </r>
  <r>
    <x v="773"/>
    <n v="6"/>
    <n v="2025"/>
    <x v="1248"/>
    <s v="C00000042"/>
    <x v="43"/>
    <s v="RQ Talcum Powder (25Kg)"/>
    <n v="2"/>
    <s v="Cash"/>
    <x v="0"/>
    <d v="2025-06-16T00:00:00"/>
    <x v="1"/>
    <x v="7"/>
    <n v="125"/>
    <m/>
    <n v="125"/>
    <n v="6753809.7500000028"/>
    <s v="Trsf"/>
    <m/>
    <m/>
  </r>
  <r>
    <x v="773"/>
    <n v="6"/>
    <n v="2025"/>
    <x v="1249"/>
    <s v="C00000042"/>
    <x v="43"/>
    <s v="RO Resin 8213WPT (225kg)"/>
    <n v="5"/>
    <s v="Cash"/>
    <x v="0"/>
    <d v="2025-06-16T00:00:00"/>
    <x v="1"/>
    <x v="7"/>
    <n v="8100"/>
    <m/>
    <n v="8100"/>
    <n v="6761909.7500000028"/>
    <s v="Trsf"/>
    <m/>
    <m/>
  </r>
  <r>
    <x v="773"/>
    <n v="6"/>
    <n v="2025"/>
    <x v="1249"/>
    <s v="C00000042"/>
    <x v="43"/>
    <s v="RM CSM 450 1040mm(W) (30kg)"/>
    <n v="15"/>
    <s v="Cash"/>
    <x v="0"/>
    <d v="2025-06-16T00:00:00"/>
    <x v="1"/>
    <x v="7"/>
    <n v="2655"/>
    <m/>
    <n v="2655"/>
    <n v="6764564.7500000028"/>
    <s v="Trsf"/>
    <m/>
    <m/>
  </r>
  <r>
    <x v="773"/>
    <n v="6"/>
    <n v="2025"/>
    <x v="1249"/>
    <s v="C00000042"/>
    <x v="43"/>
    <s v="RA Woven Roving E-600gm 1120mm (45Kg)"/>
    <n v="8"/>
    <s v="Cash"/>
    <x v="0"/>
    <d v="2025-06-16T00:00:00"/>
    <x v="1"/>
    <x v="7"/>
    <n v="1980"/>
    <m/>
    <n v="1980"/>
    <n v="6766544.7500000028"/>
    <s v="Trsf"/>
    <m/>
    <m/>
  </r>
  <r>
    <x v="773"/>
    <n v="6"/>
    <n v="2025"/>
    <x v="1249"/>
    <s v="C00000042"/>
    <x v="43"/>
    <s v="RM Pigment Paste Smooth Cream M19 (25Kg)"/>
    <n v="1"/>
    <s v="Cash"/>
    <x v="0"/>
    <d v="2025-06-16T00:00:00"/>
    <x v="1"/>
    <x v="7"/>
    <n v="1000"/>
    <m/>
    <n v="1000"/>
    <n v="6767544.7500000028"/>
    <s v="Trsf"/>
    <m/>
    <m/>
  </r>
  <r>
    <x v="773"/>
    <n v="6"/>
    <n v="2025"/>
    <x v="1249"/>
    <s v="C00000042"/>
    <x v="43"/>
    <s v="RA Mepoxe (5kg)"/>
    <n v="4"/>
    <s v="Cash"/>
    <x v="0"/>
    <d v="2025-06-16T00:00:00"/>
    <x v="1"/>
    <x v="7"/>
    <n v="380"/>
    <m/>
    <n v="380"/>
    <n v="6767924.7500000028"/>
    <s v="Trsf"/>
    <m/>
    <m/>
  </r>
  <r>
    <x v="775"/>
    <n v="6"/>
    <n v="2025"/>
    <x v="1250"/>
    <s v="C00000003"/>
    <x v="2"/>
    <s v="RA Resin 2100BQT-L (225Kg)"/>
    <n v="1"/>
    <n v="45"/>
    <x v="1"/>
    <d v="2025-08-01T00:00:00"/>
    <x v="2"/>
    <x v="7"/>
    <n v="1687.5"/>
    <n v="-1300"/>
    <n v="387.5"/>
    <n v="6769612.2500000028"/>
    <s v="PD Chq"/>
    <s v="AIBB 001044 28/7/25 RM1,300.00(RM1,300.00)"/>
    <m/>
  </r>
  <r>
    <x v="775"/>
    <n v="6"/>
    <n v="2025"/>
    <x v="1250"/>
    <s v="C00000003"/>
    <x v="2"/>
    <s v="RA Butanox M50 (5Kg)"/>
    <n v="2"/>
    <n v="45"/>
    <x v="1"/>
    <d v="2025-08-01T00:00:00"/>
    <x v="2"/>
    <x v="7"/>
    <n v="220"/>
    <m/>
    <n v="220"/>
    <n v="6769832.2500000028"/>
    <s v="PD Chq"/>
    <m/>
    <m/>
  </r>
  <r>
    <x v="775"/>
    <n v="6"/>
    <n v="2025"/>
    <x v="1250"/>
    <s v="C00000003"/>
    <x v="2"/>
    <s v="RQ Talcum Powder (25kg)"/>
    <n v="2"/>
    <n v="45"/>
    <x v="1"/>
    <d v="2025-08-01T00:00:00"/>
    <x v="2"/>
    <x v="7"/>
    <n v="130"/>
    <m/>
    <n v="130"/>
    <n v="6769962.2500000028"/>
    <s v="PD Chq"/>
    <m/>
    <m/>
  </r>
  <r>
    <x v="775"/>
    <n v="6"/>
    <n v="2025"/>
    <x v="1250"/>
    <s v="C00000003"/>
    <x v="2"/>
    <s v="RM TR104 Hi Temp Wax"/>
    <n v="3"/>
    <n v="45"/>
    <x v="1"/>
    <d v="2025-08-01T00:00:00"/>
    <x v="2"/>
    <x v="7"/>
    <n v="540"/>
    <m/>
    <n v="540"/>
    <n v="6770502.2500000028"/>
    <s v="PD Chq"/>
    <m/>
    <m/>
  </r>
  <r>
    <x v="776"/>
    <n v="6"/>
    <n v="2025"/>
    <x v="1251"/>
    <s v="C00000019"/>
    <x v="18"/>
    <s v="RA Resin 268BQT (225Kg)"/>
    <n v="1"/>
    <s v="Cash"/>
    <x v="0"/>
    <d v="2025-06-19T00:00:00"/>
    <x v="1"/>
    <x v="7"/>
    <n v="1710"/>
    <m/>
    <n v="1710"/>
    <n v="6772212.2500000028"/>
    <s v="Trsf"/>
    <m/>
    <m/>
  </r>
  <r>
    <x v="776"/>
    <n v="6"/>
    <n v="2025"/>
    <x v="1251"/>
    <s v="C00000019"/>
    <x v="18"/>
    <s v="RM CSM 450 1860mm(W) (54kg)"/>
    <n v="1"/>
    <s v="Cash"/>
    <x v="0"/>
    <d v="2025-06-19T00:00:00"/>
    <x v="1"/>
    <x v="7"/>
    <n v="405"/>
    <m/>
    <n v="405"/>
    <n v="6772617.2500000028"/>
    <s v="Trsf"/>
    <m/>
    <m/>
  </r>
  <r>
    <x v="776"/>
    <n v="6"/>
    <n v="2025"/>
    <x v="1251"/>
    <s v="C00000019"/>
    <x v="18"/>
    <s v="RA Butanox M50 (5kg)"/>
    <n v="1"/>
    <s v="Cash"/>
    <x v="0"/>
    <d v="2025-06-19T00:00:00"/>
    <x v="1"/>
    <x v="7"/>
    <n v="110"/>
    <m/>
    <n v="110"/>
    <n v="6772727.2500000028"/>
    <s v="Trsf"/>
    <m/>
    <m/>
  </r>
  <r>
    <x v="776"/>
    <n v="6"/>
    <n v="2025"/>
    <x v="1251"/>
    <s v="C00000019"/>
    <x v="18"/>
    <s v="RQ Talcum Powder (25kg)"/>
    <n v="3"/>
    <s v="Cash"/>
    <x v="0"/>
    <d v="2025-06-19T00:00:00"/>
    <x v="1"/>
    <x v="7"/>
    <n v="187.5"/>
    <m/>
    <n v="187.5"/>
    <n v="6772914.7500000028"/>
    <s v="Trsf"/>
    <m/>
    <m/>
  </r>
  <r>
    <x v="776"/>
    <n v="6"/>
    <n v="2025"/>
    <x v="1251"/>
    <s v="C00000019"/>
    <x v="18"/>
    <s v="RO Gelcoat LB9888 (22kg)"/>
    <n v="1"/>
    <s v="Cash"/>
    <x v="0"/>
    <d v="2025-06-19T00:00:00"/>
    <x v="1"/>
    <x v="7"/>
    <n v="283.8"/>
    <m/>
    <n v="283.8"/>
    <n v="6773198.5500000026"/>
    <s v="Trsf"/>
    <m/>
    <m/>
  </r>
  <r>
    <x v="776"/>
    <n v="6"/>
    <n v="2025"/>
    <x v="1252"/>
    <s v="C00000042"/>
    <x v="43"/>
    <s v="RQ Talcum Powder (25Kg)"/>
    <n v="1"/>
    <s v="Cash"/>
    <x v="0"/>
    <d v="2025-06-19T00:00:00"/>
    <x v="1"/>
    <x v="7"/>
    <n v="62.5"/>
    <m/>
    <n v="62.5"/>
    <n v="6773261.0500000026"/>
    <s v="Trsf"/>
    <m/>
    <m/>
  </r>
  <r>
    <x v="776"/>
    <n v="6"/>
    <n v="2025"/>
    <x v="1253"/>
    <s v="C00000042"/>
    <x v="43"/>
    <s v="RA Resin 2100BQT-L (225Kg)"/>
    <n v="2"/>
    <s v="Cash"/>
    <x v="0"/>
    <d v="2025-06-19T00:00:00"/>
    <x v="1"/>
    <x v="7"/>
    <n v="3240"/>
    <m/>
    <n v="3240"/>
    <n v="6776501.0500000026"/>
    <s v="Trsf"/>
    <m/>
    <m/>
  </r>
  <r>
    <x v="776"/>
    <n v="6"/>
    <n v="2025"/>
    <x v="1253"/>
    <s v="C00000042"/>
    <x v="43"/>
    <s v="RM CSM 450 1040mm(W) (30kg)"/>
    <n v="6"/>
    <s v="Cash"/>
    <x v="0"/>
    <d v="2025-06-19T00:00:00"/>
    <x v="1"/>
    <x v="7"/>
    <n v="1062"/>
    <m/>
    <n v="1062"/>
    <n v="6777563.0500000026"/>
    <s v="Trsf"/>
    <m/>
    <m/>
  </r>
  <r>
    <x v="776"/>
    <n v="6"/>
    <n v="2025"/>
    <x v="1253"/>
    <s v="C00000042"/>
    <x v="43"/>
    <s v="RA Woven Roving E-600gm 1120mm (45Kg)"/>
    <n v="2"/>
    <s v="Cash"/>
    <x v="0"/>
    <d v="2025-06-19T00:00:00"/>
    <x v="1"/>
    <x v="7"/>
    <n v="495"/>
    <m/>
    <n v="495"/>
    <n v="6778058.0500000026"/>
    <s v="Trsf"/>
    <m/>
    <m/>
  </r>
  <r>
    <x v="776"/>
    <n v="6"/>
    <n v="2025"/>
    <x v="1253"/>
    <s v="C00000042"/>
    <x v="43"/>
    <s v="RA Mepoxe (5kg)"/>
    <n v="4"/>
    <s v="Cash"/>
    <x v="0"/>
    <d v="2025-06-19T00:00:00"/>
    <x v="1"/>
    <x v="7"/>
    <n v="380"/>
    <m/>
    <n v="380"/>
    <n v="6778438.0500000026"/>
    <s v="Trsf"/>
    <m/>
    <m/>
  </r>
  <r>
    <x v="776"/>
    <n v="6"/>
    <n v="2025"/>
    <x v="1253"/>
    <s v="C00000042"/>
    <x v="43"/>
    <s v="RM Pigment Paste Smooth Cream M19 (25Kg)"/>
    <n v="1"/>
    <s v="Cash"/>
    <x v="0"/>
    <d v="2025-06-19T00:00:00"/>
    <x v="1"/>
    <x v="7"/>
    <n v="1000"/>
    <m/>
    <n v="1000"/>
    <n v="6779438.0500000026"/>
    <s v="Trsf"/>
    <m/>
    <m/>
  </r>
  <r>
    <x v="777"/>
    <n v="6"/>
    <n v="2025"/>
    <x v="1254"/>
    <s v="C00000042"/>
    <x v="43"/>
    <s v="RQ Talcum Powder (25Kg)"/>
    <n v="3"/>
    <s v="Cash"/>
    <x v="0"/>
    <d v="2025-06-21T00:00:00"/>
    <x v="1"/>
    <x v="7"/>
    <n v="187.5"/>
    <m/>
    <n v="187.5"/>
    <n v="6779625.5500000026"/>
    <s v="Trsf"/>
    <m/>
    <m/>
  </r>
  <r>
    <x v="777"/>
    <n v="6"/>
    <n v="2025"/>
    <x v="1255"/>
    <s v="C00000042"/>
    <x v="43"/>
    <s v="RA Resin 2100BQT-L (225Kg)"/>
    <n v="5"/>
    <s v="Cash"/>
    <x v="0"/>
    <d v="2025-06-21T00:00:00"/>
    <x v="1"/>
    <x v="7"/>
    <n v="8100"/>
    <m/>
    <n v="8100"/>
    <n v="6787725.5500000026"/>
    <s v="Trsf"/>
    <m/>
    <m/>
  </r>
  <r>
    <x v="777"/>
    <n v="6"/>
    <n v="2025"/>
    <x v="1255"/>
    <s v="C00000042"/>
    <x v="43"/>
    <s v="RM CSM 450 1040mm(W) (30kg)"/>
    <n v="15"/>
    <s v="Cash"/>
    <x v="0"/>
    <d v="2025-06-21T00:00:00"/>
    <x v="1"/>
    <x v="7"/>
    <n v="2655"/>
    <m/>
    <n v="2655"/>
    <n v="6790380.5500000026"/>
    <s v="Trsf"/>
    <m/>
    <m/>
  </r>
  <r>
    <x v="777"/>
    <n v="6"/>
    <n v="2025"/>
    <x v="1255"/>
    <s v="C00000042"/>
    <x v="43"/>
    <s v="RA Woven Roving E-600gm 1120mm (45Kg)"/>
    <n v="8"/>
    <s v="Cash"/>
    <x v="0"/>
    <d v="2025-06-21T00:00:00"/>
    <x v="1"/>
    <x v="7"/>
    <n v="1980"/>
    <m/>
    <n v="1980"/>
    <n v="6792360.5500000026"/>
    <s v="Trsf"/>
    <m/>
    <m/>
  </r>
  <r>
    <x v="777"/>
    <n v="6"/>
    <n v="2025"/>
    <x v="1255"/>
    <s v="C00000042"/>
    <x v="43"/>
    <s v="RA Mepoxe (5kg)"/>
    <n v="4"/>
    <s v="Cash"/>
    <x v="0"/>
    <d v="2025-06-21T00:00:00"/>
    <x v="1"/>
    <x v="7"/>
    <n v="380"/>
    <m/>
    <n v="380"/>
    <n v="6792740.5500000026"/>
    <s v="Trsf"/>
    <m/>
    <m/>
  </r>
  <r>
    <x v="777"/>
    <n v="6"/>
    <n v="2025"/>
    <x v="1255"/>
    <s v="C00000042"/>
    <x v="43"/>
    <s v="RM Pigment Paste Smooth Cream M19 (25Kg)"/>
    <n v="1"/>
    <s v="Cash"/>
    <x v="0"/>
    <d v="2025-06-21T00:00:00"/>
    <x v="1"/>
    <x v="7"/>
    <n v="1000"/>
    <m/>
    <n v="1000"/>
    <n v="6793740.5500000026"/>
    <s v="Trsf"/>
    <m/>
    <m/>
  </r>
  <r>
    <x v="778"/>
    <n v="6"/>
    <n v="2025"/>
    <x v="1256"/>
    <s v="C00000061"/>
    <x v="63"/>
    <s v="RA Resin 268BQT (225Kg)"/>
    <n v="1"/>
    <s v="Cash"/>
    <x v="0"/>
    <d v="2025-06-25T00:00:00"/>
    <x v="1"/>
    <x v="7"/>
    <n v="1642.5"/>
    <m/>
    <n v="1642.5"/>
    <n v="6795383.0500000026"/>
    <s v="Cash"/>
    <m/>
    <m/>
  </r>
  <r>
    <x v="778"/>
    <n v="6"/>
    <n v="2025"/>
    <x v="1256"/>
    <s v="C00000061"/>
    <x v="63"/>
    <s v="RQ Talcum Powder (25kg)"/>
    <n v="4"/>
    <s v="Cash"/>
    <x v="0"/>
    <d v="2025-06-25T00:00:00"/>
    <x v="1"/>
    <x v="7"/>
    <n v="230"/>
    <m/>
    <n v="230"/>
    <n v="6795613.0500000026"/>
    <s v="Cash"/>
    <m/>
    <m/>
  </r>
  <r>
    <x v="778"/>
    <n v="6"/>
    <n v="2025"/>
    <x v="1257"/>
    <s v="C00000042"/>
    <x v="43"/>
    <s v="RQ Talcum Powder (25Kg)"/>
    <n v="3"/>
    <s v="Cash"/>
    <x v="0"/>
    <d v="2025-06-25T00:00:00"/>
    <x v="1"/>
    <x v="7"/>
    <n v="187.5"/>
    <m/>
    <n v="187.5"/>
    <n v="6795800.5500000026"/>
    <s v="Trsf"/>
    <m/>
    <m/>
  </r>
  <r>
    <x v="778"/>
    <n v="6"/>
    <n v="2025"/>
    <x v="1258"/>
    <s v="C00000042"/>
    <x v="43"/>
    <s v="RA Resin 2100BQT-L (225Kg)"/>
    <n v="5"/>
    <s v="Cash"/>
    <x v="0"/>
    <d v="2025-06-25T00:00:00"/>
    <x v="1"/>
    <x v="7"/>
    <n v="8100"/>
    <m/>
    <n v="8100"/>
    <n v="6803900.5500000026"/>
    <s v="Trsf"/>
    <m/>
    <m/>
  </r>
  <r>
    <x v="778"/>
    <n v="6"/>
    <n v="2025"/>
    <x v="1258"/>
    <s v="C00000042"/>
    <x v="43"/>
    <s v="RM CSM 450 1040mm(W) (30kg)"/>
    <n v="12"/>
    <s v="Cash"/>
    <x v="0"/>
    <d v="2025-06-25T00:00:00"/>
    <x v="1"/>
    <x v="7"/>
    <n v="2124"/>
    <m/>
    <n v="2124"/>
    <n v="6806024.5500000026"/>
    <s v="Trsf"/>
    <m/>
    <m/>
  </r>
  <r>
    <x v="778"/>
    <n v="6"/>
    <n v="2025"/>
    <x v="1258"/>
    <s v="C00000042"/>
    <x v="43"/>
    <s v="RA Woven Roving E-600gm 1120mm (45Kg)"/>
    <n v="7"/>
    <s v="Cash"/>
    <x v="0"/>
    <d v="2025-06-25T00:00:00"/>
    <x v="1"/>
    <x v="7"/>
    <n v="1732.5"/>
    <m/>
    <n v="1732.5"/>
    <n v="6807757.0500000026"/>
    <s v="Trsf"/>
    <m/>
    <m/>
  </r>
  <r>
    <x v="778"/>
    <n v="6"/>
    <n v="2025"/>
    <x v="1258"/>
    <s v="C00000042"/>
    <x v="43"/>
    <s v="RA Butanox M50 (5kg)"/>
    <n v="4"/>
    <s v="Cash"/>
    <x v="0"/>
    <d v="2025-06-25T00:00:00"/>
    <x v="1"/>
    <x v="7"/>
    <n v="460"/>
    <m/>
    <n v="460"/>
    <n v="6808217.0500000026"/>
    <s v="Trsf"/>
    <m/>
    <m/>
  </r>
  <r>
    <x v="778"/>
    <n v="6"/>
    <n v="2025"/>
    <x v="1258"/>
    <s v="C00000042"/>
    <x v="43"/>
    <s v="RM Pigment Paste Riviera Blue B5 (25Kg)"/>
    <n v="1"/>
    <s v="Cash"/>
    <x v="0"/>
    <d v="2025-06-25T00:00:00"/>
    <x v="1"/>
    <x v="7"/>
    <n v="975"/>
    <m/>
    <n v="975"/>
    <n v="6809192.0500000026"/>
    <s v="Trsf"/>
    <m/>
    <m/>
  </r>
  <r>
    <x v="779"/>
    <n v="6"/>
    <n v="2025"/>
    <x v="1259"/>
    <s v="C00000010"/>
    <x v="9"/>
    <s v="RO Resin 8213WPT (225kg)"/>
    <n v="10"/>
    <n v="120"/>
    <x v="2"/>
    <d v="2025-10-24T00:00:00"/>
    <x v="3"/>
    <x v="7"/>
    <n v="15525"/>
    <m/>
    <n v="15525"/>
    <n v="6824717.0500000026"/>
    <s v="Trsf"/>
    <m/>
    <m/>
  </r>
  <r>
    <x v="779"/>
    <n v="6"/>
    <n v="2025"/>
    <x v="1259"/>
    <s v="C00000010"/>
    <x v="9"/>
    <s v="RA CSM 450 1040mm(W) (30kg)"/>
    <n v="15"/>
    <n v="120"/>
    <x v="2"/>
    <d v="2025-10-24T00:00:00"/>
    <x v="3"/>
    <x v="7"/>
    <n v="2610"/>
    <m/>
    <n v="2610"/>
    <n v="6827327.0500000026"/>
    <s v="Trsf"/>
    <m/>
    <m/>
  </r>
  <r>
    <x v="779"/>
    <n v="6"/>
    <n v="2025"/>
    <x v="1259"/>
    <s v="C00000010"/>
    <x v="9"/>
    <s v="RD Brush 3&quot; (12Pc)"/>
    <n v="4"/>
    <n v="120"/>
    <x v="2"/>
    <d v="2025-10-24T00:00:00"/>
    <x v="3"/>
    <x v="7"/>
    <n v="230.4"/>
    <m/>
    <n v="230.4"/>
    <n v="6827557.450000003"/>
    <s v="Trsf"/>
    <m/>
    <m/>
  </r>
  <r>
    <x v="779"/>
    <n v="6"/>
    <n v="2025"/>
    <x v="1259"/>
    <s v="C00000010"/>
    <x v="9"/>
    <s v="RA Butanox M50 (5kg)"/>
    <n v="8"/>
    <n v="120"/>
    <x v="2"/>
    <d v="2025-10-24T00:00:00"/>
    <x v="3"/>
    <x v="7"/>
    <n v="880"/>
    <m/>
    <n v="880"/>
    <n v="6828437.450000003"/>
    <s v="Trsf"/>
    <m/>
    <m/>
  </r>
  <r>
    <x v="780"/>
    <n v="6"/>
    <n v="2025"/>
    <x v="1260"/>
    <s v="C00000044"/>
    <x v="46"/>
    <s v="RA Resin 268BQT (225Kg)"/>
    <n v="1"/>
    <s v="Cash"/>
    <x v="0"/>
    <d v="2025-06-28T00:00:00"/>
    <x v="1"/>
    <x v="7"/>
    <n v="1687.5"/>
    <n v="-1687.5"/>
    <n v="0"/>
    <n v="6830124.950000003"/>
    <s v="Cash"/>
    <s v="Trsf 30/6/25 RM2,644.50"/>
    <m/>
  </r>
  <r>
    <x v="780"/>
    <n v="6"/>
    <n v="2025"/>
    <x v="1260"/>
    <s v="C00000044"/>
    <x v="46"/>
    <s v="RA CSM 450 1040mm (30kg)"/>
    <n v="2"/>
    <s v="Cash"/>
    <x v="0"/>
    <d v="2025-06-28T00:00:00"/>
    <x v="1"/>
    <x v="7"/>
    <n v="432"/>
    <n v="-432"/>
    <n v="0"/>
    <n v="6830556.950000003"/>
    <s v="Cash"/>
    <s v="Trsf 30/6/25 RM2,644.50"/>
    <m/>
  </r>
  <r>
    <x v="780"/>
    <n v="6"/>
    <n v="2025"/>
    <x v="1260"/>
    <s v="C00000044"/>
    <x v="46"/>
    <s v="RA Honeycomb 19mm - 1220(W) x 2440(L)"/>
    <n v="3"/>
    <s v="Cash"/>
    <x v="0"/>
    <d v="2025-06-28T00:00:00"/>
    <x v="1"/>
    <x v="7"/>
    <n v="525"/>
    <n v="-525"/>
    <n v="0"/>
    <n v="6831081.950000003"/>
    <s v="Cash"/>
    <s v="Trsf 30/6/25 RM2,644.50"/>
    <m/>
  </r>
  <r>
    <x v="781"/>
    <n v="6"/>
    <n v="2025"/>
    <x v="1261"/>
    <s v="C00000013"/>
    <x v="64"/>
    <s v="Gelcoat (22kg)"/>
    <n v="6"/>
    <s v="Cash"/>
    <x v="0"/>
    <d v="2025-06-30T00:00:00"/>
    <x v="1"/>
    <x v="7"/>
    <n v="1702.8"/>
    <n v="-1702.8"/>
    <n v="0"/>
    <n v="6832784.7500000028"/>
    <s v="Chq"/>
    <s v="Trsf 30/6/25 RM2,487.80"/>
    <m/>
  </r>
  <r>
    <x v="781"/>
    <n v="6"/>
    <n v="2025"/>
    <x v="1261"/>
    <s v="C00000013"/>
    <x v="64"/>
    <s v="Pigment Grey G13 (15kg)"/>
    <n v="1"/>
    <s v="Cash"/>
    <x v="0"/>
    <d v="2025-06-30T00:00:00"/>
    <x v="1"/>
    <x v="7"/>
    <n v="525"/>
    <n v="-525"/>
    <n v="0"/>
    <n v="6833309.7500000028"/>
    <s v="Chq"/>
    <s v="Trsf 30/6/25 RM2,487.80"/>
    <m/>
  </r>
  <r>
    <x v="781"/>
    <n v="6"/>
    <n v="2025"/>
    <x v="1261"/>
    <s v="C00000013"/>
    <x v="64"/>
    <s v="Accelerator (4kg)"/>
    <n v="1"/>
    <s v="Cash"/>
    <x v="0"/>
    <d v="2025-06-30T00:00:00"/>
    <x v="1"/>
    <x v="7"/>
    <n v="260"/>
    <n v="-260"/>
    <n v="0"/>
    <n v="6833569.7500000028"/>
    <s v="Chq"/>
    <s v="Trsf 30/6/25 RM2,487.80"/>
    <m/>
  </r>
  <r>
    <x v="782"/>
    <n v="7"/>
    <n v="2025"/>
    <x v="1262"/>
    <s v="C00000042"/>
    <x v="43"/>
    <s v="RQ Talcum Powder (25Kg)"/>
    <n v="1"/>
    <s v="Cash"/>
    <x v="0"/>
    <d v="2025-07-01T00:00:00"/>
    <x v="4"/>
    <x v="7"/>
    <n v="62.5"/>
    <m/>
    <n v="62.5"/>
    <n v="6833632.2500000028"/>
    <s v="Trsf"/>
    <m/>
    <m/>
  </r>
  <r>
    <x v="782"/>
    <n v="7"/>
    <n v="2025"/>
    <x v="1263"/>
    <s v="C00000042"/>
    <x v="43"/>
    <s v="RA Resin 2100BQT-L (225Kg)"/>
    <n v="2"/>
    <s v="Cash"/>
    <x v="0"/>
    <d v="2025-07-01T00:00:00"/>
    <x v="4"/>
    <x v="7"/>
    <n v="3240"/>
    <m/>
    <n v="3240"/>
    <n v="6836872.2500000028"/>
    <s v="Trsf"/>
    <m/>
    <m/>
  </r>
  <r>
    <x v="782"/>
    <n v="7"/>
    <n v="2025"/>
    <x v="1263"/>
    <s v="C00000042"/>
    <x v="43"/>
    <s v="RM CSM 450 1040mm(W) (30kg)"/>
    <n v="6"/>
    <s v="Cash"/>
    <x v="0"/>
    <d v="2025-07-01T00:00:00"/>
    <x v="4"/>
    <x v="7"/>
    <n v="1062"/>
    <m/>
    <n v="1062"/>
    <n v="6837934.2500000028"/>
    <s v="Trsf"/>
    <m/>
    <m/>
  </r>
  <r>
    <x v="782"/>
    <n v="7"/>
    <n v="2025"/>
    <x v="1263"/>
    <s v="C00000042"/>
    <x v="43"/>
    <s v="RA Woven Roving E-600gm 1120mm (45Kg)"/>
    <n v="3"/>
    <s v="Cash"/>
    <x v="0"/>
    <d v="2025-07-01T00:00:00"/>
    <x v="4"/>
    <x v="7"/>
    <n v="742.5"/>
    <m/>
    <n v="742.5"/>
    <n v="6838676.7500000028"/>
    <s v="Trsf"/>
    <m/>
    <m/>
  </r>
  <r>
    <x v="782"/>
    <n v="7"/>
    <n v="2025"/>
    <x v="1264"/>
    <s v="C00000019"/>
    <x v="18"/>
    <s v="RA Resin 268BQT (225Kg)"/>
    <n v="1"/>
    <s v="Cash"/>
    <x v="0"/>
    <d v="2025-07-01T00:00:00"/>
    <x v="4"/>
    <x v="7"/>
    <n v="1710"/>
    <m/>
    <n v="1710"/>
    <n v="6840386.7500000028"/>
    <s v="Trsf"/>
    <m/>
    <m/>
  </r>
  <r>
    <x v="782"/>
    <n v="7"/>
    <n v="2025"/>
    <x v="1264"/>
    <s v="C00000019"/>
    <x v="18"/>
    <s v="RM CSM 450 1860mm(W) (54kg)"/>
    <n v="1"/>
    <s v="Cash"/>
    <x v="0"/>
    <d v="2025-07-01T00:00:00"/>
    <x v="4"/>
    <x v="7"/>
    <n v="405"/>
    <m/>
    <n v="405"/>
    <n v="6840791.7500000028"/>
    <s v="Trsf"/>
    <m/>
    <m/>
  </r>
  <r>
    <x v="782"/>
    <n v="7"/>
    <n v="2025"/>
    <x v="1264"/>
    <s v="C00000019"/>
    <x v="18"/>
    <s v="RM Chemlease 71-90 EZ (1 gallon)"/>
    <n v="1"/>
    <s v="Cash"/>
    <x v="0"/>
    <d v="2025-07-01T00:00:00"/>
    <x v="4"/>
    <x v="7"/>
    <n v="390"/>
    <m/>
    <n v="390"/>
    <n v="6841181.7500000028"/>
    <s v="Trsf"/>
    <m/>
    <m/>
  </r>
  <r>
    <x v="783"/>
    <n v="7"/>
    <n v="2025"/>
    <x v="1265"/>
    <s v="C00000042"/>
    <x v="43"/>
    <s v="RQ Talcum Powder (25Kg)"/>
    <n v="2"/>
    <s v="Cash"/>
    <x v="0"/>
    <d v="2025-07-02T00:00:00"/>
    <x v="4"/>
    <x v="7"/>
    <n v="125"/>
    <m/>
    <n v="125"/>
    <n v="6841306.7500000028"/>
    <s v="Trsf"/>
    <m/>
    <m/>
  </r>
  <r>
    <x v="783"/>
    <n v="7"/>
    <n v="2025"/>
    <x v="1266"/>
    <s v="C00000042"/>
    <x v="43"/>
    <s v="RA Resin 2100BQT-L (225Kg)"/>
    <n v="3"/>
    <s v="Cash"/>
    <x v="0"/>
    <d v="2025-07-02T00:00:00"/>
    <x v="4"/>
    <x v="7"/>
    <n v="4860"/>
    <m/>
    <n v="4860"/>
    <n v="6846166.7500000028"/>
    <s v="Trsf"/>
    <m/>
    <m/>
  </r>
  <r>
    <x v="783"/>
    <n v="7"/>
    <n v="2025"/>
    <x v="1266"/>
    <s v="C00000042"/>
    <x v="43"/>
    <s v="RM CSM 450 1040mm(W) (30kg)"/>
    <n v="9"/>
    <s v="Cash"/>
    <x v="0"/>
    <d v="2025-07-02T00:00:00"/>
    <x v="4"/>
    <x v="7"/>
    <n v="1593"/>
    <m/>
    <n v="1593"/>
    <n v="6847759.7500000028"/>
    <s v="Trsf"/>
    <m/>
    <m/>
  </r>
  <r>
    <x v="783"/>
    <n v="7"/>
    <n v="2025"/>
    <x v="1266"/>
    <s v="C00000042"/>
    <x v="43"/>
    <s v="RA Woven Roving E-600gm 1120mm (45Kg)"/>
    <n v="4"/>
    <s v="Cash"/>
    <x v="0"/>
    <d v="2025-07-02T00:00:00"/>
    <x v="4"/>
    <x v="7"/>
    <n v="990"/>
    <m/>
    <n v="990"/>
    <n v="6848749.7500000028"/>
    <s v="Trsf"/>
    <m/>
    <m/>
  </r>
  <r>
    <x v="783"/>
    <n v="7"/>
    <n v="2025"/>
    <x v="1266"/>
    <s v="C00000042"/>
    <x v="43"/>
    <s v="RM Pigment Paste Smooth Cream M19 (25Kg)"/>
    <n v="1"/>
    <s v="Cash"/>
    <x v="0"/>
    <d v="2025-07-02T00:00:00"/>
    <x v="4"/>
    <x v="7"/>
    <n v="1000"/>
    <m/>
    <n v="1000"/>
    <n v="6849749.7500000028"/>
    <s v="Trsf"/>
    <m/>
    <m/>
  </r>
  <r>
    <x v="784"/>
    <n v="7"/>
    <n v="2025"/>
    <x v="1267"/>
    <s v="C00000044"/>
    <x v="46"/>
    <s v="RM Resin 268 Non Wax (225Kg)"/>
    <n v="1"/>
    <s v="Cash"/>
    <x v="0"/>
    <d v="2025-07-04T00:00:00"/>
    <x v="4"/>
    <x v="7"/>
    <n v="1687.5"/>
    <n v="-1687.5"/>
    <n v="0"/>
    <n v="6851437.2500000028"/>
    <s v="Cash"/>
    <s v="Trsf 9/7/25 RM2,279.50"/>
    <m/>
  </r>
  <r>
    <x v="784"/>
    <n v="7"/>
    <n v="2025"/>
    <x v="1267"/>
    <s v="C00000044"/>
    <x v="46"/>
    <s v="RM CSM 450 1040mm (30kg)"/>
    <n v="2"/>
    <s v="Cash"/>
    <x v="0"/>
    <d v="2025-07-04T00:00:00"/>
    <x v="4"/>
    <x v="7"/>
    <n v="432"/>
    <n v="-432"/>
    <n v="0"/>
    <n v="6851869.2500000028"/>
    <s v="Cash"/>
    <s v="Trsf 9/7/25 RM2,279.50"/>
    <m/>
  </r>
  <r>
    <x v="784"/>
    <n v="7"/>
    <n v="2025"/>
    <x v="1267"/>
    <s v="C00000044"/>
    <x v="46"/>
    <s v="RM Pigment Super Black PE30 (5kg)"/>
    <n v="1"/>
    <s v="Cash"/>
    <x v="0"/>
    <d v="2025-07-04T00:00:00"/>
    <x v="4"/>
    <x v="7"/>
    <n v="160"/>
    <n v="-160"/>
    <n v="0"/>
    <n v="6852029.2500000028"/>
    <s v="Cash"/>
    <s v="Trsf 9/7/25 RM2,279.50"/>
    <m/>
  </r>
  <r>
    <x v="785"/>
    <n v="7"/>
    <n v="2025"/>
    <x v="1268"/>
    <s v="C00000042"/>
    <x v="43"/>
    <s v="RQ Talcum Powder (25Kg)"/>
    <n v="3"/>
    <s v="Cash"/>
    <x v="0"/>
    <d v="2025-07-05T00:00:00"/>
    <x v="4"/>
    <x v="7"/>
    <n v="187.5"/>
    <m/>
    <n v="187.5"/>
    <n v="6852216.7500000028"/>
    <s v="Trsf"/>
    <m/>
    <m/>
  </r>
  <r>
    <x v="785"/>
    <n v="7"/>
    <n v="2025"/>
    <x v="1269"/>
    <s v="C00000042"/>
    <x v="43"/>
    <s v="RA Resin 2100BQT-L (225Kg)"/>
    <n v="5"/>
    <s v="Cash"/>
    <x v="0"/>
    <d v="2025-07-05T00:00:00"/>
    <x v="4"/>
    <x v="7"/>
    <n v="8100"/>
    <m/>
    <n v="8100"/>
    <n v="6860316.7500000028"/>
    <s v="Trsf"/>
    <m/>
    <m/>
  </r>
  <r>
    <x v="785"/>
    <n v="7"/>
    <n v="2025"/>
    <x v="1269"/>
    <s v="C00000042"/>
    <x v="43"/>
    <s v="RM CSM 450 1040mm(W) (30kg)"/>
    <n v="15"/>
    <s v="Cash"/>
    <x v="0"/>
    <d v="2025-07-05T00:00:00"/>
    <x v="4"/>
    <x v="7"/>
    <n v="2655"/>
    <m/>
    <n v="2655"/>
    <n v="6862971.7500000028"/>
    <s v="Trsf"/>
    <m/>
    <m/>
  </r>
  <r>
    <x v="785"/>
    <n v="7"/>
    <n v="2025"/>
    <x v="1269"/>
    <s v="C00000042"/>
    <x v="43"/>
    <s v="RA Woven Roving E-600gm 1120mm (45Kg)"/>
    <n v="7"/>
    <s v="Cash"/>
    <x v="0"/>
    <d v="2025-07-05T00:00:00"/>
    <x v="4"/>
    <x v="7"/>
    <n v="1732.5"/>
    <m/>
    <n v="1732.5"/>
    <n v="6864704.2500000028"/>
    <s v="Trsf"/>
    <m/>
    <m/>
  </r>
  <r>
    <x v="785"/>
    <n v="7"/>
    <n v="2025"/>
    <x v="1269"/>
    <s v="C00000042"/>
    <x v="43"/>
    <s v="RM Pigment Paste Riviera Blue B5 (25Kg)"/>
    <n v="1"/>
    <s v="Cash"/>
    <x v="0"/>
    <d v="2025-07-05T00:00:00"/>
    <x v="4"/>
    <x v="7"/>
    <n v="975"/>
    <m/>
    <n v="975"/>
    <n v="6865679.2500000028"/>
    <s v="Trsf"/>
    <m/>
    <m/>
  </r>
  <r>
    <x v="786"/>
    <n v="7"/>
    <n v="2025"/>
    <x v="1270"/>
    <s v="C00000042"/>
    <x v="43"/>
    <s v="RQ Talcum Powder (25Kg)"/>
    <n v="3"/>
    <s v="Cash"/>
    <x v="0"/>
    <d v="2025-07-08T00:00:00"/>
    <x v="4"/>
    <x v="7"/>
    <n v="187.5"/>
    <m/>
    <n v="187.5"/>
    <n v="6865866.7500000028"/>
    <s v="Trsf"/>
    <m/>
    <m/>
  </r>
  <r>
    <x v="786"/>
    <n v="7"/>
    <n v="2025"/>
    <x v="1271"/>
    <s v="C00000042"/>
    <x v="43"/>
    <s v="RO Resin 8213WPT (225kg)"/>
    <n v="6"/>
    <s v="Cash"/>
    <x v="0"/>
    <d v="2025-07-08T00:00:00"/>
    <x v="4"/>
    <x v="7"/>
    <n v="9720"/>
    <m/>
    <n v="9720"/>
    <n v="6875586.7500000028"/>
    <s v="Trsf"/>
    <m/>
    <m/>
  </r>
  <r>
    <x v="786"/>
    <n v="7"/>
    <n v="2025"/>
    <x v="1271"/>
    <s v="C00000042"/>
    <x v="43"/>
    <s v="RM CSM 450 1040mm(W) (30kg)"/>
    <n v="18"/>
    <s v="Cash"/>
    <x v="0"/>
    <d v="2025-07-08T00:00:00"/>
    <x v="4"/>
    <x v="7"/>
    <n v="3186"/>
    <m/>
    <n v="3186"/>
    <n v="6878772.7500000028"/>
    <s v="Trsf"/>
    <m/>
    <m/>
  </r>
  <r>
    <x v="786"/>
    <n v="7"/>
    <n v="2025"/>
    <x v="1271"/>
    <s v="C00000042"/>
    <x v="43"/>
    <s v="RA Woven Roving E-600gm 1120mm (45Kg)"/>
    <n v="8"/>
    <s v="Cash"/>
    <x v="0"/>
    <d v="2025-07-08T00:00:00"/>
    <x v="4"/>
    <x v="7"/>
    <n v="1980"/>
    <m/>
    <n v="1980"/>
    <n v="6880752.7500000028"/>
    <s v="Trsf"/>
    <m/>
    <m/>
  </r>
  <r>
    <x v="786"/>
    <n v="7"/>
    <n v="2025"/>
    <x v="1271"/>
    <s v="C00000042"/>
    <x v="43"/>
    <s v="RM Pigment Paste Riviera Blue B5 (25Kg)"/>
    <n v="1"/>
    <s v="Cash"/>
    <x v="0"/>
    <d v="2025-07-08T00:00:00"/>
    <x v="4"/>
    <x v="7"/>
    <n v="975"/>
    <m/>
    <n v="975"/>
    <n v="6881727.7500000028"/>
    <s v="Trsf"/>
    <m/>
    <m/>
  </r>
  <r>
    <x v="786"/>
    <n v="7"/>
    <n v="2025"/>
    <x v="1271"/>
    <s v="C00000042"/>
    <x v="43"/>
    <s v="RA Butanox M50 (5kg)"/>
    <n v="4"/>
    <s v="Cash"/>
    <x v="0"/>
    <d v="2025-07-08T00:00:00"/>
    <x v="4"/>
    <x v="7"/>
    <n v="460"/>
    <m/>
    <n v="460"/>
    <n v="6882187.7500000028"/>
    <s v="Trsf"/>
    <m/>
    <m/>
  </r>
  <r>
    <x v="787"/>
    <n v="7"/>
    <n v="2025"/>
    <x v="1272"/>
    <s v="C00000042"/>
    <x v="43"/>
    <s v="RQ Talcum Powder (25Kg)"/>
    <n v="2"/>
    <s v="Cash"/>
    <x v="0"/>
    <d v="2025-07-10T00:00:00"/>
    <x v="4"/>
    <x v="7"/>
    <n v="125"/>
    <m/>
    <n v="125"/>
    <n v="6882312.7500000028"/>
    <s v="Trsf"/>
    <m/>
    <m/>
  </r>
  <r>
    <x v="787"/>
    <n v="7"/>
    <n v="2025"/>
    <x v="1273"/>
    <s v="C00000042"/>
    <x v="43"/>
    <s v="RA Resin 2100BQT-L (225Kg)"/>
    <n v="5"/>
    <s v="Cash"/>
    <x v="0"/>
    <d v="2025-07-10T00:00:00"/>
    <x v="4"/>
    <x v="7"/>
    <n v="8100"/>
    <m/>
    <n v="8100"/>
    <n v="6890412.7500000028"/>
    <s v="Trsf"/>
    <m/>
    <m/>
  </r>
  <r>
    <x v="787"/>
    <n v="7"/>
    <n v="2025"/>
    <x v="1273"/>
    <s v="C00000042"/>
    <x v="43"/>
    <s v="RO CSM 450 1040mm(W) (37kg)"/>
    <n v="15"/>
    <s v="Cash"/>
    <x v="0"/>
    <d v="2025-07-10T00:00:00"/>
    <x v="4"/>
    <x v="7"/>
    <n v="3274.5"/>
    <m/>
    <n v="3274.5"/>
    <n v="6893687.2500000028"/>
    <s v="Trsf"/>
    <m/>
    <m/>
  </r>
  <r>
    <x v="787"/>
    <n v="7"/>
    <n v="2025"/>
    <x v="1273"/>
    <s v="C00000042"/>
    <x v="43"/>
    <s v="RA Woven Roving E-600gm 1120mm (45Kg)"/>
    <n v="10"/>
    <s v="Cash"/>
    <x v="0"/>
    <d v="2025-07-10T00:00:00"/>
    <x v="4"/>
    <x v="7"/>
    <n v="2475"/>
    <m/>
    <n v="2475"/>
    <n v="6896162.2500000028"/>
    <s v="Trsf"/>
    <m/>
    <m/>
  </r>
  <r>
    <x v="787"/>
    <n v="7"/>
    <n v="2025"/>
    <x v="1273"/>
    <s v="C00000042"/>
    <x v="43"/>
    <s v="RM Pigment Paste Smooth Cream M19 (25Kg)"/>
    <n v="1"/>
    <s v="Cash"/>
    <x v="0"/>
    <d v="2025-07-10T00:00:00"/>
    <x v="4"/>
    <x v="7"/>
    <n v="1000"/>
    <m/>
    <n v="1000"/>
    <n v="6897162.2500000028"/>
    <s v="Trsf"/>
    <m/>
    <m/>
  </r>
  <r>
    <x v="788"/>
    <n v="7"/>
    <n v="2025"/>
    <x v="1274"/>
    <s v="C00000010"/>
    <x v="9"/>
    <s v="RQ Talcum Powder (5kg)"/>
    <n v="1"/>
    <n v="120"/>
    <x v="2"/>
    <d v="2025-11-08T00:00:00"/>
    <x v="5"/>
    <x v="7"/>
    <n v="0"/>
    <m/>
    <n v="0"/>
    <n v="6897162.2500000028"/>
    <s v="Trsf"/>
    <m/>
    <m/>
  </r>
  <r>
    <x v="789"/>
    <n v="7"/>
    <n v="2025"/>
    <x v="1275"/>
    <s v="C00000042"/>
    <x v="43"/>
    <s v="RQ Talcum Powder (25Kg)"/>
    <n v="2"/>
    <s v="Cash"/>
    <x v="0"/>
    <d v="2025-07-15T00:00:00"/>
    <x v="4"/>
    <x v="7"/>
    <n v="125"/>
    <m/>
    <n v="125"/>
    <n v="6897287.2500000028"/>
    <s v="Trsf"/>
    <m/>
    <m/>
  </r>
  <r>
    <x v="789"/>
    <n v="7"/>
    <n v="2025"/>
    <x v="1276"/>
    <s v="C00000042"/>
    <x v="43"/>
    <s v="RA Resin 2100BQT-L (225Kg)"/>
    <n v="6"/>
    <s v="Cash"/>
    <x v="0"/>
    <d v="2025-07-15T00:00:00"/>
    <x v="4"/>
    <x v="7"/>
    <n v="9720"/>
    <m/>
    <n v="9720"/>
    <n v="6907007.2500000028"/>
    <s v="Trsf"/>
    <m/>
    <m/>
  </r>
  <r>
    <x v="789"/>
    <n v="7"/>
    <n v="2025"/>
    <x v="1276"/>
    <s v="C00000042"/>
    <x v="43"/>
    <s v="RO CSM 450 1040mm(W) (30kg)"/>
    <n v="18"/>
    <s v="Cash"/>
    <x v="0"/>
    <d v="2025-07-15T00:00:00"/>
    <x v="4"/>
    <x v="7"/>
    <n v="3186"/>
    <m/>
    <n v="3186"/>
    <n v="6910193.2500000028"/>
    <s v="Trsf"/>
    <m/>
    <m/>
  </r>
  <r>
    <x v="789"/>
    <n v="7"/>
    <n v="2025"/>
    <x v="1276"/>
    <s v="C00000042"/>
    <x v="43"/>
    <s v="RA Woven Roving E-600gm 1120mm (45Kg)"/>
    <n v="9"/>
    <s v="Cash"/>
    <x v="0"/>
    <d v="2025-07-15T00:00:00"/>
    <x v="4"/>
    <x v="7"/>
    <n v="2227.5"/>
    <m/>
    <n v="2227.5"/>
    <n v="6912420.7500000028"/>
    <s v="Trsf"/>
    <m/>
    <m/>
  </r>
  <r>
    <x v="789"/>
    <n v="7"/>
    <n v="2025"/>
    <x v="1276"/>
    <s v="C00000042"/>
    <x v="43"/>
    <s v="RA Butanox M50 (5kg)"/>
    <n v="4"/>
    <s v="Cash"/>
    <x v="0"/>
    <d v="2025-07-15T00:00:00"/>
    <x v="4"/>
    <x v="7"/>
    <n v="460"/>
    <m/>
    <n v="460"/>
    <n v="6912880.7500000028"/>
    <s v="Trsf"/>
    <m/>
    <m/>
  </r>
  <r>
    <x v="789"/>
    <n v="7"/>
    <n v="2025"/>
    <x v="1276"/>
    <s v="C00000042"/>
    <x v="43"/>
    <s v="RM Pigment Paste Riviera Blue B5 (25Kg)"/>
    <n v="1"/>
    <s v="Cash"/>
    <x v="0"/>
    <d v="2025-07-15T00:00:00"/>
    <x v="4"/>
    <x v="7"/>
    <n v="975"/>
    <m/>
    <n v="975"/>
    <n v="6913855.7500000028"/>
    <s v="Trsf"/>
    <m/>
    <m/>
  </r>
  <r>
    <x v="790"/>
    <n v="7"/>
    <n v="2025"/>
    <x v="1277"/>
    <s v="C00000019"/>
    <x v="18"/>
    <s v="RA Resin 268BQT (225Kg)"/>
    <n v="1"/>
    <s v="Cash"/>
    <x v="0"/>
    <d v="2025-07-16T00:00:00"/>
    <x v="4"/>
    <x v="7"/>
    <n v="1710"/>
    <m/>
    <n v="1710"/>
    <n v="6915565.7500000028"/>
    <s v="Trsf"/>
    <m/>
    <m/>
  </r>
  <r>
    <x v="790"/>
    <n v="7"/>
    <n v="2025"/>
    <x v="1277"/>
    <s v="C00000019"/>
    <x v="18"/>
    <s v="RM CSM 450 1860mm(W) (54kg)"/>
    <n v="1"/>
    <s v="Cash"/>
    <x v="0"/>
    <d v="2025-07-16T00:00:00"/>
    <x v="4"/>
    <x v="7"/>
    <n v="405"/>
    <m/>
    <n v="405"/>
    <n v="6915970.7500000028"/>
    <s v="Trsf"/>
    <m/>
    <m/>
  </r>
  <r>
    <x v="790"/>
    <n v="7"/>
    <n v="2025"/>
    <x v="1277"/>
    <s v="C00000019"/>
    <x v="18"/>
    <s v="RA Butanox M50 (5kg)"/>
    <n v="1"/>
    <s v="Cash"/>
    <x v="0"/>
    <d v="2025-07-16T00:00:00"/>
    <x v="4"/>
    <x v="7"/>
    <n v="110"/>
    <m/>
    <n v="110"/>
    <n v="6916080.7500000028"/>
    <s v="Trsf"/>
    <m/>
    <m/>
  </r>
  <r>
    <x v="790"/>
    <n v="7"/>
    <n v="2025"/>
    <x v="1277"/>
    <s v="C00000019"/>
    <x v="18"/>
    <s v="RQ Talcum Powder (25kg)"/>
    <n v="1"/>
    <s v="Cash"/>
    <x v="0"/>
    <d v="2025-07-16T00:00:00"/>
    <x v="4"/>
    <x v="7"/>
    <n v="62.5"/>
    <m/>
    <n v="62.5"/>
    <n v="6916143.2500000028"/>
    <s v="Trsf"/>
    <m/>
    <m/>
  </r>
  <r>
    <x v="790"/>
    <n v="7"/>
    <n v="2025"/>
    <x v="1277"/>
    <s v="C00000019"/>
    <x v="18"/>
    <s v="RM Fume Silica HJSIL 200 (10Kg)"/>
    <n v="1"/>
    <s v="Cash"/>
    <x v="0"/>
    <d v="2025-07-16T00:00:00"/>
    <x v="4"/>
    <x v="7"/>
    <n v="420"/>
    <m/>
    <n v="420"/>
    <n v="6916563.2500000028"/>
    <s v="Trsf"/>
    <m/>
    <m/>
  </r>
  <r>
    <x v="790"/>
    <n v="7"/>
    <n v="2025"/>
    <x v="1277"/>
    <s v="C00000019"/>
    <x v="18"/>
    <s v="RM Pigment Paste Orange (5Kg)"/>
    <n v="1"/>
    <s v="Cash"/>
    <x v="0"/>
    <d v="2025-07-16T00:00:00"/>
    <x v="4"/>
    <x v="7"/>
    <n v="260"/>
    <m/>
    <n v="260"/>
    <n v="6916823.2500000028"/>
    <s v="Trsf"/>
    <m/>
    <m/>
  </r>
  <r>
    <x v="790"/>
    <n v="7"/>
    <n v="2025"/>
    <x v="1277"/>
    <s v="C00000019"/>
    <x v="18"/>
    <s v="RO Gelcoat LB9888 (22kg)"/>
    <n v="1"/>
    <s v="Cash"/>
    <x v="0"/>
    <d v="2025-07-16T00:00:00"/>
    <x v="4"/>
    <x v="7"/>
    <n v="283.8"/>
    <m/>
    <n v="283.8"/>
    <n v="6917107.0500000026"/>
    <s v="Trsf"/>
    <m/>
    <m/>
  </r>
  <r>
    <x v="791"/>
    <n v="7"/>
    <n v="2025"/>
    <x v="1278"/>
    <s v="C00000044"/>
    <x v="46"/>
    <s v="RA Resin 268BQT (225Kg)"/>
    <n v="1"/>
    <s v="Cash"/>
    <x v="0"/>
    <d v="2025-07-17T00:00:00"/>
    <x v="4"/>
    <x v="7"/>
    <n v="1687.5"/>
    <n v="-1687.5"/>
    <n v="0"/>
    <n v="6918794.5500000026"/>
    <s v="Cash"/>
    <s v="Trsf 25/7/25 RM3,553.00"/>
    <m/>
  </r>
  <r>
    <x v="791"/>
    <n v="7"/>
    <n v="2025"/>
    <x v="1278"/>
    <s v="C00000044"/>
    <x v="46"/>
    <s v="RA CSM 450 1040mm (30kg)"/>
    <n v="3"/>
    <s v="Cash"/>
    <x v="0"/>
    <d v="2025-07-17T00:00:00"/>
    <x v="4"/>
    <x v="7"/>
    <n v="648"/>
    <n v="-648"/>
    <n v="0"/>
    <n v="6919442.5500000026"/>
    <s v="Cash"/>
    <s v="Trsf 25/7/25 RM3,553.00"/>
    <m/>
  </r>
  <r>
    <x v="791"/>
    <n v="7"/>
    <n v="2025"/>
    <x v="1278"/>
    <s v="C00000044"/>
    <x v="46"/>
    <s v="RA Honeycomb 19mm - 1220(W) x 2440(L)"/>
    <n v="5"/>
    <s v="Cash"/>
    <x v="0"/>
    <d v="2025-07-17T00:00:00"/>
    <x v="4"/>
    <x v="7"/>
    <n v="875"/>
    <n v="-875"/>
    <n v="0"/>
    <n v="6920317.5500000026"/>
    <s v="Cash"/>
    <s v="Trsf 25/7/25 RM3,553.00"/>
    <m/>
  </r>
  <r>
    <x v="791"/>
    <n v="7"/>
    <n v="2025"/>
    <x v="1278"/>
    <s v="C00000044"/>
    <x v="46"/>
    <s v="RA Butanox M50 (5kg)"/>
    <n v="1"/>
    <s v="Cash"/>
    <x v="0"/>
    <d v="2025-07-17T00:00:00"/>
    <x v="4"/>
    <x v="7"/>
    <n v="115"/>
    <n v="-115"/>
    <n v="0"/>
    <n v="6920432.5500000026"/>
    <s v="Cash"/>
    <s v="Trsf 25/7/25 RM3,553.00"/>
    <m/>
  </r>
  <r>
    <x v="791"/>
    <n v="7"/>
    <n v="2025"/>
    <x v="1278"/>
    <s v="C00000044"/>
    <x v="46"/>
    <s v="RQ Talcum Powder (25Kg)"/>
    <n v="1"/>
    <s v="Cash"/>
    <x v="0"/>
    <d v="2025-07-17T00:00:00"/>
    <x v="4"/>
    <x v="7"/>
    <n v="62.5"/>
    <n v="-62.5"/>
    <n v="0"/>
    <n v="6920495.0500000026"/>
    <s v="Cash"/>
    <s v="Trsf 25/7/25 RM3,553.00"/>
    <m/>
  </r>
  <r>
    <x v="791"/>
    <n v="7"/>
    <n v="2025"/>
    <x v="1278"/>
    <s v="C00000044"/>
    <x v="46"/>
    <s v="RM Pigment Light Grey G1 (5kg)"/>
    <n v="1"/>
    <s v="Cash"/>
    <x v="0"/>
    <d v="2025-07-17T00:00:00"/>
    <x v="4"/>
    <x v="7"/>
    <n v="165"/>
    <n v="-165"/>
    <n v="0"/>
    <n v="6920660.0500000026"/>
    <s v="Cash"/>
    <s v="Trsf 25/7/25 RM3,553.00"/>
    <m/>
  </r>
  <r>
    <x v="792"/>
    <n v="7"/>
    <n v="2025"/>
    <x v="1279"/>
    <s v="C00000042"/>
    <x v="43"/>
    <s v="RQ Talcum Powder (25Kg)"/>
    <n v="3"/>
    <s v="Cash"/>
    <x v="0"/>
    <d v="2025-07-18T00:00:00"/>
    <x v="4"/>
    <x v="7"/>
    <n v="187.5"/>
    <m/>
    <n v="187.5"/>
    <n v="6920847.5500000026"/>
    <s v="Trsf"/>
    <m/>
    <m/>
  </r>
  <r>
    <x v="792"/>
    <n v="7"/>
    <n v="2025"/>
    <x v="1280"/>
    <s v="C00000042"/>
    <x v="43"/>
    <s v="RO Resin 8213WPT (225kg)"/>
    <n v="6"/>
    <s v="Cash"/>
    <x v="0"/>
    <d v="2025-07-18T00:00:00"/>
    <x v="4"/>
    <x v="7"/>
    <n v="9720"/>
    <m/>
    <n v="9720"/>
    <n v="6930567.5500000026"/>
    <s v="Trsf"/>
    <m/>
    <m/>
  </r>
  <r>
    <x v="792"/>
    <n v="7"/>
    <n v="2025"/>
    <x v="1280"/>
    <s v="C00000042"/>
    <x v="43"/>
    <s v="RO CSM 450 1040mm(W) (30kg)"/>
    <n v="12"/>
    <s v="Cash"/>
    <x v="0"/>
    <d v="2025-07-18T00:00:00"/>
    <x v="4"/>
    <x v="7"/>
    <n v="2124"/>
    <m/>
    <n v="2124"/>
    <n v="6932691.5500000026"/>
    <s v="Trsf"/>
    <m/>
    <m/>
  </r>
  <r>
    <x v="792"/>
    <n v="7"/>
    <n v="2025"/>
    <x v="1280"/>
    <s v="C00000042"/>
    <x v="43"/>
    <s v="RA Woven Roving E-600gm 1120mm (45Kg)"/>
    <n v="7"/>
    <s v="Cash"/>
    <x v="0"/>
    <d v="2025-07-18T00:00:00"/>
    <x v="4"/>
    <x v="7"/>
    <n v="1732.5"/>
    <m/>
    <n v="1732.5"/>
    <n v="6934424.0500000026"/>
    <s v="Trsf"/>
    <m/>
    <m/>
  </r>
  <r>
    <x v="792"/>
    <n v="7"/>
    <n v="2025"/>
    <x v="1280"/>
    <s v="C00000042"/>
    <x v="43"/>
    <s v="RA Butanox M50 (5kg)"/>
    <n v="8"/>
    <s v="Cash"/>
    <x v="0"/>
    <d v="2025-07-18T00:00:00"/>
    <x v="4"/>
    <x v="7"/>
    <n v="920"/>
    <m/>
    <n v="920"/>
    <n v="6935344.0500000026"/>
    <s v="Trsf"/>
    <m/>
    <m/>
  </r>
  <r>
    <x v="793"/>
    <n v="7"/>
    <n v="2025"/>
    <x v="1281"/>
    <s v="C00000010"/>
    <x v="9"/>
    <s v="RO Resin 8213WPT (225kg)"/>
    <n v="5"/>
    <n v="120"/>
    <x v="2"/>
    <d v="2025-11-18T00:00:00"/>
    <x v="5"/>
    <x v="7"/>
    <n v="7762.5"/>
    <m/>
    <n v="7762.5"/>
    <n v="6943106.5500000026"/>
    <s v="Trsf"/>
    <m/>
    <m/>
  </r>
  <r>
    <x v="793"/>
    <n v="7"/>
    <n v="2025"/>
    <x v="1281"/>
    <s v="C00000010"/>
    <x v="9"/>
    <s v="RO CSM 450 1040mm(W) (37kg)"/>
    <n v="15"/>
    <n v="120"/>
    <x v="2"/>
    <d v="2025-11-18T00:00:00"/>
    <x v="5"/>
    <x v="7"/>
    <n v="3219"/>
    <m/>
    <n v="3219"/>
    <n v="6946325.5500000026"/>
    <s v="Trsf"/>
    <m/>
    <m/>
  </r>
  <r>
    <x v="793"/>
    <n v="7"/>
    <n v="2025"/>
    <x v="1281"/>
    <s v="C00000010"/>
    <x v="9"/>
    <s v="RD Brush 3&quot; (12Pc)"/>
    <n v="4"/>
    <n v="120"/>
    <x v="2"/>
    <d v="2025-11-18T00:00:00"/>
    <x v="5"/>
    <x v="7"/>
    <n v="230.4"/>
    <m/>
    <n v="230.4"/>
    <n v="6946555.950000003"/>
    <s v="Trsf"/>
    <m/>
    <m/>
  </r>
  <r>
    <x v="793"/>
    <n v="7"/>
    <n v="2025"/>
    <x v="1281"/>
    <s v="C00000010"/>
    <x v="9"/>
    <s v="RA Butanox M50 (5kg)"/>
    <n v="4"/>
    <n v="120"/>
    <x v="2"/>
    <d v="2025-11-18T00:00:00"/>
    <x v="5"/>
    <x v="7"/>
    <n v="440"/>
    <m/>
    <n v="440"/>
    <n v="6946995.950000003"/>
    <s v="Trsf"/>
    <m/>
    <m/>
  </r>
  <r>
    <x v="793"/>
    <n v="7"/>
    <n v="2025"/>
    <x v="1281"/>
    <s v="C00000010"/>
    <x v="9"/>
    <s v="RH Bosny Wax (15Kg)"/>
    <n v="1"/>
    <n v="120"/>
    <x v="2"/>
    <d v="2025-11-18T00:00:00"/>
    <x v="5"/>
    <x v="7"/>
    <n v="395"/>
    <m/>
    <n v="395"/>
    <n v="6947390.950000003"/>
    <s v="Trsf"/>
    <m/>
    <m/>
  </r>
  <r>
    <x v="793"/>
    <n v="7"/>
    <n v="2025"/>
    <x v="1282"/>
    <s v="C00000010"/>
    <x v="9"/>
    <s v="RM Fume Silica HJSIL 200 (10Kg)"/>
    <n v="2"/>
    <n v="120"/>
    <x v="2"/>
    <d v="2025-11-18T00:00:00"/>
    <x v="5"/>
    <x v="7"/>
    <n v="840"/>
    <m/>
    <n v="840"/>
    <n v="6948230.950000003"/>
    <s v="Trsf"/>
    <m/>
    <m/>
  </r>
  <r>
    <x v="794"/>
    <n v="7"/>
    <n v="2025"/>
    <x v="1283"/>
    <s v="C00000042"/>
    <x v="43"/>
    <s v="RQ Talcum Powder (25Kg)"/>
    <n v="4"/>
    <s v="Cash"/>
    <x v="0"/>
    <d v="2025-07-22T00:00:00"/>
    <x v="4"/>
    <x v="7"/>
    <n v="250"/>
    <m/>
    <n v="250"/>
    <n v="6948480.950000003"/>
    <s v="Trsf"/>
    <m/>
    <m/>
  </r>
  <r>
    <x v="794"/>
    <n v="7"/>
    <n v="2025"/>
    <x v="1284"/>
    <s v="C00000042"/>
    <x v="43"/>
    <s v="RA Resin 2100BQT-L (225Kg)"/>
    <n v="8"/>
    <s v="Cash"/>
    <x v="0"/>
    <d v="2025-07-22T00:00:00"/>
    <x v="4"/>
    <x v="7"/>
    <n v="12960"/>
    <m/>
    <n v="12960"/>
    <n v="6961440.950000003"/>
    <s v="Trsf"/>
    <m/>
    <m/>
  </r>
  <r>
    <x v="794"/>
    <n v="7"/>
    <n v="2025"/>
    <x v="1284"/>
    <s v="C00000042"/>
    <x v="43"/>
    <s v="RO CSM 450 1040mm(W) (30kg)"/>
    <n v="24"/>
    <s v="Cash"/>
    <x v="0"/>
    <d v="2025-07-22T00:00:00"/>
    <x v="4"/>
    <x v="7"/>
    <n v="4248"/>
    <m/>
    <n v="4248"/>
    <n v="6965688.950000003"/>
    <s v="Trsf"/>
    <m/>
    <m/>
  </r>
  <r>
    <x v="794"/>
    <n v="7"/>
    <n v="2025"/>
    <x v="1284"/>
    <s v="C00000042"/>
    <x v="43"/>
    <s v="RA Woven Roving E-600gm 1120mm (45Kg)"/>
    <n v="12"/>
    <s v="Cash"/>
    <x v="0"/>
    <d v="2025-07-22T00:00:00"/>
    <x v="4"/>
    <x v="7"/>
    <n v="2970"/>
    <m/>
    <n v="2970"/>
    <n v="6968658.950000003"/>
    <s v="Trsf"/>
    <m/>
    <m/>
  </r>
  <r>
    <x v="794"/>
    <n v="7"/>
    <n v="2025"/>
    <x v="1284"/>
    <s v="C00000042"/>
    <x v="43"/>
    <s v="RA Butanox M50 (5kg)"/>
    <n v="4"/>
    <s v="Cash"/>
    <x v="0"/>
    <d v="2025-07-22T00:00:00"/>
    <x v="4"/>
    <x v="7"/>
    <n v="460"/>
    <m/>
    <n v="460"/>
    <n v="6969118.950000003"/>
    <s v="Trsf"/>
    <m/>
    <m/>
  </r>
  <r>
    <x v="794"/>
    <n v="7"/>
    <n v="2025"/>
    <x v="1284"/>
    <s v="C00000042"/>
    <x v="43"/>
    <s v="RM Pigment Paste Smooth Cream M19 (25Kg)"/>
    <n v="1"/>
    <s v="Cash"/>
    <x v="0"/>
    <d v="2025-07-22T00:00:00"/>
    <x v="4"/>
    <x v="7"/>
    <n v="1000"/>
    <m/>
    <n v="1000"/>
    <n v="6970118.950000003"/>
    <s v="Trsf"/>
    <m/>
    <m/>
  </r>
  <r>
    <x v="795"/>
    <n v="7"/>
    <n v="2025"/>
    <x v="1285"/>
    <s v="C00000061"/>
    <x v="63"/>
    <s v="RO CSM 450 1860mm(W) (67kg)"/>
    <n v="1"/>
    <s v="Cash"/>
    <x v="0"/>
    <d v="2025-07-26T00:00:00"/>
    <x v="4"/>
    <x v="7"/>
    <n v="408.7"/>
    <n v="-408.7"/>
    <n v="0"/>
    <n v="6970527.6500000032"/>
    <s v="Cash"/>
    <s v="Trsf 26/7/25 RM17.60+448.60 = RM466.20"/>
    <m/>
  </r>
  <r>
    <x v="795"/>
    <n v="7"/>
    <n v="2025"/>
    <x v="1285"/>
    <s v="C00000061"/>
    <x v="63"/>
    <s v="RQ Talcum Powder (25kg)"/>
    <n v="1"/>
    <s v="Cash"/>
    <x v="0"/>
    <d v="2025-07-26T00:00:00"/>
    <x v="4"/>
    <x v="7"/>
    <n v="57.5"/>
    <n v="-57.5"/>
    <n v="0"/>
    <n v="6970585.1500000032"/>
    <s v="Cash"/>
    <s v="Trsf 26/7/25 RM17.60+448.60 = RM466.20"/>
    <m/>
  </r>
  <r>
    <x v="796"/>
    <n v="7"/>
    <n v="2025"/>
    <x v="1286"/>
    <s v="C00000044"/>
    <x v="46"/>
    <s v="RA Resin 268BQT (225Kg)"/>
    <n v="1"/>
    <s v="Cash"/>
    <x v="0"/>
    <d v="2025-07-28T00:00:00"/>
    <x v="4"/>
    <x v="7"/>
    <n v="1687.5"/>
    <n v="-1687.5"/>
    <n v="0"/>
    <n v="6972272.6500000032"/>
    <s v="Cash"/>
    <s v="Trsf 28/7/25 RM2,119.50"/>
    <m/>
  </r>
  <r>
    <x v="796"/>
    <n v="7"/>
    <n v="2025"/>
    <x v="1286"/>
    <s v="C00000044"/>
    <x v="46"/>
    <s v="RA CSM 450 1040mm (30kg)"/>
    <n v="2"/>
    <s v="Cash"/>
    <x v="0"/>
    <d v="2025-07-28T00:00:00"/>
    <x v="4"/>
    <x v="7"/>
    <n v="432"/>
    <n v="-432"/>
    <n v="0"/>
    <n v="6972704.6500000032"/>
    <s v="Cash"/>
    <s v="Trsf 28/7/25 RM2,119.50"/>
    <m/>
  </r>
  <r>
    <x v="796"/>
    <n v="7"/>
    <n v="2025"/>
    <x v="1287"/>
    <s v="C00000042"/>
    <x v="43"/>
    <s v="RQ Talcum Powder (25Kg)"/>
    <n v="2"/>
    <s v="Cash"/>
    <x v="0"/>
    <d v="2025-07-28T00:00:00"/>
    <x v="4"/>
    <x v="7"/>
    <n v="125"/>
    <m/>
    <n v="125"/>
    <n v="6972829.6500000032"/>
    <s v="Trsf"/>
    <m/>
    <m/>
  </r>
  <r>
    <x v="796"/>
    <n v="7"/>
    <n v="2025"/>
    <x v="1288"/>
    <s v="C00000042"/>
    <x v="43"/>
    <s v="RA Resin 2100BQT-L (225Kg)"/>
    <n v="3"/>
    <s v="Cash"/>
    <x v="0"/>
    <d v="2025-07-28T00:00:00"/>
    <x v="4"/>
    <x v="7"/>
    <n v="4860"/>
    <m/>
    <n v="4860"/>
    <n v="6977689.6500000032"/>
    <s v="Trsf"/>
    <m/>
    <m/>
  </r>
  <r>
    <x v="796"/>
    <n v="7"/>
    <n v="2025"/>
    <x v="1288"/>
    <s v="C00000042"/>
    <x v="43"/>
    <s v="RA Woven Roving E-600gm 1120mm (45Kg)"/>
    <n v="4"/>
    <s v="Cash"/>
    <x v="0"/>
    <d v="2025-07-28T00:00:00"/>
    <x v="4"/>
    <x v="7"/>
    <n v="990"/>
    <m/>
    <n v="990"/>
    <n v="6978679.6500000032"/>
    <s v="Trsf"/>
    <m/>
    <m/>
  </r>
  <r>
    <x v="796"/>
    <n v="7"/>
    <n v="2025"/>
    <x v="1288"/>
    <s v="C00000042"/>
    <x v="43"/>
    <s v="RA Butanox M50 (5kg)"/>
    <n v="4"/>
    <s v="Cash"/>
    <x v="0"/>
    <d v="2025-07-28T00:00:00"/>
    <x v="4"/>
    <x v="7"/>
    <n v="460"/>
    <m/>
    <n v="460"/>
    <n v="6979139.6500000032"/>
    <s v="Trsf"/>
    <m/>
    <m/>
  </r>
  <r>
    <x v="796"/>
    <n v="7"/>
    <n v="2025"/>
    <x v="1288"/>
    <s v="C00000042"/>
    <x v="43"/>
    <s v="RM Pigment Paste Smooth Cream M19 (25Kg)"/>
    <n v="1"/>
    <s v="Cash"/>
    <x v="0"/>
    <d v="2025-07-28T00:00:00"/>
    <x v="4"/>
    <x v="7"/>
    <n v="1000"/>
    <m/>
    <n v="1000"/>
    <n v="6980139.6500000032"/>
    <s v="Trsf"/>
    <m/>
    <m/>
  </r>
  <r>
    <x v="797"/>
    <n v="7"/>
    <n v="2025"/>
    <x v="1289"/>
    <s v="C00000019"/>
    <x v="18"/>
    <s v="RA Resin 268BQT (225Kg)"/>
    <n v="1"/>
    <s v="Cash"/>
    <x v="0"/>
    <d v="2025-07-29T00:00:00"/>
    <x v="4"/>
    <x v="7"/>
    <n v="1710"/>
    <m/>
    <n v="1710"/>
    <n v="6981849.6500000032"/>
    <s v="Trsf"/>
    <m/>
    <m/>
  </r>
  <r>
    <x v="797"/>
    <n v="7"/>
    <n v="2025"/>
    <x v="1289"/>
    <s v="C00000019"/>
    <x v="18"/>
    <s v="RQ Talcum Powder (25kg)"/>
    <n v="3"/>
    <s v="Cash"/>
    <x v="0"/>
    <d v="2025-07-29T00:00:00"/>
    <x v="4"/>
    <x v="7"/>
    <n v="187.5"/>
    <m/>
    <n v="187.5"/>
    <n v="6982037.1500000032"/>
    <s v="Trsf"/>
    <m/>
    <m/>
  </r>
  <r>
    <x v="797"/>
    <n v="7"/>
    <n v="2025"/>
    <x v="1289"/>
    <s v="C00000019"/>
    <x v="18"/>
    <s v="RA Butanox M50 (5kg)"/>
    <n v="1"/>
    <s v="Cash"/>
    <x v="0"/>
    <d v="2025-07-29T00:00:00"/>
    <x v="4"/>
    <x v="7"/>
    <n v="110"/>
    <m/>
    <n v="110"/>
    <n v="6982147.1500000032"/>
    <s v="Trsf"/>
    <m/>
    <m/>
  </r>
  <r>
    <x v="797"/>
    <n v="7"/>
    <n v="2025"/>
    <x v="1289"/>
    <s v="C00000019"/>
    <x v="18"/>
    <s v="RM Chemlease 71-90 EZ (1 gallon)"/>
    <n v="1"/>
    <s v="Cash"/>
    <x v="0"/>
    <d v="2025-07-29T00:00:00"/>
    <x v="4"/>
    <x v="7"/>
    <n v="390"/>
    <m/>
    <n v="390"/>
    <n v="6982537.1500000032"/>
    <s v="Trsf"/>
    <m/>
    <m/>
  </r>
  <r>
    <x v="797"/>
    <n v="7"/>
    <n v="2025"/>
    <x v="1290"/>
    <s v="C00000061"/>
    <x v="63"/>
    <s v="RA Resin 268BQT (225Kg)"/>
    <n v="1"/>
    <s v="Cash"/>
    <x v="0"/>
    <d v="2025-07-29T00:00:00"/>
    <x v="4"/>
    <x v="7"/>
    <n v="1642.5"/>
    <n v="-1642.5"/>
    <n v="0"/>
    <n v="6984179.6500000032"/>
    <s v="Cash"/>
    <s v="Trsf 28/7/25 RM1,700.00"/>
    <m/>
  </r>
  <r>
    <x v="797"/>
    <n v="7"/>
    <n v="2025"/>
    <x v="1290"/>
    <s v="C00000061"/>
    <x v="63"/>
    <s v="RQ Talcum Powder (25kg)"/>
    <n v="1"/>
    <s v="Cash"/>
    <x v="0"/>
    <d v="2025-07-29T00:00:00"/>
    <x v="4"/>
    <x v="7"/>
    <n v="57.5"/>
    <n v="-57.5"/>
    <n v="0"/>
    <n v="6984237.1500000032"/>
    <s v="Cash"/>
    <s v="Trsf 28/7/25 RM1,700.00"/>
    <m/>
  </r>
  <r>
    <x v="798"/>
    <n v="7"/>
    <n v="2025"/>
    <x v="1291"/>
    <s v="C00000027"/>
    <x v="28"/>
    <s v="RA Resin 268BQT (225Kg)"/>
    <n v="2"/>
    <s v="Cash"/>
    <x v="0"/>
    <d v="2025-07-30T00:00:00"/>
    <x v="4"/>
    <x v="7"/>
    <n v="3420"/>
    <m/>
    <n v="3420"/>
    <n v="6987657.1500000032"/>
    <s v="Trsf"/>
    <m/>
    <m/>
  </r>
  <r>
    <x v="798"/>
    <n v="7"/>
    <n v="2025"/>
    <x v="1291"/>
    <s v="C00000027"/>
    <x v="28"/>
    <s v="RA CSM 300 1040mm (30kg)"/>
    <n v="4"/>
    <s v="Cash"/>
    <x v="0"/>
    <d v="2025-07-30T00:00:00"/>
    <x v="4"/>
    <x v="7"/>
    <n v="876"/>
    <m/>
    <n v="876"/>
    <n v="6988533.1500000032"/>
    <s v="Trsf"/>
    <m/>
    <m/>
  </r>
  <r>
    <x v="798"/>
    <n v="7"/>
    <n v="2025"/>
    <x v="1291"/>
    <s v="C00000027"/>
    <x v="28"/>
    <s v="RM CSM 450 1860mm(W) (54Kg)"/>
    <n v="1"/>
    <s v="Cash"/>
    <x v="0"/>
    <d v="2025-07-30T00:00:00"/>
    <x v="4"/>
    <x v="7"/>
    <n v="394.2"/>
    <m/>
    <n v="394.2"/>
    <n v="6988927.3500000034"/>
    <s v="Trsf"/>
    <m/>
    <m/>
  </r>
  <r>
    <x v="798"/>
    <n v="7"/>
    <n v="2025"/>
    <x v="1291"/>
    <s v="C00000027"/>
    <x v="28"/>
    <s v="RM Woven Roving E-600gm 1000mm (40Kg)"/>
    <n v="1"/>
    <s v="Cash"/>
    <x v="0"/>
    <d v="2025-07-30T00:00:00"/>
    <x v="4"/>
    <x v="7"/>
    <n v="280"/>
    <m/>
    <n v="280"/>
    <n v="6989207.3500000034"/>
    <s v="Trsf"/>
    <m/>
    <m/>
  </r>
  <r>
    <x v="798"/>
    <n v="7"/>
    <n v="2025"/>
    <x v="1291"/>
    <s v="C00000027"/>
    <x v="28"/>
    <s v="RO Gelcoat LB9888 (22kg)"/>
    <n v="2"/>
    <s v="Cash"/>
    <x v="0"/>
    <d v="2025-07-30T00:00:00"/>
    <x v="4"/>
    <x v="7"/>
    <n v="563.20000000000005"/>
    <m/>
    <n v="563.20000000000005"/>
    <n v="6989770.5500000035"/>
    <s v="Trsf"/>
    <m/>
    <m/>
  </r>
  <r>
    <x v="798"/>
    <n v="7"/>
    <n v="2025"/>
    <x v="1291"/>
    <s v="C00000027"/>
    <x v="28"/>
    <s v="RM Acetone (163kg)"/>
    <n v="1"/>
    <s v="Cash"/>
    <x v="0"/>
    <d v="2025-07-30T00:00:00"/>
    <x v="4"/>
    <x v="7"/>
    <n v="1108.4000000000001"/>
    <m/>
    <n v="1108.4000000000001"/>
    <n v="6990878.9500000039"/>
    <s v="Trsf"/>
    <m/>
    <m/>
  </r>
  <r>
    <x v="798"/>
    <n v="7"/>
    <n v="2025"/>
    <x v="1291"/>
    <s v="C00000027"/>
    <x v="28"/>
    <s v="RM TR104 Hi Temp Wax"/>
    <n v="6"/>
    <s v="Cash"/>
    <x v="0"/>
    <d v="2025-07-30T00:00:00"/>
    <x v="4"/>
    <x v="7"/>
    <n v="360"/>
    <m/>
    <n v="360"/>
    <n v="6991238.9500000039"/>
    <s v="Trsf"/>
    <m/>
    <m/>
  </r>
  <r>
    <x v="798"/>
    <n v="7"/>
    <n v="2025"/>
    <x v="1291"/>
    <s v="C00000027"/>
    <x v="28"/>
    <s v="RM Pigment Super White (5kg)"/>
    <n v="2"/>
    <s v="Cash"/>
    <x v="0"/>
    <d v="2025-07-30T00:00:00"/>
    <x v="4"/>
    <x v="7"/>
    <n v="320"/>
    <m/>
    <n v="320"/>
    <n v="6991558.9500000039"/>
    <s v="Trsf"/>
    <m/>
    <m/>
  </r>
  <r>
    <x v="799"/>
    <n v="7"/>
    <n v="2025"/>
    <x v="1292"/>
    <s v="C00000013"/>
    <x v="64"/>
    <s v="RA Resin 268BQT (225Kg)"/>
    <n v="1"/>
    <s v="Cash"/>
    <x v="0"/>
    <d v="2025-07-31T00:00:00"/>
    <x v="4"/>
    <x v="7"/>
    <n v="1710"/>
    <n v="-1710"/>
    <n v="0"/>
    <n v="6993268.9500000039"/>
    <s v="Chq"/>
    <s v="Trsf 30/7/25 RM3,129.10"/>
    <m/>
  </r>
  <r>
    <x v="799"/>
    <n v="7"/>
    <n v="2025"/>
    <x v="1292"/>
    <s v="C00000013"/>
    <x v="64"/>
    <s v="RA CSM 450 GSM Jushi 2080mm (60kg)"/>
    <n v="1"/>
    <s v="Cash"/>
    <x v="0"/>
    <d v="2025-07-31T00:00:00"/>
    <x v="4"/>
    <x v="7"/>
    <n v="438"/>
    <n v="-438"/>
    <n v="0"/>
    <n v="6993706.9500000039"/>
    <s v="Chq"/>
    <s v="Trsf 30/7/25 RM3,129.10"/>
    <m/>
  </r>
  <r>
    <x v="799"/>
    <n v="7"/>
    <n v="2025"/>
    <x v="1292"/>
    <s v="C00000013"/>
    <x v="64"/>
    <s v="RO Gelcoat LB9888 (22kg)"/>
    <n v="2"/>
    <s v="Cash"/>
    <x v="0"/>
    <d v="2025-07-31T00:00:00"/>
    <x v="4"/>
    <x v="7"/>
    <n v="567.6"/>
    <n v="-567.6"/>
    <n v="0"/>
    <n v="6994274.5500000035"/>
    <s v="Chq"/>
    <s v="Trsf 30/7/25 RM3,129.10"/>
    <m/>
  </r>
  <r>
    <x v="799"/>
    <n v="7"/>
    <n v="2025"/>
    <x v="1292"/>
    <s v="C00000013"/>
    <x v="64"/>
    <s v="RM Butanox M50 (5Kg)"/>
    <n v="1"/>
    <s v="Cash"/>
    <x v="0"/>
    <d v="2025-07-31T00:00:00"/>
    <x v="4"/>
    <x v="7"/>
    <n v="115"/>
    <n v="-115"/>
    <n v="0"/>
    <n v="6994389.5500000035"/>
    <s v="Chq"/>
    <s v="Trsf 30/7/25 RM3,129.10"/>
    <m/>
  </r>
  <r>
    <x v="799"/>
    <n v="7"/>
    <n v="2025"/>
    <x v="1292"/>
    <s v="C00000013"/>
    <x v="64"/>
    <s v="RD Brush 3&quot; "/>
    <n v="5"/>
    <s v="Cash"/>
    <x v="0"/>
    <d v="2025-07-31T00:00:00"/>
    <x v="4"/>
    <x v="7"/>
    <n v="27.5"/>
    <n v="-27.5"/>
    <n v="0"/>
    <n v="6994417.0500000035"/>
    <s v="Chq"/>
    <s v="Trsf 30/7/25 RM3,129.10"/>
    <m/>
  </r>
  <r>
    <x v="799"/>
    <n v="7"/>
    <n v="2025"/>
    <x v="1292"/>
    <s v="C00000013"/>
    <x v="64"/>
    <s v="RD Brush 2&quot;"/>
    <n v="5"/>
    <s v="Cash"/>
    <x v="0"/>
    <d v="2025-07-31T00:00:00"/>
    <x v="4"/>
    <x v="7"/>
    <n v="25"/>
    <n v="-25"/>
    <n v="0"/>
    <n v="6994442.0500000035"/>
    <s v="Chq"/>
    <s v="Trsf 30/7/25 RM3,129.10"/>
    <m/>
  </r>
  <r>
    <x v="799"/>
    <n v="7"/>
    <n v="2025"/>
    <x v="1292"/>
    <s v="C00000013"/>
    <x v="64"/>
    <s v="RA Pigment Super Black (1Kg)"/>
    <n v="1"/>
    <s v="Cash"/>
    <x v="0"/>
    <d v="2025-07-31T00:00:00"/>
    <x v="4"/>
    <x v="7"/>
    <n v="36"/>
    <n v="-36"/>
    <n v="0"/>
    <n v="6994478.0500000035"/>
    <s v="Chq"/>
    <s v="Trsf 30/7/25 RM3,129.10"/>
    <m/>
  </r>
  <r>
    <x v="799"/>
    <n v="7"/>
    <n v="2025"/>
    <x v="1292"/>
    <s v="C00000013"/>
    <x v="64"/>
    <s v="RM Miracle Gloss Wax No. 8 (311g/Can) "/>
    <n v="3"/>
    <s v="Cash"/>
    <x v="0"/>
    <d v="2025-07-31T00:00:00"/>
    <x v="4"/>
    <x v="7"/>
    <n v="174"/>
    <n v="-174"/>
    <n v="0"/>
    <n v="6994652.0500000035"/>
    <s v="Chq"/>
    <s v="Trsf 30/7/25 RM3,129.10"/>
    <m/>
  </r>
  <r>
    <x v="799"/>
    <n v="7"/>
    <n v="2025"/>
    <x v="1292"/>
    <s v="C00000013"/>
    <x v="64"/>
    <s v="Paint Roller PR4101 (10pcs)"/>
    <n v="2"/>
    <s v="Cash"/>
    <x v="0"/>
    <d v="2025-07-31T00:00:00"/>
    <x v="4"/>
    <x v="7"/>
    <n v="26"/>
    <n v="-26"/>
    <n v="0"/>
    <n v="6994678.0500000035"/>
    <s v="Chq"/>
    <s v="Trsf 30/7/25 RM3,129.10"/>
    <m/>
  </r>
  <r>
    <x v="799"/>
    <n v="7"/>
    <n v="2025"/>
    <x v="1292"/>
    <s v="C00000013"/>
    <x v="64"/>
    <s v="Polar Modelling Glay"/>
    <n v="4"/>
    <s v="Cash"/>
    <x v="0"/>
    <d v="2025-07-31T00:00:00"/>
    <x v="4"/>
    <x v="7"/>
    <n v="10"/>
    <n v="-10"/>
    <n v="0"/>
    <n v="6994688.0500000035"/>
    <s v="Chq"/>
    <s v="Trsf 30/7/25 RM3,129.10"/>
    <m/>
  </r>
  <r>
    <x v="799"/>
    <n v="7"/>
    <n v="2025"/>
    <x v="1293"/>
    <s v="C00000061"/>
    <x v="63"/>
    <s v="RO CSM 450 1860mm(W) (67kg)"/>
    <n v="1"/>
    <s v="Cash"/>
    <x v="0"/>
    <d v="2025-07-31T00:00:00"/>
    <x v="4"/>
    <x v="7"/>
    <n v="408.7"/>
    <n v="-408.7"/>
    <n v="0"/>
    <n v="6995096.7500000037"/>
    <s v="Cash"/>
    <s v="Trsf 31/7/25 RM696.20"/>
    <m/>
  </r>
  <r>
    <x v="799"/>
    <n v="7"/>
    <n v="2025"/>
    <x v="1293"/>
    <s v="C00000061"/>
    <x v="63"/>
    <s v="RA Butanox M50 (5kg)"/>
    <n v="1"/>
    <s v="Cash"/>
    <x v="0"/>
    <d v="2025-07-31T00:00:00"/>
    <x v="4"/>
    <x v="7"/>
    <n v="115"/>
    <n v="-115"/>
    <n v="0"/>
    <n v="6995211.7500000037"/>
    <s v="Cash"/>
    <s v="Trsf 31/7/25 RM696.20"/>
    <m/>
  </r>
  <r>
    <x v="799"/>
    <n v="7"/>
    <n v="2025"/>
    <x v="1293"/>
    <s v="C00000061"/>
    <x v="63"/>
    <s v="RQ Talcum Powder (25kg)"/>
    <n v="3"/>
    <s v="Cash"/>
    <x v="0"/>
    <d v="2025-07-31T00:00:00"/>
    <x v="4"/>
    <x v="7"/>
    <n v="172.5"/>
    <n v="-172.5"/>
    <n v="0"/>
    <n v="6995384.2500000037"/>
    <s v="Cash"/>
    <s v="Trsf 31/7/25 RM696.2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0CB5E-B8D0-4459-BD87-7345C70589F7}" name="PivotTable2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2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62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r="2">
      <x v="5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r="2">
      <x v="4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3"/>
    </i>
    <i r="2">
      <x v="4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3"/>
    </i>
    <i r="2">
      <x v="4"/>
    </i>
    <i r="2">
      <x v="5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3"/>
    </i>
    <i r="2">
      <x v="4"/>
    </i>
    <i r="2">
      <x v="5"/>
    </i>
    <i r="2">
      <x v="11"/>
    </i>
    <i t="default">
      <x v="63"/>
    </i>
    <i>
      <x v="64"/>
      <x v="7"/>
      <x v="2"/>
    </i>
    <i r="2">
      <x v="3"/>
    </i>
    <i r="2">
      <x v="4"/>
    </i>
    <i r="2">
      <x v="5"/>
    </i>
    <i r="2">
      <x v="11"/>
    </i>
    <i t="default">
      <x v="64"/>
    </i>
    <i>
      <x v="65"/>
      <x v="7"/>
      <x v="4"/>
    </i>
    <i t="default">
      <x v="65"/>
    </i>
    <i>
      <x v="66"/>
      <x v="7"/>
      <x v="4"/>
    </i>
    <i t="default">
      <x v="6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DC918-EE87-4228-9267-FFAA66AFB40C}" name="PivotTable1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377" firstHeaderRow="1" firstDataRow="2" firstDataCol="5"/>
  <pivotFields count="20">
    <pivotField axis="axisRow" compact="0" outline="0" showAll="0" defaultSubtotal="0">
      <items count="8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</items>
    </pivotField>
    <pivotField compact="0" outline="0" showAll="0"/>
    <pivotField compact="0" outline="0" showAll="0"/>
    <pivotField axis="axisRow" compact="0" outline="0" showAll="0">
      <items count="1295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t="default"/>
      </items>
    </pivotField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372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6"/>
      <x v="775"/>
      <x v="1250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7"/>
      <x v="763"/>
      <x v="1229"/>
    </i>
    <i r="2">
      <x v="8"/>
      <x v="779"/>
      <x v="1259"/>
    </i>
    <i r="2">
      <x v="9"/>
      <x v="788"/>
      <x v="1274"/>
    </i>
    <i r="3">
      <x v="793"/>
      <x v="1281"/>
    </i>
    <i r="4">
      <x v="1282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3"/>
      <x v="748"/>
      <x v="1201"/>
    </i>
    <i r="3">
      <x v="753"/>
      <x v="1210"/>
    </i>
    <i r="3">
      <x v="761"/>
      <x v="1224"/>
    </i>
    <i r="2">
      <x v="4"/>
      <x v="767"/>
      <x v="1237"/>
    </i>
    <i r="3">
      <x v="776"/>
      <x v="1251"/>
    </i>
    <i r="2">
      <x v="5"/>
      <x v="782"/>
      <x v="1264"/>
    </i>
    <i r="3">
      <x v="790"/>
      <x v="1277"/>
    </i>
    <i r="3">
      <x v="797"/>
      <x v="1289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r="2">
      <x v="5"/>
      <x v="798"/>
      <x v="1291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r="2">
      <x v="4"/>
      <x v="772"/>
      <x v="124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3"/>
      <x v="747"/>
      <x v="1199"/>
    </i>
    <i r="4">
      <x v="1200"/>
    </i>
    <i r="3">
      <x v="750"/>
      <x v="1203"/>
    </i>
    <i r="4">
      <x v="1204"/>
    </i>
    <i r="3">
      <x v="751"/>
      <x v="1206"/>
    </i>
    <i r="4">
      <x v="1207"/>
    </i>
    <i r="3">
      <x v="752"/>
      <x v="1208"/>
    </i>
    <i r="4">
      <x v="1209"/>
    </i>
    <i r="3">
      <x v="753"/>
      <x v="1212"/>
    </i>
    <i r="3">
      <x v="755"/>
      <x v="1214"/>
    </i>
    <i r="4">
      <x v="1215"/>
    </i>
    <i r="3">
      <x v="756"/>
      <x v="1216"/>
    </i>
    <i r="4">
      <x v="1217"/>
    </i>
    <i r="3">
      <x v="757"/>
      <x v="1218"/>
    </i>
    <i r="3">
      <x v="758"/>
      <x v="1219"/>
    </i>
    <i r="3">
      <x v="759"/>
      <x v="1220"/>
    </i>
    <i r="4">
      <x v="1221"/>
    </i>
    <i r="3">
      <x v="761"/>
      <x v="1225"/>
    </i>
    <i r="4">
      <x v="1226"/>
    </i>
    <i r="3">
      <x v="762"/>
      <x v="1227"/>
    </i>
    <i r="4">
      <x v="1228"/>
    </i>
    <i r="2">
      <x v="4"/>
      <x v="764"/>
      <x v="1230"/>
    </i>
    <i r="4">
      <x v="1231"/>
    </i>
    <i r="3">
      <x v="766"/>
      <x v="1233"/>
    </i>
    <i r="4">
      <x v="1234"/>
    </i>
    <i r="3">
      <x v="767"/>
      <x v="1235"/>
    </i>
    <i r="4">
      <x v="1236"/>
    </i>
    <i r="3">
      <x v="770"/>
      <x v="1240"/>
    </i>
    <i r="4">
      <x v="1241"/>
    </i>
    <i r="3">
      <x v="771"/>
      <x v="1242"/>
    </i>
    <i r="4">
      <x v="1243"/>
    </i>
    <i r="3">
      <x v="773"/>
      <x v="1248"/>
    </i>
    <i r="4">
      <x v="1249"/>
    </i>
    <i r="3">
      <x v="776"/>
      <x v="1252"/>
    </i>
    <i r="4">
      <x v="1253"/>
    </i>
    <i r="3">
      <x v="777"/>
      <x v="1254"/>
    </i>
    <i r="4">
      <x v="1255"/>
    </i>
    <i r="3">
      <x v="778"/>
      <x v="1257"/>
    </i>
    <i r="4">
      <x v="1258"/>
    </i>
    <i r="2">
      <x v="5"/>
      <x v="782"/>
      <x v="1262"/>
    </i>
    <i r="4">
      <x v="1263"/>
    </i>
    <i r="3">
      <x v="783"/>
      <x v="1265"/>
    </i>
    <i r="4">
      <x v="1266"/>
    </i>
    <i r="3">
      <x v="785"/>
      <x v="1268"/>
    </i>
    <i r="4">
      <x v="1269"/>
    </i>
    <i r="3">
      <x v="786"/>
      <x v="1270"/>
    </i>
    <i r="4">
      <x v="1271"/>
    </i>
    <i r="3">
      <x v="787"/>
      <x v="1272"/>
    </i>
    <i r="4">
      <x v="1273"/>
    </i>
    <i r="3">
      <x v="789"/>
      <x v="1275"/>
    </i>
    <i r="4">
      <x v="1276"/>
    </i>
    <i r="3">
      <x v="792"/>
      <x v="1279"/>
    </i>
    <i r="4">
      <x v="1280"/>
    </i>
    <i r="3">
      <x v="794"/>
      <x v="1283"/>
    </i>
    <i r="4">
      <x v="1284"/>
    </i>
    <i r="3">
      <x v="796"/>
      <x v="1287"/>
    </i>
    <i r="4">
      <x v="128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3"/>
      <x v="747"/>
      <x v="1197"/>
    </i>
    <i r="3">
      <x v="753"/>
      <x v="1211"/>
    </i>
    <i r="2">
      <x v="4"/>
      <x v="774"/>
      <x v="1247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3"/>
      <x v="749"/>
      <x v="1202"/>
    </i>
    <i r="3">
      <x v="760"/>
      <x v="1222"/>
    </i>
    <i r="2">
      <x v="4"/>
      <x v="772"/>
      <x v="1244"/>
    </i>
    <i r="3">
      <x v="780"/>
      <x v="1260"/>
    </i>
    <i r="2">
      <x v="5"/>
      <x v="784"/>
      <x v="1267"/>
    </i>
    <i r="3">
      <x v="791"/>
      <x v="1278"/>
    </i>
    <i r="3">
      <x v="796"/>
      <x v="1286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3"/>
      <x v="748"/>
      <x v="1198"/>
    </i>
    <i r="3">
      <x v="750"/>
      <x v="1205"/>
    </i>
    <i r="3">
      <x v="760"/>
      <x v="1223"/>
    </i>
    <i r="2">
      <x v="4"/>
      <x v="768"/>
      <x v="1238"/>
    </i>
    <i r="3">
      <x v="778"/>
      <x v="1256"/>
    </i>
    <i r="2">
      <x v="5"/>
      <x v="795"/>
      <x v="1285"/>
    </i>
    <i r="3">
      <x v="797"/>
      <x v="1290"/>
    </i>
    <i r="3">
      <x v="799"/>
      <x v="1293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3"/>
      <x v="754"/>
      <x v="1213"/>
    </i>
    <i r="2">
      <x v="4"/>
      <x v="781"/>
      <x v="1261"/>
    </i>
    <i r="2">
      <x v="5"/>
      <x v="799"/>
      <x v="1292"/>
    </i>
    <i r="2">
      <x v="11"/>
      <x v="733"/>
      <x v="1175"/>
    </i>
    <i t="default">
      <x v="64"/>
    </i>
    <i>
      <x v="65"/>
      <x v="7"/>
      <x v="4"/>
      <x v="765"/>
      <x v="1232"/>
    </i>
    <i r="3">
      <x v="769"/>
      <x v="1239"/>
    </i>
    <i t="default">
      <x v="65"/>
    </i>
    <i>
      <x v="66"/>
      <x v="7"/>
      <x v="4"/>
      <x v="773"/>
      <x v="1246"/>
    </i>
    <i t="default">
      <x v="6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06D73-F28D-4CDD-964F-625E3D556449}" name="PivotTable3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3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E0C14-4DD4-411B-BE07-2A3A3FE47043}" name="PivotTable2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48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/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8"/>
        <item x="54"/>
        <item x="55"/>
        <item x="53"/>
        <item x="56"/>
        <item x="57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43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/>
    </i>
    <i r="1"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t="default">
      <x v="5"/>
    </i>
    <i>
      <x v="6"/>
      <x v="4"/>
    </i>
    <i r="1">
      <x v="5"/>
    </i>
    <i r="1">
      <x v="9"/>
    </i>
    <i r="1">
      <x v="17"/>
    </i>
    <i r="1">
      <x v="25"/>
    </i>
    <i r="1">
      <x v="26"/>
    </i>
    <i r="1">
      <x v="34"/>
    </i>
    <i r="1">
      <x v="38"/>
    </i>
    <i r="1">
      <x v="40"/>
    </i>
    <i r="1">
      <x v="42"/>
    </i>
    <i r="1">
      <x v="43"/>
    </i>
    <i r="1">
      <x v="46"/>
    </i>
    <i r="1">
      <x v="47"/>
    </i>
    <i r="1">
      <x v="52"/>
    </i>
    <i r="1">
      <x v="57"/>
    </i>
    <i r="1">
      <x v="60"/>
    </i>
    <i r="1">
      <x v="62"/>
    </i>
    <i r="1">
      <x v="63"/>
    </i>
    <i r="1">
      <x v="64"/>
    </i>
    <i r="1">
      <x v="65"/>
    </i>
    <i r="1">
      <x v="66"/>
    </i>
    <i t="default">
      <x v="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/>
  <dimension ref="A1:BA1377"/>
  <sheetViews>
    <sheetView tabSelected="1" topLeftCell="A58" zoomScaleNormal="100" workbookViewId="0">
      <selection activeCell="H75" sqref="H75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7265625" bestFit="1" customWidth="1"/>
    <col min="10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7265625" bestFit="1" customWidth="1"/>
    <col min="36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4" width="10.7265625" bestFit="1" customWidth="1"/>
    <col min="55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4077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1277.5</v>
      </c>
      <c r="D10" s="18"/>
      <c r="E10" s="18"/>
      <c r="F10" s="18"/>
      <c r="G10" s="18"/>
      <c r="H10" s="18">
        <v>1277.5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0.19999999999998863</v>
      </c>
      <c r="C11" s="18"/>
      <c r="D11" s="18"/>
      <c r="E11" s="18"/>
      <c r="F11" s="18"/>
      <c r="G11" s="18"/>
      <c r="H11" s="18">
        <v>0.19999999999998863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52482.9</v>
      </c>
      <c r="F15" s="18"/>
      <c r="G15" s="18"/>
      <c r="H15" s="18">
        <v>52482.9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96862.300000000017</v>
      </c>
      <c r="C23" s="18"/>
      <c r="D23" s="18"/>
      <c r="E23" s="18"/>
      <c r="F23" s="18"/>
      <c r="G23" s="18"/>
      <c r="H23" s="18">
        <v>96862.300000000017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28583.599999999999</v>
      </c>
      <c r="C26" s="18"/>
      <c r="D26" s="18"/>
      <c r="E26" s="18"/>
      <c r="F26" s="18"/>
      <c r="G26" s="18"/>
      <c r="H26" s="18">
        <v>28583.599999999999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33600.600000000006</v>
      </c>
      <c r="C32" s="18"/>
      <c r="D32" s="18"/>
      <c r="E32" s="18"/>
      <c r="F32" s="18"/>
      <c r="G32" s="18"/>
      <c r="H32" s="18">
        <v>33600.600000000006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522339.3</v>
      </c>
      <c r="C49" s="18"/>
      <c r="D49" s="18"/>
      <c r="E49" s="18"/>
      <c r="F49" s="18"/>
      <c r="G49" s="18"/>
      <c r="H49" s="18">
        <v>522339.3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2360</v>
      </c>
      <c r="C55" s="18"/>
      <c r="D55" s="18"/>
      <c r="E55" s="18"/>
      <c r="F55" s="18"/>
      <c r="G55" s="18"/>
      <c r="H55" s="18">
        <v>2360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A69" t="s">
        <v>3532</v>
      </c>
      <c r="B69" s="18">
        <v>3923.7</v>
      </c>
      <c r="C69" s="18"/>
      <c r="D69" s="18"/>
      <c r="E69" s="18"/>
      <c r="F69" s="18"/>
      <c r="G69" s="18"/>
      <c r="H69" s="18">
        <v>3923.7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A71" t="s">
        <v>3837</v>
      </c>
      <c r="B71" s="18">
        <v>0</v>
      </c>
      <c r="C71" s="18"/>
      <c r="D71" s="18"/>
      <c r="E71" s="18"/>
      <c r="F71" s="18"/>
      <c r="G71" s="18"/>
      <c r="H71" s="18">
        <v>0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A72" t="s">
        <v>3867</v>
      </c>
      <c r="B72" s="18">
        <v>0</v>
      </c>
      <c r="C72" s="18"/>
      <c r="D72" s="18"/>
      <c r="E72" s="18"/>
      <c r="F72" s="18"/>
      <c r="G72" s="18"/>
      <c r="H72" s="18">
        <v>0</v>
      </c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A73" t="s">
        <v>131</v>
      </c>
      <c r="B73" s="18">
        <v>710248.7</v>
      </c>
      <c r="C73" s="18">
        <v>1277.5</v>
      </c>
      <c r="D73" s="18">
        <v>0</v>
      </c>
      <c r="E73" s="18">
        <v>52482.9</v>
      </c>
      <c r="F73" s="18">
        <v>0</v>
      </c>
      <c r="G73" s="18">
        <v>18660</v>
      </c>
      <c r="H73" s="18">
        <v>782669.1</v>
      </c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0</v>
      </c>
      <c r="AW117" s="18"/>
      <c r="AX117" s="18"/>
      <c r="AY117" s="18"/>
      <c r="AZ117" s="18"/>
      <c r="BA117" s="18">
        <v>0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8</v>
      </c>
      <c r="AU118" s="18"/>
      <c r="AV118" s="18">
        <v>1277.5</v>
      </c>
      <c r="AW118" s="18"/>
      <c r="AX118" s="18"/>
      <c r="AY118" s="18"/>
      <c r="AZ118" s="18"/>
      <c r="BA118" s="18">
        <v>1277.5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/>
      <c r="AV119" s="18">
        <v>0</v>
      </c>
      <c r="AW119" s="18"/>
      <c r="AX119" s="18"/>
      <c r="AY119" s="18"/>
      <c r="AZ119" s="18"/>
      <c r="BA119" s="18">
        <v>0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s="36" t="s">
        <v>136</v>
      </c>
      <c r="AS120" s="36"/>
      <c r="AT120" s="36"/>
      <c r="AU120" s="37"/>
      <c r="AV120" s="37">
        <v>1277.5</v>
      </c>
      <c r="AW120" s="37"/>
      <c r="AX120" s="37"/>
      <c r="AY120" s="37"/>
      <c r="AZ120" s="37"/>
      <c r="BA120" s="37">
        <v>1277.5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R121" t="s">
        <v>43</v>
      </c>
      <c r="AS121">
        <v>2020</v>
      </c>
      <c r="AT121">
        <v>8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11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2021</v>
      </c>
      <c r="AT123">
        <v>10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S124">
        <v>2022</v>
      </c>
      <c r="AT124">
        <v>1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2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3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5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6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10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S130">
        <v>2023</v>
      </c>
      <c r="AT130">
        <v>8</v>
      </c>
      <c r="AU130" s="18">
        <v>0</v>
      </c>
      <c r="AV130" s="18"/>
      <c r="AW130" s="18"/>
      <c r="AX130" s="18"/>
      <c r="AY130" s="18"/>
      <c r="AZ130" s="18"/>
      <c r="BA130" s="18">
        <v>0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10</v>
      </c>
      <c r="AU131" s="18">
        <v>0.19999999999998863</v>
      </c>
      <c r="AV131" s="18"/>
      <c r="AW131" s="18"/>
      <c r="AX131" s="18"/>
      <c r="AY131" s="18"/>
      <c r="AZ131" s="18"/>
      <c r="BA131" s="18">
        <v>0.19999999999998863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11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2024</v>
      </c>
      <c r="AT134">
        <v>1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7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4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S139">
        <v>2025</v>
      </c>
      <c r="AT139">
        <v>3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s="36" t="s">
        <v>137</v>
      </c>
      <c r="AS140" s="36"/>
      <c r="AT140" s="36"/>
      <c r="AU140" s="37">
        <v>0.19999999999998863</v>
      </c>
      <c r="AV140" s="37"/>
      <c r="AW140" s="37"/>
      <c r="AX140" s="37"/>
      <c r="AY140" s="37"/>
      <c r="AZ140" s="37"/>
      <c r="BA140" s="37">
        <v>0.19999999999998863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R141" t="s">
        <v>23</v>
      </c>
      <c r="AS141">
        <v>2020</v>
      </c>
      <c r="AT141">
        <v>10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11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12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S144">
        <v>2021</v>
      </c>
      <c r="AT144">
        <v>1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2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6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7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8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12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T150">
        <v>4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S151">
        <v>2022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5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6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8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9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12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T157">
        <v>4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5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S158">
        <v>2023</v>
      </c>
      <c r="AT158">
        <v>2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3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5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T160">
        <v>6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s="36" t="s">
        <v>138</v>
      </c>
      <c r="AS161" s="36"/>
      <c r="AT161" s="36"/>
      <c r="AU161" s="37"/>
      <c r="AV161" s="37"/>
      <c r="AW161" s="37"/>
      <c r="AX161" s="37">
        <v>0</v>
      </c>
      <c r="AY161" s="37"/>
      <c r="AZ161" s="37"/>
      <c r="BA161" s="37">
        <v>0</v>
      </c>
    </row>
    <row r="162" spans="23:53" x14ac:dyDescent="0.35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R162" t="s">
        <v>14</v>
      </c>
      <c r="AS162">
        <v>2020</v>
      </c>
      <c r="AT162">
        <v>6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S163">
        <v>2021</v>
      </c>
      <c r="AT163">
        <v>9</v>
      </c>
      <c r="AU163" s="18">
        <v>0</v>
      </c>
      <c r="AV163" s="18"/>
      <c r="AW163" s="18"/>
      <c r="AX163" s="18"/>
      <c r="AY163" s="18"/>
      <c r="AZ163" s="18"/>
      <c r="BA163" s="18">
        <v>0</v>
      </c>
    </row>
    <row r="164" spans="23:53" x14ac:dyDescent="0.35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s="36" t="s">
        <v>139</v>
      </c>
      <c r="AS164" s="36"/>
      <c r="AT164" s="36"/>
      <c r="AU164" s="37">
        <v>0</v>
      </c>
      <c r="AV164" s="37"/>
      <c r="AW164" s="37"/>
      <c r="AX164" s="37"/>
      <c r="AY164" s="37"/>
      <c r="AZ164" s="37"/>
      <c r="BA164" s="37">
        <v>0</v>
      </c>
    </row>
    <row r="165" spans="23:53" x14ac:dyDescent="0.35">
      <c r="Y165">
        <v>5</v>
      </c>
      <c r="Z165" s="57">
        <v>45733</v>
      </c>
      <c r="AA165" t="s">
        <v>3536</v>
      </c>
      <c r="AB165" s="18"/>
      <c r="AC165" s="18">
        <v>0</v>
      </c>
      <c r="AD165" s="18"/>
      <c r="AE165" s="18"/>
      <c r="AF165" s="18"/>
      <c r="AG165" s="18"/>
      <c r="AH165" s="18">
        <v>0</v>
      </c>
      <c r="AR165" t="s">
        <v>52</v>
      </c>
      <c r="AS165">
        <v>2020</v>
      </c>
      <c r="AT165">
        <v>8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Y166">
        <v>8</v>
      </c>
      <c r="Z166" t="s">
        <v>3873</v>
      </c>
      <c r="AA166" t="s">
        <v>3874</v>
      </c>
      <c r="AB166" s="18"/>
      <c r="AC166" s="18">
        <v>1277.5</v>
      </c>
      <c r="AD166" s="18"/>
      <c r="AE166" s="18"/>
      <c r="AF166" s="18"/>
      <c r="AG166" s="18"/>
      <c r="AH166" s="18">
        <v>1277.5</v>
      </c>
      <c r="AT166">
        <v>9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5">
      <c r="Y167">
        <v>4</v>
      </c>
      <c r="Z167" s="57">
        <v>45705</v>
      </c>
      <c r="AA167" t="s">
        <v>3457</v>
      </c>
      <c r="AB167" s="18"/>
      <c r="AC167" s="18">
        <v>0</v>
      </c>
      <c r="AD167" s="18"/>
      <c r="AE167" s="18"/>
      <c r="AF167" s="18"/>
      <c r="AG167" s="18"/>
      <c r="AH167" s="18">
        <v>0</v>
      </c>
      <c r="AT167">
        <v>11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5">
      <c r="W168" s="36" t="s">
        <v>136</v>
      </c>
      <c r="X168" s="36"/>
      <c r="Y168" s="36"/>
      <c r="Z168" s="36"/>
      <c r="AA168" s="36"/>
      <c r="AB168" s="37"/>
      <c r="AC168" s="37">
        <v>1277.5</v>
      </c>
      <c r="AD168" s="37"/>
      <c r="AE168" s="37"/>
      <c r="AF168" s="37"/>
      <c r="AG168" s="37"/>
      <c r="AH168" s="37">
        <v>1277.5</v>
      </c>
      <c r="AS168">
        <v>2021</v>
      </c>
      <c r="AT168">
        <v>2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5">
      <c r="W169" t="s">
        <v>43</v>
      </c>
      <c r="X169">
        <v>2020</v>
      </c>
      <c r="Y169">
        <v>8</v>
      </c>
      <c r="Z169" s="57">
        <v>44062</v>
      </c>
      <c r="AA169" t="s">
        <v>41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10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5">
      <c r="Y170">
        <v>11</v>
      </c>
      <c r="Z170" s="57">
        <v>44144</v>
      </c>
      <c r="AA170" t="s">
        <v>151</v>
      </c>
      <c r="AB170" s="18">
        <v>0</v>
      </c>
      <c r="AC170" s="18"/>
      <c r="AD170" s="18"/>
      <c r="AE170" s="18"/>
      <c r="AF170" s="18"/>
      <c r="AG170" s="18"/>
      <c r="AH170" s="18">
        <v>0</v>
      </c>
      <c r="AT170">
        <v>11</v>
      </c>
      <c r="AU170" s="18">
        <v>0</v>
      </c>
      <c r="AV170" s="18"/>
      <c r="AW170" s="18"/>
      <c r="AX170" s="18"/>
      <c r="AY170" s="18"/>
      <c r="AZ170" s="18"/>
      <c r="BA170" s="18">
        <v>0</v>
      </c>
    </row>
    <row r="171" spans="23:53" x14ac:dyDescent="0.35">
      <c r="X171">
        <v>2021</v>
      </c>
      <c r="Y171">
        <v>10</v>
      </c>
      <c r="Z171" s="57">
        <v>44470</v>
      </c>
      <c r="AA171" t="s">
        <v>397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s="36" t="s">
        <v>140</v>
      </c>
      <c r="AS171" s="36"/>
      <c r="AT171" s="36"/>
      <c r="AU171" s="37">
        <v>0</v>
      </c>
      <c r="AV171" s="37"/>
      <c r="AW171" s="37"/>
      <c r="AX171" s="37"/>
      <c r="AY171" s="37"/>
      <c r="AZ171" s="37"/>
      <c r="BA171" s="37">
        <v>0</v>
      </c>
    </row>
    <row r="172" spans="23:53" x14ac:dyDescent="0.35">
      <c r="X172">
        <v>2022</v>
      </c>
      <c r="Y172">
        <v>1</v>
      </c>
      <c r="Z172" s="57">
        <v>44586</v>
      </c>
      <c r="AA172" t="s">
        <v>568</v>
      </c>
      <c r="AB172" s="18">
        <v>0</v>
      </c>
      <c r="AC172" s="18"/>
      <c r="AD172" s="18"/>
      <c r="AE172" s="18"/>
      <c r="AF172" s="18"/>
      <c r="AG172" s="18"/>
      <c r="AH172" s="18">
        <v>0</v>
      </c>
      <c r="AR172" t="s">
        <v>62</v>
      </c>
      <c r="AS172">
        <v>2020</v>
      </c>
      <c r="AT172">
        <v>12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2</v>
      </c>
      <c r="Z173" s="57">
        <v>44613</v>
      </c>
      <c r="AA173" t="s">
        <v>607</v>
      </c>
      <c r="AB173" s="18">
        <v>0</v>
      </c>
      <c r="AC173" s="18"/>
      <c r="AD173" s="18"/>
      <c r="AE173" s="18"/>
      <c r="AF173" s="18"/>
      <c r="AG173" s="18"/>
      <c r="AH173" s="18">
        <v>0</v>
      </c>
      <c r="AS173">
        <v>2021</v>
      </c>
      <c r="AT173">
        <v>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Y174">
        <v>3</v>
      </c>
      <c r="Z174" s="57">
        <v>44632</v>
      </c>
      <c r="AA174" t="s">
        <v>645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Z175" s="57">
        <v>44641</v>
      </c>
      <c r="AA175" t="s">
        <v>652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3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Y176">
        <v>5</v>
      </c>
      <c r="Z176" t="s">
        <v>767</v>
      </c>
      <c r="AA176" t="s">
        <v>766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5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Z177" s="57">
        <v>44695</v>
      </c>
      <c r="AA177" t="s">
        <v>776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7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5">
      <c r="Y178">
        <v>6</v>
      </c>
      <c r="Z178" s="57">
        <v>44732</v>
      </c>
      <c r="AA178" t="s">
        <v>843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8</v>
      </c>
      <c r="AU178" s="18"/>
      <c r="AV178" s="18"/>
      <c r="AW178" s="18"/>
      <c r="AX178" s="18">
        <v>-179.39999999999998</v>
      </c>
      <c r="AY178" s="18"/>
      <c r="AZ178" s="18"/>
      <c r="BA178" s="18">
        <v>-179.39999999999998</v>
      </c>
    </row>
    <row r="179" spans="23:53" x14ac:dyDescent="0.35">
      <c r="Y179">
        <v>10</v>
      </c>
      <c r="Z179" s="57">
        <v>44845</v>
      </c>
      <c r="AA179" t="s">
        <v>997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9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X180">
        <v>2023</v>
      </c>
      <c r="Y180">
        <v>8</v>
      </c>
      <c r="Z180" s="57">
        <v>45141</v>
      </c>
      <c r="AA180" t="s">
        <v>1797</v>
      </c>
      <c r="AB180" s="18">
        <v>0</v>
      </c>
      <c r="AC180" s="18"/>
      <c r="AD180" s="18"/>
      <c r="AE180" s="18"/>
      <c r="AF180" s="18"/>
      <c r="AG180" s="18"/>
      <c r="AH180" s="18">
        <v>0</v>
      </c>
      <c r="AT180">
        <v>4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Z181" s="57">
        <v>45159</v>
      </c>
      <c r="AA181" t="s">
        <v>1822</v>
      </c>
      <c r="AB181" s="18">
        <v>0</v>
      </c>
      <c r="AC181" s="18"/>
      <c r="AD181" s="18"/>
      <c r="AE181" s="18"/>
      <c r="AF181" s="18"/>
      <c r="AG181" s="18"/>
      <c r="AH181" s="18">
        <v>0</v>
      </c>
      <c r="AS181">
        <v>2022</v>
      </c>
      <c r="AT181">
        <v>1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10</v>
      </c>
      <c r="Z182" s="57">
        <v>45206</v>
      </c>
      <c r="AA182" t="s">
        <v>2000</v>
      </c>
      <c r="AB182" s="18">
        <v>0.19999999999998863</v>
      </c>
      <c r="AC182" s="18"/>
      <c r="AD182" s="18"/>
      <c r="AE182" s="18"/>
      <c r="AF182" s="18"/>
      <c r="AG182" s="18"/>
      <c r="AH182" s="18">
        <v>0.19999999999998863</v>
      </c>
      <c r="AT182">
        <v>2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11</v>
      </c>
      <c r="Z183" s="57">
        <v>45252</v>
      </c>
      <c r="AA183" t="s">
        <v>2167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3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Y184">
        <v>4</v>
      </c>
      <c r="Z184" t="s">
        <v>1414</v>
      </c>
      <c r="AA184" t="s">
        <v>1415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5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X185">
        <v>2024</v>
      </c>
      <c r="Y185">
        <v>1</v>
      </c>
      <c r="Z185" s="57">
        <v>45294</v>
      </c>
      <c r="AA185" t="s">
        <v>2269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6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Y186">
        <v>5</v>
      </c>
      <c r="Z186" s="57">
        <v>45422</v>
      </c>
      <c r="AA186" t="s">
        <v>2557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7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7</v>
      </c>
      <c r="Z187" s="57">
        <v>45477</v>
      </c>
      <c r="AA187" t="s">
        <v>2753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8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Y188">
        <v>8</v>
      </c>
      <c r="Z188" s="57">
        <v>45509</v>
      </c>
      <c r="AA188" t="s">
        <v>2842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9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Y189">
        <v>4</v>
      </c>
      <c r="Z189" s="57">
        <v>45394</v>
      </c>
      <c r="AA189" t="s">
        <v>2512</v>
      </c>
      <c r="AB189" s="18">
        <v>0</v>
      </c>
      <c r="AC189" s="18"/>
      <c r="AD189" s="18"/>
      <c r="AE189" s="18"/>
      <c r="AF189" s="18"/>
      <c r="AG189" s="18"/>
      <c r="AH189" s="18">
        <v>0</v>
      </c>
      <c r="AT189">
        <v>10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X190">
        <v>2025</v>
      </c>
      <c r="Y190">
        <v>3</v>
      </c>
      <c r="Z190" s="57">
        <v>45728</v>
      </c>
      <c r="AA190" t="s">
        <v>3524</v>
      </c>
      <c r="AB190" s="18">
        <v>0</v>
      </c>
      <c r="AC190" s="18"/>
      <c r="AD190" s="18"/>
      <c r="AE190" s="18"/>
      <c r="AF190" s="18"/>
      <c r="AG190" s="18"/>
      <c r="AH190" s="18">
        <v>0</v>
      </c>
      <c r="AT190">
        <v>11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W191" s="36" t="s">
        <v>137</v>
      </c>
      <c r="X191" s="36"/>
      <c r="Y191" s="36"/>
      <c r="Z191" s="36"/>
      <c r="AA191" s="36"/>
      <c r="AB191" s="37">
        <v>0.19999999999998863</v>
      </c>
      <c r="AC191" s="37"/>
      <c r="AD191" s="37"/>
      <c r="AE191" s="37"/>
      <c r="AF191" s="37"/>
      <c r="AG191" s="37"/>
      <c r="AH191" s="37">
        <v>0.19999999999998863</v>
      </c>
      <c r="AT191">
        <v>12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W192" t="s">
        <v>23</v>
      </c>
      <c r="X192">
        <v>2020</v>
      </c>
      <c r="Y192">
        <v>10</v>
      </c>
      <c r="Z192" s="57">
        <v>44013</v>
      </c>
      <c r="AA192" t="s">
        <v>21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4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11</v>
      </c>
      <c r="Z193" s="57">
        <v>44044</v>
      </c>
      <c r="AA193" t="s">
        <v>30</v>
      </c>
      <c r="AB193" s="18"/>
      <c r="AC193" s="18"/>
      <c r="AD193" s="18"/>
      <c r="AE193" s="18">
        <v>0</v>
      </c>
      <c r="AF193" s="18"/>
      <c r="AG193" s="18"/>
      <c r="AH193" s="18">
        <v>0</v>
      </c>
      <c r="AS193">
        <v>2023</v>
      </c>
      <c r="AT193">
        <v>1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Y194">
        <v>12</v>
      </c>
      <c r="Z194" s="57">
        <v>44051</v>
      </c>
      <c r="AA194" t="s">
        <v>31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2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AA195" t="s">
        <v>32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3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X196">
        <v>2021</v>
      </c>
      <c r="Y196">
        <v>1</v>
      </c>
      <c r="Z196" s="57">
        <v>44091</v>
      </c>
      <c r="AA196" t="s">
        <v>99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5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Z197" s="57">
        <v>44096</v>
      </c>
      <c r="AA197" t="s">
        <v>101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6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Y198">
        <v>2</v>
      </c>
      <c r="Z198" s="57">
        <v>44112</v>
      </c>
      <c r="AA198" t="s">
        <v>110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7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Z199" s="57">
        <v>44116</v>
      </c>
      <c r="AA199" t="s">
        <v>112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8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Y200">
        <v>6</v>
      </c>
      <c r="Z200" s="57">
        <v>44251</v>
      </c>
      <c r="AA200" t="s">
        <v>274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9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Y201">
        <v>7</v>
      </c>
      <c r="Z201" s="57">
        <v>44263</v>
      </c>
      <c r="AA201" t="s">
        <v>285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10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Z202" s="57">
        <v>44278</v>
      </c>
      <c r="AA202" t="s">
        <v>318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11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Z203" s="57">
        <v>44285</v>
      </c>
      <c r="AA203" t="s">
        <v>322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4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Y204">
        <v>8</v>
      </c>
      <c r="Z204" s="57">
        <v>44319</v>
      </c>
      <c r="AA204" t="s">
        <v>329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S204">
        <v>2024</v>
      </c>
      <c r="AT204">
        <v>1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Y205">
        <v>12</v>
      </c>
      <c r="Z205" s="57">
        <v>44440</v>
      </c>
      <c r="AA205" t="s">
        <v>369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2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Y206">
        <v>4</v>
      </c>
      <c r="Z206" s="57">
        <v>44191</v>
      </c>
      <c r="AA206" t="s">
        <v>211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3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X207">
        <v>2022</v>
      </c>
      <c r="Y207">
        <v>1</v>
      </c>
      <c r="Z207" s="57">
        <v>44466</v>
      </c>
      <c r="AA207" t="s">
        <v>377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5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Z208" s="57">
        <v>44469</v>
      </c>
      <c r="AA208" t="s">
        <v>380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6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Y209">
        <v>5</v>
      </c>
      <c r="Z209" s="57">
        <v>44575</v>
      </c>
      <c r="AA209" t="s">
        <v>559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7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5">
      <c r="AA210" t="s">
        <v>561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8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Z211" s="57">
        <v>44578</v>
      </c>
      <c r="AA211" t="s">
        <v>562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9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5">
      <c r="Z212" s="57">
        <v>44587</v>
      </c>
      <c r="AA212" t="s">
        <v>569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10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5">
      <c r="Y213">
        <v>6</v>
      </c>
      <c r="Z213" s="57">
        <v>44607</v>
      </c>
      <c r="AA213" t="s">
        <v>602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11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5">
      <c r="Y214">
        <v>8</v>
      </c>
      <c r="Z214" s="57">
        <v>44672</v>
      </c>
      <c r="AA214" t="s">
        <v>700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12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5">
      <c r="Y215">
        <v>9</v>
      </c>
      <c r="Z215" s="57">
        <v>44705</v>
      </c>
      <c r="AA215" t="s">
        <v>795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4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5">
      <c r="Y216">
        <v>12</v>
      </c>
      <c r="Z216" s="57">
        <v>44788</v>
      </c>
      <c r="AA216" t="s">
        <v>902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S216">
        <v>2025</v>
      </c>
      <c r="AT216">
        <v>1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5">
      <c r="Y217">
        <v>4</v>
      </c>
      <c r="Z217" s="57">
        <v>44545</v>
      </c>
      <c r="AA217" t="s">
        <v>508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2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5">
      <c r="Z218" s="57">
        <v>44546</v>
      </c>
      <c r="AA218" t="s">
        <v>510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3</v>
      </c>
      <c r="AU218" s="18"/>
      <c r="AV218" s="18"/>
      <c r="AW218" s="18"/>
      <c r="AX218" s="18">
        <v>0</v>
      </c>
      <c r="AY218" s="18"/>
      <c r="AZ218" s="18"/>
      <c r="BA218" s="18">
        <v>0</v>
      </c>
    </row>
    <row r="219" spans="23:53" x14ac:dyDescent="0.35">
      <c r="Z219" s="57">
        <v>44551</v>
      </c>
      <c r="AA219" t="s">
        <v>512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5</v>
      </c>
      <c r="AU219" s="18"/>
      <c r="AV219" s="18"/>
      <c r="AW219" s="18"/>
      <c r="AX219" s="18">
        <v>0</v>
      </c>
      <c r="AY219" s="18"/>
      <c r="AZ219" s="18"/>
      <c r="BA219" s="18">
        <v>0</v>
      </c>
    </row>
    <row r="220" spans="23:53" x14ac:dyDescent="0.35">
      <c r="X220">
        <v>2023</v>
      </c>
      <c r="Y220">
        <v>2</v>
      </c>
      <c r="Z220" s="57">
        <v>44854</v>
      </c>
      <c r="AA220" t="s">
        <v>1008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8</v>
      </c>
      <c r="AU220" s="18"/>
      <c r="AV220" s="18"/>
      <c r="AW220" s="18"/>
      <c r="AX220" s="18">
        <v>0</v>
      </c>
      <c r="AY220" s="18"/>
      <c r="AZ220" s="18"/>
      <c r="BA220" s="18">
        <v>0</v>
      </c>
    </row>
    <row r="221" spans="23:53" x14ac:dyDescent="0.35">
      <c r="Y221">
        <v>3</v>
      </c>
      <c r="Z221" s="57">
        <v>44866</v>
      </c>
      <c r="AA221" t="s">
        <v>1046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9</v>
      </c>
      <c r="AU221" s="18"/>
      <c r="AV221" s="18"/>
      <c r="AW221" s="18"/>
      <c r="AX221" s="18">
        <v>20530</v>
      </c>
      <c r="AY221" s="18"/>
      <c r="AZ221" s="18"/>
      <c r="BA221" s="18">
        <v>20530</v>
      </c>
    </row>
    <row r="222" spans="23:53" x14ac:dyDescent="0.35">
      <c r="Y222">
        <v>6</v>
      </c>
      <c r="Z222" s="57">
        <v>44978</v>
      </c>
      <c r="AA222" t="s">
        <v>1273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10</v>
      </c>
      <c r="AU222" s="18"/>
      <c r="AV222" s="18"/>
      <c r="AW222" s="18"/>
      <c r="AX222" s="18">
        <v>19245.400000000001</v>
      </c>
      <c r="AY222" s="18"/>
      <c r="AZ222" s="18"/>
      <c r="BA222" s="18">
        <v>19245.400000000001</v>
      </c>
    </row>
    <row r="223" spans="23:53" x14ac:dyDescent="0.35">
      <c r="W223" s="36" t="s">
        <v>138</v>
      </c>
      <c r="X223" s="36"/>
      <c r="Y223" s="36"/>
      <c r="Z223" s="36"/>
      <c r="AA223" s="36"/>
      <c r="AB223" s="37"/>
      <c r="AC223" s="37"/>
      <c r="AD223" s="37"/>
      <c r="AE223" s="37">
        <v>0</v>
      </c>
      <c r="AF223" s="37"/>
      <c r="AG223" s="37"/>
      <c r="AH223" s="37">
        <v>0</v>
      </c>
      <c r="AT223">
        <v>11</v>
      </c>
      <c r="AU223" s="18"/>
      <c r="AV223" s="18"/>
      <c r="AW223" s="18"/>
      <c r="AX223" s="18">
        <v>12886.9</v>
      </c>
      <c r="AY223" s="18"/>
      <c r="AZ223" s="18"/>
      <c r="BA223" s="18">
        <v>12886.9</v>
      </c>
    </row>
    <row r="224" spans="23:53" x14ac:dyDescent="0.35">
      <c r="W224" t="s">
        <v>14</v>
      </c>
      <c r="X224">
        <v>2020</v>
      </c>
      <c r="Y224">
        <v>6</v>
      </c>
      <c r="Z224" s="57">
        <v>43993</v>
      </c>
      <c r="AA224" t="s">
        <v>11</v>
      </c>
      <c r="AB224" s="18">
        <v>0</v>
      </c>
      <c r="AC224" s="18"/>
      <c r="AD224" s="18"/>
      <c r="AE224" s="18"/>
      <c r="AF224" s="18"/>
      <c r="AG224" s="18"/>
      <c r="AH224" s="18">
        <v>0</v>
      </c>
      <c r="AT224">
        <v>4</v>
      </c>
      <c r="AU224" s="18"/>
      <c r="AV224" s="18"/>
      <c r="AW224" s="18"/>
      <c r="AX224" s="18">
        <v>0</v>
      </c>
      <c r="AY224" s="18"/>
      <c r="AZ224" s="18"/>
      <c r="BA224" s="18">
        <v>0</v>
      </c>
    </row>
    <row r="225" spans="23:53" x14ac:dyDescent="0.35">
      <c r="X225">
        <v>2021</v>
      </c>
      <c r="Y225">
        <v>9</v>
      </c>
      <c r="Z225" s="57">
        <v>44440</v>
      </c>
      <c r="AA225" t="s">
        <v>370</v>
      </c>
      <c r="AB225" s="18">
        <v>0</v>
      </c>
      <c r="AC225" s="18"/>
      <c r="AD225" s="18"/>
      <c r="AE225" s="18"/>
      <c r="AF225" s="18"/>
      <c r="AG225" s="18"/>
      <c r="AH225" s="18">
        <v>0</v>
      </c>
      <c r="AR225" s="36" t="s">
        <v>204</v>
      </c>
      <c r="AS225" s="36"/>
      <c r="AT225" s="36"/>
      <c r="AU225" s="37"/>
      <c r="AV225" s="37"/>
      <c r="AW225" s="37"/>
      <c r="AX225" s="37">
        <v>52482.9</v>
      </c>
      <c r="AY225" s="37"/>
      <c r="AZ225" s="37"/>
      <c r="BA225" s="37">
        <v>52482.9</v>
      </c>
    </row>
    <row r="226" spans="23:53" x14ac:dyDescent="0.35">
      <c r="W226" s="36" t="s">
        <v>139</v>
      </c>
      <c r="X226" s="36"/>
      <c r="Y226" s="36"/>
      <c r="Z226" s="36"/>
      <c r="AA226" s="36"/>
      <c r="AB226" s="37">
        <v>0</v>
      </c>
      <c r="AC226" s="37"/>
      <c r="AD226" s="37"/>
      <c r="AE226" s="37"/>
      <c r="AF226" s="37"/>
      <c r="AG226" s="37"/>
      <c r="AH226" s="37">
        <v>0</v>
      </c>
      <c r="AR226" t="s">
        <v>173</v>
      </c>
      <c r="AS226">
        <v>2020</v>
      </c>
      <c r="AT226">
        <v>11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3:53" x14ac:dyDescent="0.35">
      <c r="W227" t="s">
        <v>52</v>
      </c>
      <c r="X227">
        <v>2020</v>
      </c>
      <c r="Y227">
        <v>8</v>
      </c>
      <c r="Z227" s="57">
        <v>44065</v>
      </c>
      <c r="AA227" t="s">
        <v>50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s="36" t="s">
        <v>185</v>
      </c>
      <c r="AS227" s="36"/>
      <c r="AT227" s="36"/>
      <c r="AU227" s="37">
        <v>0</v>
      </c>
      <c r="AV227" s="37"/>
      <c r="AW227" s="37"/>
      <c r="AX227" s="37"/>
      <c r="AY227" s="37"/>
      <c r="AZ227" s="37"/>
      <c r="BA227" s="37">
        <v>0</v>
      </c>
    </row>
    <row r="228" spans="23:53" x14ac:dyDescent="0.35">
      <c r="Y228">
        <v>9</v>
      </c>
      <c r="Z228" s="57">
        <v>44075</v>
      </c>
      <c r="AA228" t="s">
        <v>66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t="s">
        <v>223</v>
      </c>
      <c r="AS228" t="s">
        <v>1763</v>
      </c>
      <c r="AT228" t="s">
        <v>1763</v>
      </c>
      <c r="AU228" s="18"/>
      <c r="AV228" s="18"/>
      <c r="AW228" s="18"/>
      <c r="AX228" s="18"/>
      <c r="AY228" s="18">
        <v>0</v>
      </c>
      <c r="AZ228" s="18"/>
      <c r="BA228" s="18">
        <v>0</v>
      </c>
    </row>
    <row r="229" spans="23:53" x14ac:dyDescent="0.35">
      <c r="Y229">
        <v>11</v>
      </c>
      <c r="Z229" s="57">
        <v>44156</v>
      </c>
      <c r="AA229" t="s">
        <v>170</v>
      </c>
      <c r="AB229" s="18">
        <v>0</v>
      </c>
      <c r="AC229" s="18"/>
      <c r="AD229" s="18"/>
      <c r="AE229" s="18"/>
      <c r="AF229" s="18"/>
      <c r="AG229" s="18"/>
      <c r="AH229" s="18">
        <v>0</v>
      </c>
      <c r="AR229" s="36" t="s">
        <v>224</v>
      </c>
      <c r="AS229" s="36"/>
      <c r="AT229" s="36"/>
      <c r="AU229" s="37"/>
      <c r="AV229" s="37"/>
      <c r="AW229" s="37"/>
      <c r="AX229" s="37"/>
      <c r="AY229" s="37">
        <v>0</v>
      </c>
      <c r="AZ229" s="37"/>
      <c r="BA229" s="37">
        <v>0</v>
      </c>
    </row>
    <row r="230" spans="23:53" x14ac:dyDescent="0.35">
      <c r="Z230" s="57">
        <v>44165</v>
      </c>
      <c r="AA230" t="s">
        <v>183</v>
      </c>
      <c r="AB230" s="18">
        <v>0</v>
      </c>
      <c r="AC230" s="18"/>
      <c r="AD230" s="18"/>
      <c r="AE230" s="18"/>
      <c r="AF230" s="18"/>
      <c r="AG230" s="18"/>
      <c r="AH230" s="18">
        <v>0</v>
      </c>
      <c r="AR230" t="s">
        <v>228</v>
      </c>
      <c r="AS230" t="s">
        <v>1763</v>
      </c>
      <c r="AT230" t="s">
        <v>1763</v>
      </c>
      <c r="AU230" s="18"/>
      <c r="AV230" s="18"/>
      <c r="AW230" s="18"/>
      <c r="AX230" s="18"/>
      <c r="AY230" s="18">
        <v>0</v>
      </c>
      <c r="AZ230" s="18"/>
      <c r="BA230" s="18">
        <v>0</v>
      </c>
    </row>
    <row r="231" spans="23:53" x14ac:dyDescent="0.35">
      <c r="X231">
        <v>2021</v>
      </c>
      <c r="Y231">
        <v>2</v>
      </c>
      <c r="Z231" s="57">
        <v>44250</v>
      </c>
      <c r="AA231" t="s">
        <v>275</v>
      </c>
      <c r="AB231" s="18">
        <v>0</v>
      </c>
      <c r="AC231" s="18"/>
      <c r="AD231" s="18"/>
      <c r="AE231" s="18"/>
      <c r="AF231" s="18"/>
      <c r="AG231" s="18"/>
      <c r="AH231" s="18">
        <v>0</v>
      </c>
      <c r="AR231" s="36" t="s">
        <v>255</v>
      </c>
      <c r="AS231" s="36"/>
      <c r="AT231" s="36"/>
      <c r="AU231" s="37"/>
      <c r="AV231" s="37"/>
      <c r="AW231" s="37"/>
      <c r="AX231" s="37"/>
      <c r="AY231" s="37">
        <v>0</v>
      </c>
      <c r="AZ231" s="37"/>
      <c r="BA231" s="37">
        <v>0</v>
      </c>
    </row>
    <row r="232" spans="23:53" x14ac:dyDescent="0.35">
      <c r="Y232">
        <v>10</v>
      </c>
      <c r="Z232" s="57">
        <v>44492</v>
      </c>
      <c r="AA232" t="s">
        <v>441</v>
      </c>
      <c r="AB232" s="18">
        <v>0</v>
      </c>
      <c r="AC232" s="18"/>
      <c r="AD232" s="18"/>
      <c r="AE232" s="18"/>
      <c r="AF232" s="18"/>
      <c r="AG232" s="18"/>
      <c r="AH232" s="18">
        <v>0</v>
      </c>
      <c r="AR232" t="s">
        <v>262</v>
      </c>
      <c r="AS232">
        <v>2021</v>
      </c>
      <c r="AT232">
        <v>2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Z233" s="57">
        <v>44497</v>
      </c>
      <c r="AA233" t="s">
        <v>444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3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Y234">
        <v>11</v>
      </c>
      <c r="Z234" s="57">
        <v>44529</v>
      </c>
      <c r="AA234" t="s">
        <v>484</v>
      </c>
      <c r="AB234" s="18">
        <v>0</v>
      </c>
      <c r="AC234" s="18"/>
      <c r="AD234" s="18"/>
      <c r="AE234" s="18"/>
      <c r="AF234" s="18"/>
      <c r="AG234" s="18"/>
      <c r="AH234" s="18">
        <v>0</v>
      </c>
      <c r="AT234">
        <v>10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W235" s="36" t="s">
        <v>140</v>
      </c>
      <c r="X235" s="36"/>
      <c r="Y235" s="36"/>
      <c r="Z235" s="36"/>
      <c r="AA235" s="36"/>
      <c r="AB235" s="37">
        <v>0</v>
      </c>
      <c r="AC235" s="37"/>
      <c r="AD235" s="37"/>
      <c r="AE235" s="37"/>
      <c r="AF235" s="37"/>
      <c r="AG235" s="37"/>
      <c r="AH235" s="37">
        <v>0</v>
      </c>
      <c r="AS235">
        <v>2023</v>
      </c>
      <c r="AT235">
        <v>1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W236" t="s">
        <v>62</v>
      </c>
      <c r="X236">
        <v>2020</v>
      </c>
      <c r="Y236">
        <v>12</v>
      </c>
      <c r="Z236" s="57">
        <v>44070</v>
      </c>
      <c r="AA236" t="s">
        <v>60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X237">
        <v>2021</v>
      </c>
      <c r="Y237">
        <v>1</v>
      </c>
      <c r="Z237" s="57">
        <v>44097</v>
      </c>
      <c r="AA237" t="s">
        <v>102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2</v>
      </c>
      <c r="Z238" s="57">
        <v>44125</v>
      </c>
      <c r="AA238" t="s">
        <v>127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Y239">
        <v>3</v>
      </c>
      <c r="Z239" s="57">
        <v>44155</v>
      </c>
      <c r="AA239" t="s">
        <v>167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Z240" s="57">
        <v>44165</v>
      </c>
      <c r="AA240" t="s">
        <v>184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AA241" t="s">
        <v>200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5</v>
      </c>
      <c r="Z242" s="57">
        <v>44207</v>
      </c>
      <c r="AA242" t="s">
        <v>239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Z243" s="57">
        <v>44225</v>
      </c>
      <c r="AA243" t="s">
        <v>253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7</v>
      </c>
      <c r="Z244" s="57">
        <v>44279</v>
      </c>
      <c r="AA244" t="s">
        <v>320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8</v>
      </c>
      <c r="Z245" s="57">
        <v>44294</v>
      </c>
      <c r="AA245" t="s">
        <v>326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Z246" s="57">
        <v>44315</v>
      </c>
      <c r="AA246" t="s">
        <v>331</v>
      </c>
      <c r="AB246" s="18"/>
      <c r="AC246" s="18"/>
      <c r="AD246" s="18"/>
      <c r="AE246" s="18">
        <v>-179.39999999999998</v>
      </c>
      <c r="AF246" s="18"/>
      <c r="AG246" s="18"/>
      <c r="AH246" s="18">
        <v>-179.39999999999998</v>
      </c>
      <c r="AS246">
        <v>2024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Y247">
        <v>9</v>
      </c>
      <c r="Z247" s="57">
        <v>44348</v>
      </c>
      <c r="AA247" t="s">
        <v>355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3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AA248" t="s">
        <v>358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5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Y249">
        <v>4</v>
      </c>
      <c r="Z249" s="57">
        <v>44196</v>
      </c>
      <c r="AA249" t="s">
        <v>217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6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X250">
        <v>2022</v>
      </c>
      <c r="Y250">
        <v>1</v>
      </c>
      <c r="Z250" s="57">
        <v>44453</v>
      </c>
      <c r="AA250" t="s">
        <v>372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8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Y251">
        <v>2</v>
      </c>
      <c r="Z251" s="57">
        <v>44474</v>
      </c>
      <c r="AA251" t="s">
        <v>402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4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Z252" s="57">
        <v>44497</v>
      </c>
      <c r="AA252" t="s">
        <v>446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263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5">
      <c r="Z253" s="57">
        <v>44499</v>
      </c>
      <c r="AA253" t="s">
        <v>449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280</v>
      </c>
      <c r="AS253">
        <v>2021</v>
      </c>
      <c r="AT253">
        <v>2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3</v>
      </c>
      <c r="Z254" s="57">
        <v>44503</v>
      </c>
      <c r="AA254" t="s">
        <v>460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4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Z255" s="57">
        <v>44508</v>
      </c>
      <c r="AA255" t="s">
        <v>465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s="36" t="s">
        <v>281</v>
      </c>
      <c r="AS255" s="36"/>
      <c r="AT255" s="36"/>
      <c r="AU255" s="37">
        <v>0</v>
      </c>
      <c r="AV255" s="37"/>
      <c r="AW255" s="37"/>
      <c r="AX255" s="37"/>
      <c r="AY255" s="37"/>
      <c r="AZ255" s="37"/>
      <c r="BA255" s="37">
        <v>0</v>
      </c>
    </row>
    <row r="256" spans="24:53" x14ac:dyDescent="0.35">
      <c r="Y256">
        <v>5</v>
      </c>
      <c r="Z256" s="57">
        <v>44572</v>
      </c>
      <c r="AA256" t="s">
        <v>552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t="s">
        <v>289</v>
      </c>
      <c r="AS256">
        <v>2021</v>
      </c>
      <c r="AT256">
        <v>3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Z257" s="57">
        <v>44585</v>
      </c>
      <c r="AA257" t="s">
        <v>567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R257" s="36" t="s">
        <v>291</v>
      </c>
      <c r="AS257" s="36"/>
      <c r="AT257" s="36"/>
      <c r="AU257" s="37">
        <v>0</v>
      </c>
      <c r="AV257" s="37"/>
      <c r="AW257" s="37"/>
      <c r="AX257" s="37"/>
      <c r="AY257" s="37"/>
      <c r="AZ257" s="37"/>
      <c r="BA257" s="37">
        <v>0</v>
      </c>
    </row>
    <row r="258" spans="24:53" x14ac:dyDescent="0.35">
      <c r="Y258">
        <v>6</v>
      </c>
      <c r="Z258" s="57">
        <v>44609</v>
      </c>
      <c r="AA258" t="s">
        <v>603</v>
      </c>
      <c r="AB258" s="18"/>
      <c r="AC258" s="18"/>
      <c r="AD258" s="18"/>
      <c r="AE258" s="18">
        <v>0</v>
      </c>
      <c r="AF258" s="18"/>
      <c r="AG258" s="18"/>
      <c r="AH258" s="18">
        <v>0</v>
      </c>
      <c r="AR258" t="s">
        <v>375</v>
      </c>
      <c r="AS258">
        <v>2021</v>
      </c>
      <c r="AT258">
        <v>9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Y259">
        <v>7</v>
      </c>
      <c r="Z259" s="57">
        <v>44628</v>
      </c>
      <c r="AA259" t="s">
        <v>635</v>
      </c>
      <c r="AB259" s="18"/>
      <c r="AC259" s="18"/>
      <c r="AD259" s="18"/>
      <c r="AE259" s="18">
        <v>0</v>
      </c>
      <c r="AF259" s="18"/>
      <c r="AG259" s="18"/>
      <c r="AH259" s="18">
        <v>0</v>
      </c>
      <c r="AR259" s="36" t="s">
        <v>382</v>
      </c>
      <c r="AS259" s="36"/>
      <c r="AT259" s="36"/>
      <c r="AU259" s="37">
        <v>0</v>
      </c>
      <c r="AV259" s="37"/>
      <c r="AW259" s="37"/>
      <c r="AX259" s="37"/>
      <c r="AY259" s="37"/>
      <c r="AZ259" s="37"/>
      <c r="BA259" s="37">
        <v>0</v>
      </c>
    </row>
    <row r="260" spans="24:53" x14ac:dyDescent="0.35">
      <c r="Z260" s="57">
        <v>44635</v>
      </c>
      <c r="AA260" t="s">
        <v>647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R260" t="s">
        <v>400</v>
      </c>
      <c r="AS260">
        <v>2021</v>
      </c>
      <c r="AT260">
        <v>10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8</v>
      </c>
      <c r="Z261" s="57">
        <v>44678</v>
      </c>
      <c r="AA261" t="s">
        <v>723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11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9</v>
      </c>
      <c r="Z262" s="57">
        <v>44704</v>
      </c>
      <c r="AA262" t="s">
        <v>790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12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Y263">
        <v>10</v>
      </c>
      <c r="Z263" s="57">
        <v>44721</v>
      </c>
      <c r="AA263" t="s">
        <v>831</v>
      </c>
      <c r="AB263" s="18"/>
      <c r="AC263" s="18"/>
      <c r="AD263" s="18"/>
      <c r="AE263" s="18">
        <v>0</v>
      </c>
      <c r="AF263" s="18"/>
      <c r="AG263" s="18"/>
      <c r="AH263" s="18">
        <v>0</v>
      </c>
      <c r="AS263">
        <v>2022</v>
      </c>
      <c r="AT263">
        <v>1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Z264" s="57">
        <v>44741</v>
      </c>
      <c r="AA264" t="s">
        <v>847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2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Y265">
        <v>11</v>
      </c>
      <c r="Z265" s="57">
        <v>44768</v>
      </c>
      <c r="AA265" t="s">
        <v>870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3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12</v>
      </c>
      <c r="Z266" s="57">
        <v>44798</v>
      </c>
      <c r="AA266" t="s">
        <v>912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5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Y267">
        <v>4</v>
      </c>
      <c r="Z267" s="57">
        <v>44545</v>
      </c>
      <c r="AA267" t="s">
        <v>507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6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Z268" s="57">
        <v>44561</v>
      </c>
      <c r="AA268" t="s">
        <v>535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7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X269">
        <v>2023</v>
      </c>
      <c r="Y269">
        <v>1</v>
      </c>
      <c r="Z269" s="57">
        <v>44828</v>
      </c>
      <c r="AA269" t="s">
        <v>947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8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Z270" s="57">
        <v>44835</v>
      </c>
      <c r="AA270" t="s">
        <v>986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9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Y271">
        <v>2</v>
      </c>
      <c r="Z271" s="57">
        <v>44849</v>
      </c>
      <c r="AA271" t="s">
        <v>1001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10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Z272" s="57">
        <v>44851</v>
      </c>
      <c r="AA272" t="s">
        <v>1005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11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5">
      <c r="Y273">
        <v>3</v>
      </c>
      <c r="Z273" s="57">
        <v>44866</v>
      </c>
      <c r="AA273" t="s">
        <v>1047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12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5">
      <c r="Z274" s="57">
        <v>44894</v>
      </c>
      <c r="AA274" t="s">
        <v>1092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4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5">
      <c r="Y275">
        <v>5</v>
      </c>
      <c r="Z275" s="57">
        <v>44938</v>
      </c>
      <c r="AA275" t="s">
        <v>1180</v>
      </c>
      <c r="AB275" s="18"/>
      <c r="AC275" s="18"/>
      <c r="AD275" s="18"/>
      <c r="AE275" s="18">
        <v>0</v>
      </c>
      <c r="AF275" s="18"/>
      <c r="AG275" s="18"/>
      <c r="AH275" s="18">
        <v>0</v>
      </c>
      <c r="AS275">
        <v>2023</v>
      </c>
      <c r="AT275">
        <v>1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5">
      <c r="Z276" s="57">
        <v>44944</v>
      </c>
      <c r="AA276" t="s">
        <v>1192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2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5">
      <c r="Y277">
        <v>6</v>
      </c>
      <c r="Z277" t="s">
        <v>1250</v>
      </c>
      <c r="AA277" t="s">
        <v>1251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3</v>
      </c>
      <c r="AU277" s="18">
        <v>-1.1368683772161603E-13</v>
      </c>
      <c r="AV277" s="18"/>
      <c r="AW277" s="18"/>
      <c r="AX277" s="18"/>
      <c r="AY277" s="18"/>
      <c r="AZ277" s="18"/>
      <c r="BA277" s="18">
        <v>-1.1368683772161603E-13</v>
      </c>
    </row>
    <row r="278" spans="24:53" x14ac:dyDescent="0.35">
      <c r="Y278">
        <v>7</v>
      </c>
      <c r="Z278" t="s">
        <v>1334</v>
      </c>
      <c r="AA278" t="s">
        <v>1333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5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5">
      <c r="Y279">
        <v>8</v>
      </c>
      <c r="Z279" t="s">
        <v>1403</v>
      </c>
      <c r="AA279" t="s">
        <v>1404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6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5">
      <c r="Y280">
        <v>9</v>
      </c>
      <c r="Z280" s="57">
        <v>45056</v>
      </c>
      <c r="AA280" t="s">
        <v>1542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7</v>
      </c>
      <c r="AU280" s="18">
        <v>-1.1368683772161603E-13</v>
      </c>
      <c r="AV280" s="18"/>
      <c r="AW280" s="18"/>
      <c r="AX280" s="18"/>
      <c r="AY280" s="18"/>
      <c r="AZ280" s="18"/>
      <c r="BA280" s="18">
        <v>-1.1368683772161603E-13</v>
      </c>
    </row>
    <row r="281" spans="24:53" x14ac:dyDescent="0.35">
      <c r="Y281">
        <v>10</v>
      </c>
      <c r="Z281" s="57">
        <v>45083</v>
      </c>
      <c r="AA281" t="s">
        <v>1616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8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5">
      <c r="Y282">
        <v>11</v>
      </c>
      <c r="Z282" s="57">
        <v>45117</v>
      </c>
      <c r="AA282" t="s">
        <v>1716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9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5">
      <c r="Z283" s="57">
        <v>45128</v>
      </c>
      <c r="AA283" t="s">
        <v>1727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10</v>
      </c>
      <c r="AU283" s="18">
        <v>-5.6843418860808015E-14</v>
      </c>
      <c r="AV283" s="18"/>
      <c r="AW283" s="18"/>
      <c r="AX283" s="18"/>
      <c r="AY283" s="18"/>
      <c r="AZ283" s="18"/>
      <c r="BA283" s="18">
        <v>-5.6843418860808015E-14</v>
      </c>
    </row>
    <row r="284" spans="24:53" x14ac:dyDescent="0.35">
      <c r="Z284" s="57">
        <v>45140</v>
      </c>
      <c r="AA284" t="s">
        <v>1795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11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5">
      <c r="Y285">
        <v>4</v>
      </c>
      <c r="Z285" s="57">
        <v>44922</v>
      </c>
      <c r="AA285" t="s">
        <v>1137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12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4:53" x14ac:dyDescent="0.35">
      <c r="X286">
        <v>2024</v>
      </c>
      <c r="Y286">
        <v>1</v>
      </c>
      <c r="Z286" s="57">
        <v>45174</v>
      </c>
      <c r="AA286" t="s">
        <v>1883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4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5">
      <c r="Y287">
        <v>2</v>
      </c>
      <c r="Z287" s="57">
        <v>45205</v>
      </c>
      <c r="AA287" t="s">
        <v>1998</v>
      </c>
      <c r="AB287" s="18"/>
      <c r="AC287" s="18"/>
      <c r="AD287" s="18"/>
      <c r="AE287" s="18">
        <v>0</v>
      </c>
      <c r="AF287" s="18"/>
      <c r="AG287" s="18"/>
      <c r="AH287" s="18">
        <v>0</v>
      </c>
      <c r="AS287">
        <v>2024</v>
      </c>
      <c r="AT287">
        <v>1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4:53" x14ac:dyDescent="0.35">
      <c r="Y288">
        <v>3</v>
      </c>
      <c r="Z288" s="57">
        <v>45245</v>
      </c>
      <c r="AA288" t="s">
        <v>2159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2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5">
      <c r="AA289" t="s">
        <v>2160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3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5">
      <c r="Z290" s="57">
        <v>45261</v>
      </c>
      <c r="AA290" t="s">
        <v>2175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5</v>
      </c>
      <c r="AU290" s="18">
        <v>718.6</v>
      </c>
      <c r="AV290" s="18"/>
      <c r="AW290" s="18"/>
      <c r="AX290" s="18"/>
      <c r="AY290" s="18"/>
      <c r="AZ290" s="18"/>
      <c r="BA290" s="18">
        <v>718.6</v>
      </c>
    </row>
    <row r="291" spans="25:53" x14ac:dyDescent="0.35">
      <c r="Y291">
        <v>5</v>
      </c>
      <c r="Z291" s="57">
        <v>45303</v>
      </c>
      <c r="AA291" t="s">
        <v>2280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6</v>
      </c>
      <c r="AU291" s="18">
        <v>4852.5</v>
      </c>
      <c r="AV291" s="18"/>
      <c r="AW291" s="18"/>
      <c r="AX291" s="18"/>
      <c r="AY291" s="18"/>
      <c r="AZ291" s="18"/>
      <c r="BA291" s="18">
        <v>4852.5</v>
      </c>
    </row>
    <row r="292" spans="25:53" x14ac:dyDescent="0.35">
      <c r="Y292">
        <v>6</v>
      </c>
      <c r="Z292" s="57">
        <v>45327</v>
      </c>
      <c r="AA292" t="s">
        <v>2348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7</v>
      </c>
      <c r="AU292" s="18">
        <v>8721.2999999999993</v>
      </c>
      <c r="AV292" s="18"/>
      <c r="AW292" s="18"/>
      <c r="AX292" s="18"/>
      <c r="AY292" s="18"/>
      <c r="AZ292" s="18"/>
      <c r="BA292" s="18">
        <v>8721.2999999999993</v>
      </c>
    </row>
    <row r="293" spans="25:53" x14ac:dyDescent="0.35">
      <c r="Z293" s="57">
        <v>45330</v>
      </c>
      <c r="AA293" t="s">
        <v>2353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8</v>
      </c>
      <c r="AU293" s="18">
        <v>7650</v>
      </c>
      <c r="AV293" s="18"/>
      <c r="AW293" s="18"/>
      <c r="AX293" s="18"/>
      <c r="AY293" s="18"/>
      <c r="AZ293" s="18"/>
      <c r="BA293" s="18">
        <v>7650</v>
      </c>
    </row>
    <row r="294" spans="25:53" x14ac:dyDescent="0.35">
      <c r="Z294" s="57">
        <v>45337</v>
      </c>
      <c r="AA294" t="s">
        <v>2355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9</v>
      </c>
      <c r="AU294" s="18">
        <v>6271.3</v>
      </c>
      <c r="AV294" s="18"/>
      <c r="AW294" s="18"/>
      <c r="AX294" s="18"/>
      <c r="AY294" s="18"/>
      <c r="AZ294" s="18"/>
      <c r="BA294" s="18">
        <v>6271.3</v>
      </c>
    </row>
    <row r="295" spans="25:53" x14ac:dyDescent="0.35">
      <c r="Z295" s="57">
        <v>45353</v>
      </c>
      <c r="AA295" t="s">
        <v>2424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10</v>
      </c>
      <c r="AU295" s="18">
        <v>4973.5</v>
      </c>
      <c r="AV295" s="18"/>
      <c r="AW295" s="18"/>
      <c r="AX295" s="18"/>
      <c r="AY295" s="18"/>
      <c r="AZ295" s="18"/>
      <c r="BA295" s="18">
        <v>4973.5</v>
      </c>
    </row>
    <row r="296" spans="25:53" x14ac:dyDescent="0.35">
      <c r="Y296">
        <v>7</v>
      </c>
      <c r="Z296" s="57">
        <v>45364</v>
      </c>
      <c r="AA296" t="s">
        <v>2433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11</v>
      </c>
      <c r="AU296" s="18">
        <v>8377.2999999999993</v>
      </c>
      <c r="AV296" s="18"/>
      <c r="AW296" s="18"/>
      <c r="AX296" s="18"/>
      <c r="AY296" s="18"/>
      <c r="AZ296" s="18"/>
      <c r="BA296" s="18">
        <v>8377.2999999999993</v>
      </c>
    </row>
    <row r="297" spans="25:53" x14ac:dyDescent="0.35">
      <c r="Z297" s="57">
        <v>45372</v>
      </c>
      <c r="AA297" t="s">
        <v>2448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12</v>
      </c>
      <c r="AU297" s="18">
        <v>5908.8</v>
      </c>
      <c r="AV297" s="18"/>
      <c r="AW297" s="18"/>
      <c r="AX297" s="18"/>
      <c r="AY297" s="18"/>
      <c r="AZ297" s="18"/>
      <c r="BA297" s="18">
        <v>5908.8</v>
      </c>
    </row>
    <row r="298" spans="25:53" x14ac:dyDescent="0.35">
      <c r="Y298">
        <v>8</v>
      </c>
      <c r="Z298" s="57">
        <v>45404</v>
      </c>
      <c r="AA298" t="s">
        <v>2516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4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5">
      <c r="Y299">
        <v>9</v>
      </c>
      <c r="Z299" s="57">
        <v>45422</v>
      </c>
      <c r="AA299" t="s">
        <v>2562</v>
      </c>
      <c r="AB299" s="18"/>
      <c r="AC299" s="18"/>
      <c r="AD299" s="18"/>
      <c r="AE299" s="18">
        <v>0</v>
      </c>
      <c r="AF299" s="18"/>
      <c r="AG299" s="18"/>
      <c r="AH299" s="18">
        <v>0</v>
      </c>
      <c r="AS299">
        <v>2025</v>
      </c>
      <c r="AT299">
        <v>1</v>
      </c>
      <c r="AU299" s="18">
        <v>7905</v>
      </c>
      <c r="AV299" s="18"/>
      <c r="AW299" s="18"/>
      <c r="AX299" s="18"/>
      <c r="AY299" s="18"/>
      <c r="AZ299" s="18"/>
      <c r="BA299" s="18">
        <v>7905</v>
      </c>
    </row>
    <row r="300" spans="25:53" x14ac:dyDescent="0.35">
      <c r="Z300" s="57">
        <v>45444</v>
      </c>
      <c r="AA300" t="s">
        <v>2634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2</v>
      </c>
      <c r="AU300" s="18">
        <v>5541.3</v>
      </c>
      <c r="AV300" s="18"/>
      <c r="AW300" s="18"/>
      <c r="AX300" s="18"/>
      <c r="AY300" s="18"/>
      <c r="AZ300" s="18"/>
      <c r="BA300" s="18">
        <v>5541.3</v>
      </c>
    </row>
    <row r="301" spans="25:53" x14ac:dyDescent="0.35">
      <c r="Y301">
        <v>10</v>
      </c>
      <c r="Z301" s="57">
        <v>45467</v>
      </c>
      <c r="AA301" t="s">
        <v>2658</v>
      </c>
      <c r="AB301" s="18"/>
      <c r="AC301" s="18"/>
      <c r="AD301" s="18"/>
      <c r="AE301" s="18">
        <v>0</v>
      </c>
      <c r="AF301" s="18"/>
      <c r="AG301" s="18"/>
      <c r="AH301" s="18">
        <v>0</v>
      </c>
      <c r="AT301">
        <v>3</v>
      </c>
      <c r="AU301" s="18">
        <v>8918.7999999999993</v>
      </c>
      <c r="AV301" s="18"/>
      <c r="AW301" s="18"/>
      <c r="AX301" s="18"/>
      <c r="AY301" s="18"/>
      <c r="AZ301" s="18"/>
      <c r="BA301" s="18">
        <v>8918.7999999999993</v>
      </c>
    </row>
    <row r="302" spans="25:53" x14ac:dyDescent="0.35">
      <c r="Z302" s="57">
        <v>45469</v>
      </c>
      <c r="AA302" t="s">
        <v>2660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5</v>
      </c>
      <c r="AU302" s="18">
        <v>8696.2999999999993</v>
      </c>
      <c r="AV302" s="18"/>
      <c r="AW302" s="18"/>
      <c r="AX302" s="18"/>
      <c r="AY302" s="18"/>
      <c r="AZ302" s="18"/>
      <c r="BA302" s="18">
        <v>8696.2999999999993</v>
      </c>
    </row>
    <row r="303" spans="25:53" x14ac:dyDescent="0.35">
      <c r="Z303" s="57">
        <v>45475</v>
      </c>
      <c r="AA303" t="s">
        <v>2748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6</v>
      </c>
      <c r="AU303" s="18">
        <v>5056.3</v>
      </c>
      <c r="AV303" s="18"/>
      <c r="AW303" s="18"/>
      <c r="AX303" s="18"/>
      <c r="AY303" s="18"/>
      <c r="AZ303" s="18"/>
      <c r="BA303" s="18">
        <v>5056.3</v>
      </c>
    </row>
    <row r="304" spans="25:53" x14ac:dyDescent="0.35">
      <c r="Y304">
        <v>11</v>
      </c>
      <c r="Z304" s="57">
        <v>45491</v>
      </c>
      <c r="AA304" t="s">
        <v>2763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7</v>
      </c>
      <c r="AU304" s="18">
        <v>8153.8</v>
      </c>
      <c r="AV304" s="18"/>
      <c r="AW304" s="18"/>
      <c r="AX304" s="18"/>
      <c r="AY304" s="18"/>
      <c r="AZ304" s="18"/>
      <c r="BA304" s="18">
        <v>8153.8</v>
      </c>
    </row>
    <row r="305" spans="24:53" x14ac:dyDescent="0.35">
      <c r="AA305" t="s">
        <v>2764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4</v>
      </c>
      <c r="AU305" s="18">
        <v>5117.5</v>
      </c>
      <c r="AV305" s="18"/>
      <c r="AW305" s="18"/>
      <c r="AX305" s="18"/>
      <c r="AY305" s="18"/>
      <c r="AZ305" s="18"/>
      <c r="BA305" s="18">
        <v>5117.5</v>
      </c>
    </row>
    <row r="306" spans="24:53" x14ac:dyDescent="0.35">
      <c r="Y306">
        <v>12</v>
      </c>
      <c r="Z306" s="57">
        <v>45510</v>
      </c>
      <c r="AA306" t="s">
        <v>2846</v>
      </c>
      <c r="AB306" s="18"/>
      <c r="AC306" s="18"/>
      <c r="AD306" s="18"/>
      <c r="AE306" s="18">
        <v>0</v>
      </c>
      <c r="AF306" s="18"/>
      <c r="AG306" s="18"/>
      <c r="AH306" s="18">
        <v>0</v>
      </c>
      <c r="AR306" s="36" t="s">
        <v>421</v>
      </c>
      <c r="AS306" s="36"/>
      <c r="AT306" s="36"/>
      <c r="AU306" s="37">
        <v>96862.300000000017</v>
      </c>
      <c r="AV306" s="37"/>
      <c r="AW306" s="37"/>
      <c r="AX306" s="37"/>
      <c r="AY306" s="37"/>
      <c r="AZ306" s="37"/>
      <c r="BA306" s="37">
        <v>96862.300000000017</v>
      </c>
    </row>
    <row r="307" spans="24:53" x14ac:dyDescent="0.35">
      <c r="Z307" s="57">
        <v>45523</v>
      </c>
      <c r="AA307" t="s">
        <v>2868</v>
      </c>
      <c r="AB307" s="18"/>
      <c r="AC307" s="18"/>
      <c r="AD307" s="18"/>
      <c r="AE307" s="18">
        <v>0</v>
      </c>
      <c r="AF307" s="18"/>
      <c r="AG307" s="18"/>
      <c r="AH307" s="18">
        <v>0</v>
      </c>
      <c r="AR307" t="s">
        <v>409</v>
      </c>
      <c r="AS307">
        <v>2021</v>
      </c>
      <c r="AT307">
        <v>10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4:53" x14ac:dyDescent="0.35">
      <c r="Z308" s="57">
        <v>45534</v>
      </c>
      <c r="AA308" t="s">
        <v>2875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11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4:53" x14ac:dyDescent="0.35">
      <c r="Y309">
        <v>4</v>
      </c>
      <c r="Z309" s="57">
        <v>45278</v>
      </c>
      <c r="AA309" t="s">
        <v>2199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12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4:53" x14ac:dyDescent="0.35">
      <c r="X310">
        <v>2025</v>
      </c>
      <c r="Y310">
        <v>1</v>
      </c>
      <c r="Z310" s="57">
        <v>45545</v>
      </c>
      <c r="AA310" t="s">
        <v>2945</v>
      </c>
      <c r="AB310" s="18"/>
      <c r="AC310" s="18"/>
      <c r="AD310" s="18"/>
      <c r="AE310" s="18">
        <v>0</v>
      </c>
      <c r="AF310" s="18"/>
      <c r="AG310" s="18"/>
      <c r="AH310" s="18">
        <v>0</v>
      </c>
      <c r="AS310">
        <v>2022</v>
      </c>
      <c r="AT310">
        <v>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4:53" x14ac:dyDescent="0.35">
      <c r="Y311">
        <v>2</v>
      </c>
      <c r="Z311" s="57">
        <v>45579</v>
      </c>
      <c r="AA311" t="s">
        <v>3014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2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4:53" x14ac:dyDescent="0.35">
      <c r="Z312" s="57">
        <v>45588</v>
      </c>
      <c r="AA312" t="s">
        <v>3028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3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4:53" x14ac:dyDescent="0.35">
      <c r="Y313">
        <v>3</v>
      </c>
      <c r="Z313" s="57">
        <v>45607</v>
      </c>
      <c r="AA313" t="s">
        <v>3118</v>
      </c>
      <c r="AB313" s="18"/>
      <c r="AC313" s="18"/>
      <c r="AD313" s="18"/>
      <c r="AE313" s="18">
        <v>0</v>
      </c>
      <c r="AF313" s="18"/>
      <c r="AG313" s="18"/>
      <c r="AH313" s="18">
        <v>0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4:53" x14ac:dyDescent="0.35">
      <c r="Y314">
        <v>5</v>
      </c>
      <c r="Z314" s="57">
        <v>45668</v>
      </c>
      <c r="AA314" t="s">
        <v>3345</v>
      </c>
      <c r="AB314" s="18"/>
      <c r="AC314" s="18"/>
      <c r="AD314" s="18"/>
      <c r="AE314" s="18">
        <v>0</v>
      </c>
      <c r="AF314" s="18"/>
      <c r="AG314" s="18"/>
      <c r="AH314" s="18">
        <v>0</v>
      </c>
      <c r="AT314">
        <v>6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4:53" x14ac:dyDescent="0.35">
      <c r="Z315" s="57">
        <v>45679</v>
      </c>
      <c r="AA315" t="s">
        <v>3357</v>
      </c>
      <c r="AB315" s="18"/>
      <c r="AC315" s="18"/>
      <c r="AD315" s="18"/>
      <c r="AE315" s="18">
        <v>0</v>
      </c>
      <c r="AF315" s="18"/>
      <c r="AG315" s="18"/>
      <c r="AH315" s="18">
        <v>0</v>
      </c>
      <c r="AT315">
        <v>7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4:53" x14ac:dyDescent="0.35">
      <c r="Y316">
        <v>8</v>
      </c>
      <c r="Z316" t="s">
        <v>3643</v>
      </c>
      <c r="AA316" t="s">
        <v>3644</v>
      </c>
      <c r="AB316" s="18"/>
      <c r="AC316" s="18"/>
      <c r="AD316" s="18"/>
      <c r="AE316" s="18">
        <v>0</v>
      </c>
      <c r="AF316" s="18"/>
      <c r="AG316" s="18"/>
      <c r="AH316" s="18">
        <v>0</v>
      </c>
      <c r="AT316">
        <v>8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4:53" x14ac:dyDescent="0.35">
      <c r="Y317">
        <v>9</v>
      </c>
      <c r="Z317" t="s">
        <v>3749</v>
      </c>
      <c r="AA317" t="s">
        <v>3750</v>
      </c>
      <c r="AB317" s="18"/>
      <c r="AC317" s="18"/>
      <c r="AD317" s="18"/>
      <c r="AE317" s="18">
        <v>20530</v>
      </c>
      <c r="AF317" s="18"/>
      <c r="AG317" s="18"/>
      <c r="AH317" s="18">
        <v>20530</v>
      </c>
      <c r="AT317">
        <v>9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4:53" x14ac:dyDescent="0.35">
      <c r="Y318">
        <v>10</v>
      </c>
      <c r="Z318" t="s">
        <v>3886</v>
      </c>
      <c r="AA318" t="s">
        <v>3887</v>
      </c>
      <c r="AB318" s="18"/>
      <c r="AC318" s="18"/>
      <c r="AD318" s="18"/>
      <c r="AE318" s="18">
        <v>19245.400000000001</v>
      </c>
      <c r="AF318" s="18"/>
      <c r="AG318" s="18"/>
      <c r="AH318" s="18">
        <v>19245.400000000001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4:53" x14ac:dyDescent="0.35">
      <c r="Y319">
        <v>11</v>
      </c>
      <c r="Z319">
        <v>45849</v>
      </c>
      <c r="AA319" t="s">
        <v>4017</v>
      </c>
      <c r="AB319" s="18"/>
      <c r="AC319" s="18"/>
      <c r="AD319" s="18"/>
      <c r="AE319" s="18">
        <v>0</v>
      </c>
      <c r="AF319" s="18"/>
      <c r="AG319" s="18"/>
      <c r="AH319" s="18">
        <v>0</v>
      </c>
      <c r="AT319">
        <v>11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4:53" x14ac:dyDescent="0.35">
      <c r="Z320" t="s">
        <v>4029</v>
      </c>
      <c r="AA320" t="s">
        <v>4030</v>
      </c>
      <c r="AB320" s="18"/>
      <c r="AC320" s="18"/>
      <c r="AD320" s="18"/>
      <c r="AE320" s="18">
        <v>12046.9</v>
      </c>
      <c r="AF320" s="18"/>
      <c r="AG320" s="18"/>
      <c r="AH320" s="18">
        <v>12046.9</v>
      </c>
      <c r="AT320">
        <v>12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AA321" t="s">
        <v>4031</v>
      </c>
      <c r="AB321" s="18"/>
      <c r="AC321" s="18"/>
      <c r="AD321" s="18"/>
      <c r="AE321" s="18">
        <v>840</v>
      </c>
      <c r="AF321" s="18"/>
      <c r="AG321" s="18"/>
      <c r="AH321" s="18">
        <v>840</v>
      </c>
      <c r="AT321">
        <v>4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Y322">
        <v>4</v>
      </c>
      <c r="Z322" s="57">
        <v>45633</v>
      </c>
      <c r="AA322" t="s">
        <v>3219</v>
      </c>
      <c r="AB322" s="18"/>
      <c r="AC322" s="18"/>
      <c r="AD322" s="18"/>
      <c r="AE322" s="18">
        <v>0</v>
      </c>
      <c r="AF322" s="18"/>
      <c r="AG322" s="18"/>
      <c r="AH322" s="18">
        <v>0</v>
      </c>
      <c r="AS322">
        <v>2023</v>
      </c>
      <c r="AT322">
        <v>1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Z323" t="s">
        <v>3245</v>
      </c>
      <c r="AA323" t="s">
        <v>3246</v>
      </c>
      <c r="AB323" s="18"/>
      <c r="AC323" s="18"/>
      <c r="AD323" s="18"/>
      <c r="AE323" s="18">
        <v>0</v>
      </c>
      <c r="AF323" s="18"/>
      <c r="AG323" s="18"/>
      <c r="AH323" s="18">
        <v>0</v>
      </c>
      <c r="AT323">
        <v>2</v>
      </c>
      <c r="AU323" s="18">
        <v>4.5474735088646412E-13</v>
      </c>
      <c r="AV323" s="18"/>
      <c r="AW323" s="18"/>
      <c r="AX323" s="18"/>
      <c r="AY323" s="18"/>
      <c r="AZ323" s="18"/>
      <c r="BA323" s="18">
        <v>4.5474735088646412E-13</v>
      </c>
    </row>
    <row r="324" spans="23:53" x14ac:dyDescent="0.35">
      <c r="W324" s="36" t="s">
        <v>204</v>
      </c>
      <c r="X324" s="36"/>
      <c r="Y324" s="36"/>
      <c r="Z324" s="36"/>
      <c r="AA324" s="36"/>
      <c r="AB324" s="37"/>
      <c r="AC324" s="37"/>
      <c r="AD324" s="37"/>
      <c r="AE324" s="37">
        <v>52482.9</v>
      </c>
      <c r="AF324" s="37"/>
      <c r="AG324" s="37"/>
      <c r="AH324" s="37">
        <v>52482.9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W325" t="s">
        <v>173</v>
      </c>
      <c r="X325">
        <v>2020</v>
      </c>
      <c r="Y325">
        <v>11</v>
      </c>
      <c r="Z325" s="57">
        <v>44159</v>
      </c>
      <c r="AA325" t="s">
        <v>175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W326" s="36" t="s">
        <v>185</v>
      </c>
      <c r="X326" s="36"/>
      <c r="Y326" s="36"/>
      <c r="Z326" s="36"/>
      <c r="AA326" s="36"/>
      <c r="AB326" s="37">
        <v>0</v>
      </c>
      <c r="AC326" s="37"/>
      <c r="AD326" s="37"/>
      <c r="AE326" s="37"/>
      <c r="AF326" s="37"/>
      <c r="AG326" s="37"/>
      <c r="AH326" s="37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W327" t="s">
        <v>223</v>
      </c>
      <c r="X327" t="s">
        <v>1763</v>
      </c>
      <c r="Y327" t="s">
        <v>1763</v>
      </c>
      <c r="Z327" s="57">
        <v>44170</v>
      </c>
      <c r="AA327" t="s">
        <v>209</v>
      </c>
      <c r="AB327" s="18"/>
      <c r="AC327" s="18"/>
      <c r="AD327" s="18"/>
      <c r="AE327" s="18"/>
      <c r="AF327" s="18">
        <v>0</v>
      </c>
      <c r="AG327" s="18"/>
      <c r="AH327" s="18">
        <v>0</v>
      </c>
      <c r="AT327">
        <v>7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W328" s="36" t="s">
        <v>224</v>
      </c>
      <c r="X328" s="36"/>
      <c r="Y328" s="36"/>
      <c r="Z328" s="36"/>
      <c r="AA328" s="36"/>
      <c r="AB328" s="37"/>
      <c r="AC328" s="37"/>
      <c r="AD328" s="37"/>
      <c r="AE328" s="37"/>
      <c r="AF328" s="37">
        <v>0</v>
      </c>
      <c r="AG328" s="37"/>
      <c r="AH328" s="37">
        <v>0</v>
      </c>
      <c r="AT328">
        <v>8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W329" t="s">
        <v>228</v>
      </c>
      <c r="X329" t="s">
        <v>1763</v>
      </c>
      <c r="Y329" t="s">
        <v>1763</v>
      </c>
      <c r="Z329" s="57">
        <v>44513</v>
      </c>
      <c r="AA329" t="s">
        <v>476</v>
      </c>
      <c r="AB329" s="18"/>
      <c r="AC329" s="18"/>
      <c r="AD329" s="18"/>
      <c r="AE329" s="18"/>
      <c r="AF329" s="18">
        <v>0</v>
      </c>
      <c r="AG329" s="18"/>
      <c r="AH329" s="18">
        <v>0</v>
      </c>
      <c r="AT329">
        <v>9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W330" s="36" t="s">
        <v>255</v>
      </c>
      <c r="X330" s="36"/>
      <c r="Y330" s="36"/>
      <c r="Z330" s="36"/>
      <c r="AA330" s="36"/>
      <c r="AB330" s="37"/>
      <c r="AC330" s="37"/>
      <c r="AD330" s="37"/>
      <c r="AE330" s="37"/>
      <c r="AF330" s="37">
        <v>0</v>
      </c>
      <c r="AG330" s="37"/>
      <c r="AH330" s="37">
        <v>0</v>
      </c>
      <c r="AT330">
        <v>10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W331" t="s">
        <v>262</v>
      </c>
      <c r="X331">
        <v>2021</v>
      </c>
      <c r="Y331">
        <v>2</v>
      </c>
      <c r="Z331" s="57">
        <v>44230</v>
      </c>
      <c r="AA331" t="s">
        <v>256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4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Z332" s="57">
        <v>44233</v>
      </c>
      <c r="AA332" t="s">
        <v>261</v>
      </c>
      <c r="AB332" s="18">
        <v>0</v>
      </c>
      <c r="AC332" s="18"/>
      <c r="AD332" s="18"/>
      <c r="AE332" s="18"/>
      <c r="AF332" s="18"/>
      <c r="AG332" s="18"/>
      <c r="AH332" s="18">
        <v>0</v>
      </c>
      <c r="AR332" s="36" t="s">
        <v>422</v>
      </c>
      <c r="AS332" s="36"/>
      <c r="AT332" s="36"/>
      <c r="AU332" s="37">
        <v>4.5474735088646412E-13</v>
      </c>
      <c r="AV332" s="37"/>
      <c r="AW332" s="37"/>
      <c r="AX332" s="37"/>
      <c r="AY332" s="37"/>
      <c r="AZ332" s="37"/>
      <c r="BA332" s="37">
        <v>4.5474735088646412E-13</v>
      </c>
    </row>
    <row r="333" spans="23:53" x14ac:dyDescent="0.35">
      <c r="Y333">
        <v>3</v>
      </c>
      <c r="Z333" s="57">
        <v>44280</v>
      </c>
      <c r="AA333" t="s">
        <v>321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t="s">
        <v>469</v>
      </c>
      <c r="AS333" t="s">
        <v>1763</v>
      </c>
      <c r="AT333" t="s">
        <v>1763</v>
      </c>
      <c r="AU333" s="18"/>
      <c r="AV333" s="18"/>
      <c r="AW333" s="18"/>
      <c r="AX333" s="18"/>
      <c r="AY333" s="18">
        <v>0</v>
      </c>
      <c r="AZ333" s="18"/>
      <c r="BA333" s="18">
        <v>0</v>
      </c>
    </row>
    <row r="334" spans="23:53" x14ac:dyDescent="0.35">
      <c r="Y334">
        <v>10</v>
      </c>
      <c r="Z334" s="57">
        <v>44484</v>
      </c>
      <c r="AA334" t="s">
        <v>419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s="36" t="s">
        <v>483</v>
      </c>
      <c r="AS334" s="36"/>
      <c r="AT334" s="36"/>
      <c r="AU334" s="37"/>
      <c r="AV334" s="37"/>
      <c r="AW334" s="37"/>
      <c r="AX334" s="37"/>
      <c r="AY334" s="37">
        <v>0</v>
      </c>
      <c r="AZ334" s="37"/>
      <c r="BA334" s="37">
        <v>0</v>
      </c>
    </row>
    <row r="335" spans="23:53" x14ac:dyDescent="0.35">
      <c r="X335">
        <v>2023</v>
      </c>
      <c r="Y335">
        <v>1</v>
      </c>
      <c r="Z335" s="57">
        <v>44937</v>
      </c>
      <c r="AA335" t="s">
        <v>1177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t="s">
        <v>491</v>
      </c>
      <c r="AS335">
        <v>2021</v>
      </c>
      <c r="AT335">
        <v>11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Y336">
        <v>3</v>
      </c>
      <c r="Z336" t="s">
        <v>1330</v>
      </c>
      <c r="AA336" t="s">
        <v>1329</v>
      </c>
      <c r="AB336" s="18">
        <v>0</v>
      </c>
      <c r="AC336" s="18"/>
      <c r="AD336" s="18"/>
      <c r="AE336" s="18"/>
      <c r="AF336" s="18"/>
      <c r="AG336" s="18"/>
      <c r="AH336" s="18">
        <v>0</v>
      </c>
      <c r="AS336">
        <v>2022</v>
      </c>
      <c r="AT336">
        <v>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Z337" t="s">
        <v>1340</v>
      </c>
      <c r="AA337" t="s">
        <v>1341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3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Y338">
        <v>5</v>
      </c>
      <c r="Z338" s="57">
        <v>45054</v>
      </c>
      <c r="AA338" t="s">
        <v>1540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5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5">
      <c r="Z339" s="57">
        <v>45066</v>
      </c>
      <c r="AA339" t="s">
        <v>1557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6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Z340" s="57">
        <v>45071</v>
      </c>
      <c r="AA340" t="s">
        <v>1557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7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Z341" s="57">
        <v>45072</v>
      </c>
      <c r="AA341" t="s">
        <v>1561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8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Z342" s="57">
        <v>45076</v>
      </c>
      <c r="AA342" t="s">
        <v>1561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9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Y343">
        <v>6</v>
      </c>
      <c r="Z343" s="57">
        <v>45084</v>
      </c>
      <c r="AA343" t="s">
        <v>1617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10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Z344" s="57">
        <v>45092</v>
      </c>
      <c r="AA344" t="s">
        <v>1628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Z345" s="57">
        <v>45101</v>
      </c>
      <c r="AA345" t="s">
        <v>1650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12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Y346">
        <v>7</v>
      </c>
      <c r="Z346" s="57">
        <v>45113</v>
      </c>
      <c r="AA346" t="s">
        <v>1714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4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Y347">
        <v>8</v>
      </c>
      <c r="Z347" s="57">
        <v>45139</v>
      </c>
      <c r="AA347" t="s">
        <v>1794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S347">
        <v>2023</v>
      </c>
      <c r="AT347">
        <v>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5">
      <c r="Z348" s="57">
        <v>45145</v>
      </c>
      <c r="AA348" t="s">
        <v>1804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2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5">
      <c r="Z349" s="57">
        <v>45155</v>
      </c>
      <c r="AA349" t="s">
        <v>1820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3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5">
      <c r="Y350">
        <v>9</v>
      </c>
      <c r="Z350" s="57">
        <v>45175</v>
      </c>
      <c r="AA350" t="s">
        <v>1885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5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5">
      <c r="AA351" t="s">
        <v>1887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6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5">
      <c r="Z352" s="57">
        <v>45183</v>
      </c>
      <c r="AA352" t="s">
        <v>1899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7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Z353" t="s">
        <v>1915</v>
      </c>
      <c r="AA353" t="s">
        <v>1914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5">
      <c r="Y354">
        <v>10</v>
      </c>
      <c r="Z354" s="57">
        <v>45201</v>
      </c>
      <c r="AA354" t="s">
        <v>1988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9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5">
      <c r="Z355" t="s">
        <v>2004</v>
      </c>
      <c r="AA355" t="s">
        <v>2005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10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5">
      <c r="Y356">
        <v>11</v>
      </c>
      <c r="Z356" s="57">
        <v>45239</v>
      </c>
      <c r="AA356" t="s">
        <v>2154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11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5">
      <c r="Z357" s="57">
        <v>45245</v>
      </c>
      <c r="AA357" t="s">
        <v>2158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2423</v>
      </c>
      <c r="AV357" s="18"/>
      <c r="AW357" s="18"/>
      <c r="AX357" s="18"/>
      <c r="AY357" s="18"/>
      <c r="AZ357" s="18"/>
      <c r="BA357" s="18">
        <v>2423</v>
      </c>
    </row>
    <row r="358" spans="24:53" x14ac:dyDescent="0.35">
      <c r="Z358" s="57">
        <v>45251</v>
      </c>
      <c r="AA358" t="s">
        <v>2164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4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5">
      <c r="Y359">
        <v>12</v>
      </c>
      <c r="Z359" s="57">
        <v>45262</v>
      </c>
      <c r="AA359" t="s">
        <v>2179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2024</v>
      </c>
      <c r="AT359">
        <v>1</v>
      </c>
      <c r="AU359" s="18">
        <v>5088.5</v>
      </c>
      <c r="AV359" s="18"/>
      <c r="AW359" s="18"/>
      <c r="AX359" s="18"/>
      <c r="AY359" s="18"/>
      <c r="AZ359" s="18"/>
      <c r="BA359" s="18">
        <v>5088.5</v>
      </c>
    </row>
    <row r="360" spans="24:53" x14ac:dyDescent="0.35">
      <c r="Z360" s="57">
        <v>45276</v>
      </c>
      <c r="AA360" t="s">
        <v>2194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2</v>
      </c>
      <c r="AU360" s="18">
        <v>2405.1</v>
      </c>
      <c r="AV360" s="18"/>
      <c r="AW360" s="18"/>
      <c r="AX360" s="18"/>
      <c r="AY360" s="18"/>
      <c r="AZ360" s="18"/>
      <c r="BA360" s="18">
        <v>2405.1</v>
      </c>
    </row>
    <row r="361" spans="24:53" x14ac:dyDescent="0.35">
      <c r="Y361">
        <v>4</v>
      </c>
      <c r="Z361" t="s">
        <v>1458</v>
      </c>
      <c r="AA361" t="s">
        <v>1456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3</v>
      </c>
      <c r="AU361" s="18">
        <v>5278.5</v>
      </c>
      <c r="AV361" s="18"/>
      <c r="AW361" s="18"/>
      <c r="AX361" s="18"/>
      <c r="AY361" s="18"/>
      <c r="AZ361" s="18"/>
      <c r="BA361" s="18">
        <v>5278.5</v>
      </c>
    </row>
    <row r="362" spans="24:53" x14ac:dyDescent="0.35">
      <c r="X362">
        <v>2024</v>
      </c>
      <c r="Y362">
        <v>1</v>
      </c>
      <c r="Z362" s="57">
        <v>45294</v>
      </c>
      <c r="AA362" t="s">
        <v>2268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5</v>
      </c>
      <c r="AU362" s="18">
        <v>5132.5</v>
      </c>
      <c r="AV362" s="18"/>
      <c r="AW362" s="18"/>
      <c r="AX362" s="18"/>
      <c r="AY362" s="18"/>
      <c r="AZ362" s="18"/>
      <c r="BA362" s="18">
        <v>5132.5</v>
      </c>
    </row>
    <row r="363" spans="24:53" x14ac:dyDescent="0.35">
      <c r="Y363">
        <v>3</v>
      </c>
      <c r="Z363" s="57">
        <v>45367</v>
      </c>
      <c r="AA363" t="s">
        <v>2438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6</v>
      </c>
      <c r="AU363" s="18">
        <v>2410</v>
      </c>
      <c r="AV363" s="18"/>
      <c r="AW363" s="18"/>
      <c r="AX363" s="18"/>
      <c r="AY363" s="18"/>
      <c r="AZ363" s="18"/>
      <c r="BA363" s="18">
        <v>2410</v>
      </c>
    </row>
    <row r="364" spans="24:53" x14ac:dyDescent="0.35">
      <c r="Y364">
        <v>5</v>
      </c>
      <c r="Z364" s="57">
        <v>45415</v>
      </c>
      <c r="AA364" t="s">
        <v>2549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4</v>
      </c>
      <c r="AU364" s="18">
        <v>5846</v>
      </c>
      <c r="AV364" s="18"/>
      <c r="AW364" s="18"/>
      <c r="AX364" s="18"/>
      <c r="AY364" s="18"/>
      <c r="AZ364" s="18"/>
      <c r="BA364" s="18">
        <v>5846</v>
      </c>
    </row>
    <row r="365" spans="24:53" x14ac:dyDescent="0.35">
      <c r="Z365" s="57">
        <v>45440</v>
      </c>
      <c r="AA365" t="s">
        <v>2569</v>
      </c>
      <c r="AB365" s="18">
        <v>0</v>
      </c>
      <c r="AC365" s="18"/>
      <c r="AD365" s="18"/>
      <c r="AE365" s="18"/>
      <c r="AF365" s="18"/>
      <c r="AG365" s="18"/>
      <c r="AH365" s="18">
        <v>0</v>
      </c>
      <c r="AR365" s="36" t="s">
        <v>500</v>
      </c>
      <c r="AS365" s="36"/>
      <c r="AT365" s="36"/>
      <c r="AU365" s="37">
        <v>28583.599999999999</v>
      </c>
      <c r="AV365" s="37"/>
      <c r="AW365" s="37"/>
      <c r="AX365" s="37"/>
      <c r="AY365" s="37"/>
      <c r="AZ365" s="37"/>
      <c r="BA365" s="37">
        <v>28583.599999999999</v>
      </c>
    </row>
    <row r="366" spans="24:53" x14ac:dyDescent="0.35">
      <c r="Y366">
        <v>6</v>
      </c>
      <c r="Z366" s="57">
        <v>45447</v>
      </c>
      <c r="AA366" t="s">
        <v>2637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637</v>
      </c>
      <c r="AS366">
        <v>2022</v>
      </c>
      <c r="AT366">
        <v>3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Y367">
        <v>8</v>
      </c>
      <c r="Z367" s="57">
        <v>45526</v>
      </c>
      <c r="AA367" t="s">
        <v>2870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4:53" x14ac:dyDescent="0.35">
      <c r="Y368">
        <v>4</v>
      </c>
      <c r="Z368" s="57">
        <v>45406</v>
      </c>
      <c r="AA368" t="s">
        <v>2517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6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5">
      <c r="W369" s="36" t="s">
        <v>263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9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5">
      <c r="W370" t="s">
        <v>280</v>
      </c>
      <c r="X370">
        <v>2021</v>
      </c>
      <c r="Y370">
        <v>2</v>
      </c>
      <c r="Z370" s="57">
        <v>44253</v>
      </c>
      <c r="AA370" t="s">
        <v>278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5">
      <c r="Y371">
        <v>4</v>
      </c>
      <c r="Z371" s="57">
        <v>44294</v>
      </c>
      <c r="AA371" t="s">
        <v>325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12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5">
      <c r="W372" s="36" t="s">
        <v>281</v>
      </c>
      <c r="X372" s="36"/>
      <c r="Y372" s="36"/>
      <c r="Z372" s="36"/>
      <c r="AA372" s="36"/>
      <c r="AB372" s="37">
        <v>0</v>
      </c>
      <c r="AC372" s="37"/>
      <c r="AD372" s="37"/>
      <c r="AE372" s="37"/>
      <c r="AF372" s="37"/>
      <c r="AG372" s="37"/>
      <c r="AH372" s="37">
        <v>0</v>
      </c>
      <c r="AT372">
        <v>4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3:53" x14ac:dyDescent="0.35">
      <c r="W373" t="s">
        <v>289</v>
      </c>
      <c r="X373">
        <v>2021</v>
      </c>
      <c r="Y373">
        <v>3</v>
      </c>
      <c r="Z373" s="57">
        <v>44265</v>
      </c>
      <c r="AA373" t="s">
        <v>315</v>
      </c>
      <c r="AB373" s="18">
        <v>0</v>
      </c>
      <c r="AC373" s="18"/>
      <c r="AD373" s="18"/>
      <c r="AE373" s="18"/>
      <c r="AF373" s="18"/>
      <c r="AG373" s="18"/>
      <c r="AH373" s="18">
        <v>0</v>
      </c>
      <c r="AS373">
        <v>2023</v>
      </c>
      <c r="AT373">
        <v>1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5">
      <c r="W374" s="36" t="s">
        <v>291</v>
      </c>
      <c r="X374" s="36"/>
      <c r="Y374" s="36"/>
      <c r="Z374" s="36"/>
      <c r="AA374" s="36"/>
      <c r="AB374" s="37">
        <v>0</v>
      </c>
      <c r="AC374" s="37"/>
      <c r="AD374" s="37"/>
      <c r="AE374" s="37"/>
      <c r="AF374" s="37"/>
      <c r="AG374" s="37"/>
      <c r="AH374" s="37">
        <v>0</v>
      </c>
      <c r="AT374">
        <v>2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5">
      <c r="W375" t="s">
        <v>375</v>
      </c>
      <c r="X375">
        <v>2021</v>
      </c>
      <c r="Y375">
        <v>9</v>
      </c>
      <c r="Z375" s="57">
        <v>44460</v>
      </c>
      <c r="AA375" t="s">
        <v>373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3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5">
      <c r="W376" s="36" t="s">
        <v>382</v>
      </c>
      <c r="X376" s="36"/>
      <c r="Y376" s="36"/>
      <c r="Z376" s="36"/>
      <c r="AA376" s="36"/>
      <c r="AB376" s="37">
        <v>0</v>
      </c>
      <c r="AC376" s="37"/>
      <c r="AD376" s="37"/>
      <c r="AE376" s="37"/>
      <c r="AF376" s="37"/>
      <c r="AG376" s="37"/>
      <c r="AH376" s="37">
        <v>0</v>
      </c>
      <c r="AT376">
        <v>7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5">
      <c r="W377" t="s">
        <v>400</v>
      </c>
      <c r="X377">
        <v>2021</v>
      </c>
      <c r="Y377">
        <v>10</v>
      </c>
      <c r="Z377" s="57">
        <v>44471</v>
      </c>
      <c r="AA377" t="s">
        <v>398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9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5">
      <c r="Z378" s="57">
        <v>44474</v>
      </c>
      <c r="AA378" t="s">
        <v>401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10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5">
      <c r="Z379" s="57">
        <v>44482</v>
      </c>
      <c r="AA379" t="s">
        <v>415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514.19999999999982</v>
      </c>
      <c r="AV379" s="18"/>
      <c r="AW379" s="18"/>
      <c r="AX379" s="18"/>
      <c r="AY379" s="18"/>
      <c r="AZ379" s="18"/>
      <c r="BA379" s="18">
        <v>514.19999999999982</v>
      </c>
    </row>
    <row r="380" spans="23:53" x14ac:dyDescent="0.35">
      <c r="Z380" s="57">
        <v>44483</v>
      </c>
      <c r="AA380" t="s">
        <v>416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5">
      <c r="Z381" s="57">
        <v>44497</v>
      </c>
      <c r="AA381" t="s">
        <v>447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641</v>
      </c>
      <c r="AS381" s="36"/>
      <c r="AT381" s="36"/>
      <c r="AU381" s="37">
        <v>514.19999999999982</v>
      </c>
      <c r="AV381" s="37"/>
      <c r="AW381" s="37"/>
      <c r="AX381" s="37"/>
      <c r="AY381" s="37"/>
      <c r="AZ381" s="37"/>
      <c r="BA381" s="37">
        <v>514.19999999999982</v>
      </c>
    </row>
    <row r="382" spans="23:53" x14ac:dyDescent="0.35">
      <c r="Y382">
        <v>11</v>
      </c>
      <c r="Z382" s="57">
        <v>44502</v>
      </c>
      <c r="AA382" t="s">
        <v>457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665</v>
      </c>
      <c r="AS382">
        <v>2022</v>
      </c>
      <c r="AT382">
        <v>3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5">
      <c r="Z383" s="57">
        <v>44513</v>
      </c>
      <c r="AA383" t="s">
        <v>477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5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5">
      <c r="Z384" s="57">
        <v>44526</v>
      </c>
      <c r="AA384" t="s">
        <v>481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6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AA385" t="s">
        <v>482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Y386">
        <v>12</v>
      </c>
      <c r="Z386" s="57">
        <v>44561</v>
      </c>
      <c r="AA386" t="s">
        <v>536</v>
      </c>
      <c r="AB386" s="18">
        <v>0</v>
      </c>
      <c r="AC386" s="18"/>
      <c r="AD386" s="18"/>
      <c r="AE386" s="18"/>
      <c r="AF386" s="18"/>
      <c r="AG386" s="18"/>
      <c r="AH386" s="18">
        <v>0</v>
      </c>
      <c r="AS386">
        <v>2023</v>
      </c>
      <c r="AT386">
        <v>1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X387">
        <v>2022</v>
      </c>
      <c r="Y387">
        <v>1</v>
      </c>
      <c r="Z387" s="57">
        <v>44567</v>
      </c>
      <c r="AA387" t="s">
        <v>547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6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Z388" s="57">
        <v>44574</v>
      </c>
      <c r="AA388" t="s">
        <v>557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679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5">
      <c r="Z389" s="57">
        <v>44583</v>
      </c>
      <c r="AA389" t="s">
        <v>565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709</v>
      </c>
      <c r="AS389">
        <v>2022</v>
      </c>
      <c r="AT389">
        <v>4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Y390">
        <v>2</v>
      </c>
      <c r="Z390" s="57">
        <v>44602</v>
      </c>
      <c r="AA390" t="s">
        <v>601</v>
      </c>
      <c r="AB390" s="18">
        <v>0</v>
      </c>
      <c r="AC390" s="18"/>
      <c r="AD390" s="18"/>
      <c r="AE390" s="18"/>
      <c r="AF390" s="18"/>
      <c r="AG390" s="18"/>
      <c r="AH390" s="18">
        <v>0</v>
      </c>
      <c r="AR390" s="36" t="s">
        <v>754</v>
      </c>
      <c r="AS390" s="36"/>
      <c r="AT390" s="36"/>
      <c r="AU390" s="37">
        <v>0</v>
      </c>
      <c r="AV390" s="37"/>
      <c r="AW390" s="37"/>
      <c r="AX390" s="37"/>
      <c r="AY390" s="37"/>
      <c r="AZ390" s="37"/>
      <c r="BA390" s="37">
        <v>0</v>
      </c>
    </row>
    <row r="391" spans="24:53" x14ac:dyDescent="0.35">
      <c r="Z391" s="57">
        <v>44614</v>
      </c>
      <c r="AA391" t="s">
        <v>608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t="s">
        <v>773</v>
      </c>
      <c r="AS391">
        <v>2022</v>
      </c>
      <c r="AT391">
        <v>5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Y392">
        <v>3</v>
      </c>
      <c r="Z392" s="57">
        <v>44631</v>
      </c>
      <c r="AA392" t="s">
        <v>643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4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Z393" s="57">
        <v>44637</v>
      </c>
      <c r="AA393" t="s">
        <v>649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s="36" t="s">
        <v>798</v>
      </c>
      <c r="AS393" s="36"/>
      <c r="AT393" s="36"/>
      <c r="AU393" s="37">
        <v>0</v>
      </c>
      <c r="AV393" s="37"/>
      <c r="AW393" s="37"/>
      <c r="AX393" s="37"/>
      <c r="AY393" s="37"/>
      <c r="AZ393" s="37"/>
      <c r="BA393" s="37">
        <v>0</v>
      </c>
    </row>
    <row r="394" spans="24:53" x14ac:dyDescent="0.35">
      <c r="Y394">
        <v>5</v>
      </c>
      <c r="Z394" s="57">
        <v>44704</v>
      </c>
      <c r="AA394" t="s">
        <v>794</v>
      </c>
      <c r="AB394" s="18">
        <v>0</v>
      </c>
      <c r="AC394" s="18"/>
      <c r="AD394" s="18"/>
      <c r="AE394" s="18"/>
      <c r="AF394" s="18"/>
      <c r="AG394" s="18"/>
      <c r="AH394" s="18">
        <v>0</v>
      </c>
      <c r="AR394" t="s">
        <v>784</v>
      </c>
      <c r="AS394">
        <v>2022</v>
      </c>
      <c r="AT394">
        <v>5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Y395">
        <v>6</v>
      </c>
      <c r="Z395" s="57">
        <v>44740</v>
      </c>
      <c r="AA395" t="s">
        <v>846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8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Y396">
        <v>7</v>
      </c>
      <c r="Z396" s="57">
        <v>44754</v>
      </c>
      <c r="AA396" t="s">
        <v>857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10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Y397">
        <v>8</v>
      </c>
      <c r="Z397" s="57">
        <v>44798</v>
      </c>
      <c r="AA397" t="s">
        <v>915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12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Z398" s="57">
        <v>44799</v>
      </c>
      <c r="AA398" t="s">
        <v>915</v>
      </c>
      <c r="AB398" s="18">
        <v>0</v>
      </c>
      <c r="AC398" s="18"/>
      <c r="AD398" s="18"/>
      <c r="AE398" s="18"/>
      <c r="AF398" s="18"/>
      <c r="AG398" s="18"/>
      <c r="AH398" s="18">
        <v>0</v>
      </c>
      <c r="AS398">
        <v>2023</v>
      </c>
      <c r="AT398">
        <v>3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5">
      <c r="Y399">
        <v>9</v>
      </c>
      <c r="Z399" s="57">
        <v>44827</v>
      </c>
      <c r="AA399" t="s">
        <v>943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12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Y400">
        <v>10</v>
      </c>
      <c r="Z400" s="57">
        <v>44845</v>
      </c>
      <c r="AA400" t="s">
        <v>998</v>
      </c>
      <c r="AB400" s="18">
        <v>0</v>
      </c>
      <c r="AC400" s="18"/>
      <c r="AD400" s="18"/>
      <c r="AE400" s="18"/>
      <c r="AF400" s="18"/>
      <c r="AG400" s="18"/>
      <c r="AH400" s="18">
        <v>0</v>
      </c>
      <c r="AS400">
        <v>2024</v>
      </c>
      <c r="AT400">
        <v>2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4:53" x14ac:dyDescent="0.35">
      <c r="Y401">
        <v>11</v>
      </c>
      <c r="Z401" s="57">
        <v>44880</v>
      </c>
      <c r="AA401" t="s">
        <v>1066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3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5">
      <c r="Z402" t="s">
        <v>1069</v>
      </c>
      <c r="AA402" t="s">
        <v>1067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5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4:53" x14ac:dyDescent="0.35">
      <c r="Y403">
        <v>12</v>
      </c>
      <c r="Z403" t="s">
        <v>1134</v>
      </c>
      <c r="AA403" t="s">
        <v>1133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8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4:53" x14ac:dyDescent="0.35">
      <c r="Y404">
        <v>4</v>
      </c>
      <c r="Z404" s="57">
        <v>44659</v>
      </c>
      <c r="AA404" t="s">
        <v>686</v>
      </c>
      <c r="AB404" s="18">
        <v>0</v>
      </c>
      <c r="AC404" s="18"/>
      <c r="AD404" s="18"/>
      <c r="AE404" s="18"/>
      <c r="AF404" s="18"/>
      <c r="AG404" s="18"/>
      <c r="AH404" s="18">
        <v>0</v>
      </c>
      <c r="AS404">
        <v>2025</v>
      </c>
      <c r="AT404">
        <v>3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4:53" x14ac:dyDescent="0.35">
      <c r="Z405" s="57">
        <v>44679</v>
      </c>
      <c r="AA405" t="s">
        <v>726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799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4:53" x14ac:dyDescent="0.35">
      <c r="X406">
        <v>2023</v>
      </c>
      <c r="Y406">
        <v>1</v>
      </c>
      <c r="Z406" s="57">
        <v>44946</v>
      </c>
      <c r="AA406" t="s">
        <v>1194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859</v>
      </c>
      <c r="AS406">
        <v>2022</v>
      </c>
      <c r="AT406">
        <v>7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5">
      <c r="Y407">
        <v>2</v>
      </c>
      <c r="Z407" s="57">
        <v>44968</v>
      </c>
      <c r="AA407" t="s">
        <v>1256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8</v>
      </c>
      <c r="AU407" s="18">
        <v>0.20000000000004547</v>
      </c>
      <c r="AV407" s="18"/>
      <c r="AW407" s="18"/>
      <c r="AX407" s="18"/>
      <c r="AY407" s="18"/>
      <c r="AZ407" s="18"/>
      <c r="BA407" s="18">
        <v>0.20000000000004547</v>
      </c>
    </row>
    <row r="408" spans="24:53" x14ac:dyDescent="0.35">
      <c r="Z408" t="s">
        <v>1279</v>
      </c>
      <c r="AA408" t="s">
        <v>1280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9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4:53" x14ac:dyDescent="0.35">
      <c r="Z409" t="s">
        <v>1283</v>
      </c>
      <c r="AA409" t="s">
        <v>1281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11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4:53" x14ac:dyDescent="0.35">
      <c r="Y410">
        <v>3</v>
      </c>
      <c r="Z410" t="s">
        <v>1321</v>
      </c>
      <c r="AA410" t="s">
        <v>1319</v>
      </c>
      <c r="AB410" s="18">
        <v>-1.1368683772161603E-13</v>
      </c>
      <c r="AC410" s="18"/>
      <c r="AD410" s="18"/>
      <c r="AE410" s="18"/>
      <c r="AF410" s="18"/>
      <c r="AG410" s="18"/>
      <c r="AH410" s="18">
        <v>-1.1368683772161603E-13</v>
      </c>
      <c r="AS410">
        <v>2023</v>
      </c>
      <c r="AT410">
        <v>2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4:53" x14ac:dyDescent="0.35">
      <c r="Z411" t="s">
        <v>1324</v>
      </c>
      <c r="AA411" t="s">
        <v>1320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5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4:53" x14ac:dyDescent="0.35">
      <c r="Z412" t="s">
        <v>1334</v>
      </c>
      <c r="AA412" t="s">
        <v>1337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7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4:53" x14ac:dyDescent="0.35">
      <c r="Y413">
        <v>5</v>
      </c>
      <c r="Z413" s="57">
        <v>45058</v>
      </c>
      <c r="AA413" t="s">
        <v>1541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11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4:53" x14ac:dyDescent="0.35">
      <c r="Y414">
        <v>6</v>
      </c>
      <c r="Z414" t="s">
        <v>1611</v>
      </c>
      <c r="AA414" t="s">
        <v>1610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4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4:53" x14ac:dyDescent="0.35">
      <c r="Z415" s="57">
        <v>45091</v>
      </c>
      <c r="AA415" t="s">
        <v>1626</v>
      </c>
      <c r="AB415" s="18">
        <v>0</v>
      </c>
      <c r="AC415" s="18"/>
      <c r="AD415" s="18"/>
      <c r="AE415" s="18"/>
      <c r="AF415" s="18"/>
      <c r="AG415" s="18"/>
      <c r="AH415" s="18">
        <v>0</v>
      </c>
      <c r="AS415">
        <v>2024</v>
      </c>
      <c r="AT415">
        <v>6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4:53" x14ac:dyDescent="0.35">
      <c r="Z416" s="57">
        <v>45101</v>
      </c>
      <c r="AA416" t="s">
        <v>1651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7</v>
      </c>
      <c r="AU416" s="18">
        <v>6023.3</v>
      </c>
      <c r="AV416" s="18"/>
      <c r="AW416" s="18"/>
      <c r="AX416" s="18"/>
      <c r="AY416" s="18"/>
      <c r="AZ416" s="18"/>
      <c r="BA416" s="18">
        <v>6023.3</v>
      </c>
    </row>
    <row r="417" spans="25:53" x14ac:dyDescent="0.35">
      <c r="Y417">
        <v>7</v>
      </c>
      <c r="Z417" t="s">
        <v>1724</v>
      </c>
      <c r="AA417" t="s">
        <v>1723</v>
      </c>
      <c r="AB417" s="18">
        <v>-1.1368683772161603E-13</v>
      </c>
      <c r="AC417" s="18"/>
      <c r="AD417" s="18"/>
      <c r="AE417" s="18"/>
      <c r="AF417" s="18"/>
      <c r="AG417" s="18"/>
      <c r="AH417" s="18">
        <v>-1.1368683772161603E-13</v>
      </c>
      <c r="AT417">
        <v>8</v>
      </c>
      <c r="AU417" s="18">
        <v>8026.4</v>
      </c>
      <c r="AV417" s="18"/>
      <c r="AW417" s="18"/>
      <c r="AX417" s="18"/>
      <c r="AY417" s="18"/>
      <c r="AZ417" s="18"/>
      <c r="BA417" s="18">
        <v>8026.4</v>
      </c>
    </row>
    <row r="418" spans="25:53" x14ac:dyDescent="0.35">
      <c r="Z418" s="57">
        <v>45127</v>
      </c>
      <c r="AA418" t="s">
        <v>1726</v>
      </c>
      <c r="AB418" s="18">
        <v>0</v>
      </c>
      <c r="AC418" s="18"/>
      <c r="AD418" s="18"/>
      <c r="AE418" s="18"/>
      <c r="AF418" s="18"/>
      <c r="AG418" s="18"/>
      <c r="AH418" s="18">
        <v>0</v>
      </c>
      <c r="AS418">
        <v>2025</v>
      </c>
      <c r="AT418">
        <v>1</v>
      </c>
      <c r="AU418" s="18">
        <v>12228.900000000001</v>
      </c>
      <c r="AV418" s="18"/>
      <c r="AW418" s="18"/>
      <c r="AX418" s="18"/>
      <c r="AY418" s="18"/>
      <c r="AZ418" s="18"/>
      <c r="BA418" s="18">
        <v>12228.900000000001</v>
      </c>
    </row>
    <row r="419" spans="25:53" x14ac:dyDescent="0.35">
      <c r="Y419">
        <v>8</v>
      </c>
      <c r="Z419" s="57">
        <v>45142</v>
      </c>
      <c r="AA419" t="s">
        <v>1798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7</v>
      </c>
      <c r="AU419" s="18">
        <v>7321.7999999999993</v>
      </c>
      <c r="AV419" s="18"/>
      <c r="AW419" s="18"/>
      <c r="AX419" s="18"/>
      <c r="AY419" s="18"/>
      <c r="AZ419" s="18"/>
      <c r="BA419" s="18">
        <v>7321.7999999999993</v>
      </c>
    </row>
    <row r="420" spans="25:53" x14ac:dyDescent="0.35">
      <c r="Z420" s="57">
        <v>45153</v>
      </c>
      <c r="AA420" t="s">
        <v>1812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874</v>
      </c>
      <c r="AS420" s="36"/>
      <c r="AT420" s="36"/>
      <c r="AU420" s="37">
        <v>33600.600000000006</v>
      </c>
      <c r="AV420" s="37"/>
      <c r="AW420" s="37"/>
      <c r="AX420" s="37"/>
      <c r="AY420" s="37"/>
      <c r="AZ420" s="37"/>
      <c r="BA420" s="37">
        <v>33600.600000000006</v>
      </c>
    </row>
    <row r="421" spans="25:53" x14ac:dyDescent="0.35">
      <c r="Z421" s="57">
        <v>45155</v>
      </c>
      <c r="AA421" t="s">
        <v>1821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958</v>
      </c>
      <c r="AS421">
        <v>2022</v>
      </c>
      <c r="AT421">
        <v>9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Z422" s="57">
        <v>45160</v>
      </c>
      <c r="AA422" t="s">
        <v>1826</v>
      </c>
      <c r="AB422" s="18">
        <v>0</v>
      </c>
      <c r="AC422" s="18"/>
      <c r="AD422" s="18"/>
      <c r="AE422" s="18"/>
      <c r="AF422" s="18"/>
      <c r="AG422" s="18"/>
      <c r="AH422" s="18">
        <v>0</v>
      </c>
      <c r="AS422">
        <v>2023</v>
      </c>
      <c r="AT422">
        <v>1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5:53" x14ac:dyDescent="0.35">
      <c r="Z423" s="57">
        <v>45164</v>
      </c>
      <c r="AA423" t="s">
        <v>1830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985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5:53" x14ac:dyDescent="0.35">
      <c r="Z424" s="57">
        <v>45168</v>
      </c>
      <c r="AA424" t="s">
        <v>1835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1044</v>
      </c>
      <c r="AS424" t="s">
        <v>1763</v>
      </c>
      <c r="AT424" t="s">
        <v>1763</v>
      </c>
      <c r="AU424" s="18"/>
      <c r="AV424" s="18"/>
      <c r="AW424" s="18"/>
      <c r="AX424" s="18"/>
      <c r="AY424" s="18">
        <v>0</v>
      </c>
      <c r="AZ424" s="18"/>
      <c r="BA424" s="18">
        <v>0</v>
      </c>
    </row>
    <row r="425" spans="25:53" x14ac:dyDescent="0.35">
      <c r="Y425">
        <v>9</v>
      </c>
      <c r="Z425" s="57">
        <v>45177</v>
      </c>
      <c r="AA425" t="s">
        <v>1889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1045</v>
      </c>
      <c r="AS425" s="36"/>
      <c r="AT425" s="36"/>
      <c r="AU425" s="37"/>
      <c r="AV425" s="37"/>
      <c r="AW425" s="37"/>
      <c r="AX425" s="37"/>
      <c r="AY425" s="37">
        <v>0</v>
      </c>
      <c r="AZ425" s="37"/>
      <c r="BA425" s="37">
        <v>0</v>
      </c>
    </row>
    <row r="426" spans="25:53" x14ac:dyDescent="0.35">
      <c r="Z426" s="57">
        <v>45182</v>
      </c>
      <c r="AA426" t="s">
        <v>1902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1051</v>
      </c>
      <c r="AS426">
        <v>2022</v>
      </c>
      <c r="AT426">
        <v>11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5:53" x14ac:dyDescent="0.35">
      <c r="Z427" s="57">
        <v>45192</v>
      </c>
      <c r="AA427" t="s">
        <v>1916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5">
      <c r="Z428" s="57">
        <v>45195</v>
      </c>
      <c r="AA428" t="s">
        <v>1920</v>
      </c>
      <c r="AB428" s="18">
        <v>0</v>
      </c>
      <c r="AC428" s="18"/>
      <c r="AD428" s="18"/>
      <c r="AE428" s="18"/>
      <c r="AF428" s="18"/>
      <c r="AG428" s="18"/>
      <c r="AH428" s="18">
        <v>0</v>
      </c>
      <c r="AR428" s="36" t="s">
        <v>1088</v>
      </c>
      <c r="AS428" s="36"/>
      <c r="AT428" s="36"/>
      <c r="AU428" s="37">
        <v>0</v>
      </c>
      <c r="AV428" s="37"/>
      <c r="AW428" s="37"/>
      <c r="AX428" s="37"/>
      <c r="AY428" s="37"/>
      <c r="AZ428" s="37"/>
      <c r="BA428" s="37">
        <v>0</v>
      </c>
    </row>
    <row r="429" spans="25:53" x14ac:dyDescent="0.35">
      <c r="Y429">
        <v>10</v>
      </c>
      <c r="Z429" s="57">
        <v>45202</v>
      </c>
      <c r="AA429" t="s">
        <v>1991</v>
      </c>
      <c r="AB429" s="18">
        <v>-5.6843418860808015E-14</v>
      </c>
      <c r="AC429" s="18"/>
      <c r="AD429" s="18"/>
      <c r="AE429" s="18"/>
      <c r="AF429" s="18"/>
      <c r="AG429" s="18"/>
      <c r="AH429" s="18">
        <v>-5.6843418860808015E-14</v>
      </c>
      <c r="AR429" t="s">
        <v>1057</v>
      </c>
      <c r="AS429">
        <v>2022</v>
      </c>
      <c r="AT429">
        <v>11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5">
      <c r="Z430" t="s">
        <v>2009</v>
      </c>
      <c r="AA430" t="s">
        <v>2010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s="36" t="s">
        <v>1089</v>
      </c>
      <c r="AS430" s="36"/>
      <c r="AT430" s="36"/>
      <c r="AU430" s="37">
        <v>0</v>
      </c>
      <c r="AV430" s="37"/>
      <c r="AW430" s="37"/>
      <c r="AX430" s="37"/>
      <c r="AY430" s="37"/>
      <c r="AZ430" s="37"/>
      <c r="BA430" s="37">
        <v>0</v>
      </c>
    </row>
    <row r="431" spans="25:53" x14ac:dyDescent="0.35">
      <c r="Z431" s="57">
        <v>45225</v>
      </c>
      <c r="AA431" t="s">
        <v>2030</v>
      </c>
      <c r="AB431" s="18">
        <v>0</v>
      </c>
      <c r="AC431" s="18"/>
      <c r="AD431" s="18"/>
      <c r="AE431" s="18"/>
      <c r="AF431" s="18"/>
      <c r="AG431" s="18"/>
      <c r="AH431" s="18">
        <v>0</v>
      </c>
      <c r="AR431" t="s">
        <v>1101</v>
      </c>
      <c r="AS431">
        <v>2022</v>
      </c>
      <c r="AT431">
        <v>11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5">
      <c r="Z432" s="57">
        <v>45226</v>
      </c>
      <c r="AA432" t="s">
        <v>2032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R432" s="36" t="s">
        <v>1104</v>
      </c>
      <c r="AS432" s="36"/>
      <c r="AT432" s="36"/>
      <c r="AU432" s="37">
        <v>0</v>
      </c>
      <c r="AV432" s="37"/>
      <c r="AW432" s="37"/>
      <c r="AX432" s="37"/>
      <c r="AY432" s="37"/>
      <c r="AZ432" s="37"/>
      <c r="BA432" s="37">
        <v>0</v>
      </c>
    </row>
    <row r="433" spans="24:53" x14ac:dyDescent="0.35">
      <c r="Y433">
        <v>11</v>
      </c>
      <c r="Z433" s="57">
        <v>45233</v>
      </c>
      <c r="AA433" t="s">
        <v>2149</v>
      </c>
      <c r="AB433" s="18">
        <v>0</v>
      </c>
      <c r="AC433" s="18"/>
      <c r="AD433" s="18"/>
      <c r="AE433" s="18"/>
      <c r="AF433" s="18"/>
      <c r="AG433" s="18"/>
      <c r="AH433" s="18">
        <v>0</v>
      </c>
      <c r="AR433" t="s">
        <v>1100</v>
      </c>
      <c r="AS433">
        <v>2022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Z434" s="57">
        <v>45245</v>
      </c>
      <c r="AA434" t="s">
        <v>2161</v>
      </c>
      <c r="AB434" s="18">
        <v>0</v>
      </c>
      <c r="AC434" s="18"/>
      <c r="AD434" s="18"/>
      <c r="AE434" s="18"/>
      <c r="AF434" s="18"/>
      <c r="AG434" s="18"/>
      <c r="AH434" s="18">
        <v>0</v>
      </c>
      <c r="AR434" s="36" t="s">
        <v>1105</v>
      </c>
      <c r="AS434" s="36"/>
      <c r="AT434" s="36"/>
      <c r="AU434" s="37">
        <v>0</v>
      </c>
      <c r="AV434" s="37"/>
      <c r="AW434" s="37"/>
      <c r="AX434" s="37"/>
      <c r="AY434" s="37"/>
      <c r="AZ434" s="37"/>
      <c r="BA434" s="37">
        <v>0</v>
      </c>
    </row>
    <row r="435" spans="24:53" x14ac:dyDescent="0.35">
      <c r="Z435" s="57">
        <v>45259</v>
      </c>
      <c r="AA435" t="s">
        <v>2174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t="s">
        <v>1196</v>
      </c>
      <c r="AS435">
        <v>2023</v>
      </c>
      <c r="AT435">
        <v>1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5">
      <c r="Y436">
        <v>12</v>
      </c>
      <c r="Z436" s="57">
        <v>45268</v>
      </c>
      <c r="AA436" t="s">
        <v>2186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2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Z437" s="57">
        <v>45279</v>
      </c>
      <c r="AA437" t="s">
        <v>2200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3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Z438" s="57">
        <v>45290</v>
      </c>
      <c r="AA438" t="s">
        <v>2214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5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Y439">
        <v>4</v>
      </c>
      <c r="Z439" t="s">
        <v>1462</v>
      </c>
      <c r="AA439" t="s">
        <v>1461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6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AA440" t="s">
        <v>1467</v>
      </c>
      <c r="AB440" s="18">
        <v>0</v>
      </c>
      <c r="AC440" s="18"/>
      <c r="AD440" s="18"/>
      <c r="AE440" s="18"/>
      <c r="AF440" s="18"/>
      <c r="AG440" s="18"/>
      <c r="AH440" s="18">
        <v>0</v>
      </c>
      <c r="AT440">
        <v>7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5">
      <c r="Z441" s="57">
        <v>45023</v>
      </c>
      <c r="AA441" t="s">
        <v>1412</v>
      </c>
      <c r="AB441" s="18">
        <v>0</v>
      </c>
      <c r="AC441" s="18"/>
      <c r="AD441" s="18"/>
      <c r="AE441" s="18"/>
      <c r="AF441" s="18"/>
      <c r="AG441" s="18"/>
      <c r="AH441" s="18">
        <v>0</v>
      </c>
      <c r="AT441">
        <v>8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5">
      <c r="X442">
        <v>2024</v>
      </c>
      <c r="Y442">
        <v>1</v>
      </c>
      <c r="Z442" s="57">
        <v>45301</v>
      </c>
      <c r="AA442" t="s">
        <v>2276</v>
      </c>
      <c r="AB442" s="18">
        <v>0</v>
      </c>
      <c r="AC442" s="18"/>
      <c r="AD442" s="18"/>
      <c r="AE442" s="18"/>
      <c r="AF442" s="18"/>
      <c r="AG442" s="18"/>
      <c r="AH442" s="18">
        <v>0</v>
      </c>
      <c r="AT442">
        <v>9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5">
      <c r="Z443" s="57">
        <v>45308</v>
      </c>
      <c r="AA443" t="s">
        <v>2282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10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5">
      <c r="Z444" s="57">
        <v>45310</v>
      </c>
      <c r="AA444" t="s">
        <v>2286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11</v>
      </c>
      <c r="AU444" s="18">
        <v>2576.3000000000002</v>
      </c>
      <c r="AV444" s="18"/>
      <c r="AW444" s="18"/>
      <c r="AX444" s="18"/>
      <c r="AY444" s="18"/>
      <c r="AZ444" s="18"/>
      <c r="BA444" s="18">
        <v>2576.3000000000002</v>
      </c>
    </row>
    <row r="445" spans="24:53" x14ac:dyDescent="0.35">
      <c r="Y445">
        <v>2</v>
      </c>
      <c r="Z445" s="57">
        <v>45323</v>
      </c>
      <c r="AA445" t="s">
        <v>2342</v>
      </c>
      <c r="AB445" s="18">
        <v>0</v>
      </c>
      <c r="AC445" s="18"/>
      <c r="AD445" s="18"/>
      <c r="AE445" s="18"/>
      <c r="AF445" s="18"/>
      <c r="AG445" s="18"/>
      <c r="AH445" s="18">
        <v>0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5">
      <c r="Z446" s="57">
        <v>45337</v>
      </c>
      <c r="AA446" t="s">
        <v>2354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1232</v>
      </c>
      <c r="AS446" s="36"/>
      <c r="AT446" s="36"/>
      <c r="AU446" s="37">
        <v>2576.3000000000002</v>
      </c>
      <c r="AV446" s="37"/>
      <c r="AW446" s="37"/>
      <c r="AX446" s="37"/>
      <c r="AY446" s="37"/>
      <c r="AZ446" s="37"/>
      <c r="BA446" s="37">
        <v>2576.3000000000002</v>
      </c>
    </row>
    <row r="447" spans="24:53" x14ac:dyDescent="0.35">
      <c r="Z447" s="57">
        <v>45345</v>
      </c>
      <c r="AA447" t="s">
        <v>2366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1257</v>
      </c>
      <c r="AS447">
        <v>2023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5">
      <c r="Y448">
        <v>3</v>
      </c>
      <c r="Z448" s="57">
        <v>45356</v>
      </c>
      <c r="AA448" t="s">
        <v>2430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4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45367</v>
      </c>
      <c r="AA449" t="s">
        <v>2441</v>
      </c>
      <c r="AB449" s="18">
        <v>0</v>
      </c>
      <c r="AC449" s="18"/>
      <c r="AD449" s="18"/>
      <c r="AE449" s="18"/>
      <c r="AF449" s="18"/>
      <c r="AG449" s="18"/>
      <c r="AH449" s="18">
        <v>0</v>
      </c>
      <c r="AR449" s="36" t="s">
        <v>1387</v>
      </c>
      <c r="AS449" s="36"/>
      <c r="AT449" s="36"/>
      <c r="AU449" s="37">
        <v>0</v>
      </c>
      <c r="AV449" s="37"/>
      <c r="AW449" s="37"/>
      <c r="AX449" s="37"/>
      <c r="AY449" s="37"/>
      <c r="AZ449" s="37"/>
      <c r="BA449" s="37">
        <v>0</v>
      </c>
    </row>
    <row r="450" spans="25:53" x14ac:dyDescent="0.35">
      <c r="Z450" s="57">
        <v>45379</v>
      </c>
      <c r="AA450" t="s">
        <v>2452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t="s">
        <v>1304</v>
      </c>
      <c r="AS450">
        <v>2023</v>
      </c>
      <c r="AT450">
        <v>3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5:53" x14ac:dyDescent="0.35">
      <c r="Y451">
        <v>5</v>
      </c>
      <c r="Z451" s="57">
        <v>45413</v>
      </c>
      <c r="AA451" t="s">
        <v>2548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s="36" t="s">
        <v>1388</v>
      </c>
      <c r="AS451" s="36"/>
      <c r="AT451" s="36"/>
      <c r="AU451" s="37">
        <v>0</v>
      </c>
      <c r="AV451" s="37"/>
      <c r="AW451" s="37"/>
      <c r="AX451" s="37"/>
      <c r="AY451" s="37"/>
      <c r="AZ451" s="37"/>
      <c r="BA451" s="37">
        <v>0</v>
      </c>
    </row>
    <row r="452" spans="25:53" x14ac:dyDescent="0.35">
      <c r="Z452" s="57">
        <v>45422</v>
      </c>
      <c r="AA452" t="s">
        <v>2561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t="s">
        <v>1309</v>
      </c>
      <c r="AS452">
        <v>2023</v>
      </c>
      <c r="AT452">
        <v>5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5">
      <c r="Z453" s="57">
        <v>45440</v>
      </c>
      <c r="AA453" t="s">
        <v>2568</v>
      </c>
      <c r="AB453" s="18">
        <v>718.6</v>
      </c>
      <c r="AC453" s="18"/>
      <c r="AD453" s="18"/>
      <c r="AE453" s="18"/>
      <c r="AF453" s="18"/>
      <c r="AG453" s="18"/>
      <c r="AH453" s="18">
        <v>718.6</v>
      </c>
      <c r="AT453">
        <v>6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5">
      <c r="Y454">
        <v>6</v>
      </c>
      <c r="Z454" s="57">
        <v>45450</v>
      </c>
      <c r="AA454" t="s">
        <v>2642</v>
      </c>
      <c r="AB454" s="18">
        <v>2390</v>
      </c>
      <c r="AC454" s="18"/>
      <c r="AD454" s="18"/>
      <c r="AE454" s="18"/>
      <c r="AF454" s="18"/>
      <c r="AG454" s="18"/>
      <c r="AH454" s="18">
        <v>2390</v>
      </c>
      <c r="AT454">
        <v>7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5">
      <c r="Z455" s="57">
        <v>45465</v>
      </c>
      <c r="AA455" t="s">
        <v>2657</v>
      </c>
      <c r="AB455" s="18">
        <v>2462.5</v>
      </c>
      <c r="AC455" s="18"/>
      <c r="AD455" s="18"/>
      <c r="AE455" s="18"/>
      <c r="AF455" s="18"/>
      <c r="AG455" s="18"/>
      <c r="AH455" s="18">
        <v>2462.5</v>
      </c>
      <c r="AT455">
        <v>8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5">
      <c r="Y456">
        <v>7</v>
      </c>
      <c r="Z456" s="57">
        <v>45477</v>
      </c>
      <c r="AA456" t="s">
        <v>2754</v>
      </c>
      <c r="AB456" s="18">
        <v>3105</v>
      </c>
      <c r="AC456" s="18"/>
      <c r="AD456" s="18"/>
      <c r="AE456" s="18"/>
      <c r="AF456" s="18"/>
      <c r="AG456" s="18"/>
      <c r="AH456" s="18">
        <v>3105</v>
      </c>
      <c r="AT456">
        <v>9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5">
      <c r="Z457" s="57">
        <v>45490</v>
      </c>
      <c r="AA457" t="s">
        <v>2762</v>
      </c>
      <c r="AB457" s="18">
        <v>2165</v>
      </c>
      <c r="AC457" s="18"/>
      <c r="AD457" s="18"/>
      <c r="AE457" s="18"/>
      <c r="AF457" s="18"/>
      <c r="AG457" s="18"/>
      <c r="AH457" s="18">
        <v>2165</v>
      </c>
      <c r="AT457">
        <v>10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5">
      <c r="Z458" s="57">
        <v>45497</v>
      </c>
      <c r="AA458" t="s">
        <v>2767</v>
      </c>
      <c r="AB458" s="18">
        <v>3451.3</v>
      </c>
      <c r="AC458" s="18"/>
      <c r="AD458" s="18"/>
      <c r="AE458" s="18"/>
      <c r="AF458" s="18"/>
      <c r="AG458" s="18"/>
      <c r="AH458" s="18">
        <v>3451.3</v>
      </c>
      <c r="AT458">
        <v>11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5">
      <c r="Y459">
        <v>8</v>
      </c>
      <c r="Z459" s="57">
        <v>45510</v>
      </c>
      <c r="AA459" t="s">
        <v>2847</v>
      </c>
      <c r="AB459" s="18">
        <v>2997.5</v>
      </c>
      <c r="AC459" s="18"/>
      <c r="AD459" s="18"/>
      <c r="AE459" s="18"/>
      <c r="AF459" s="18"/>
      <c r="AG459" s="18"/>
      <c r="AH459" s="18">
        <v>2997.5</v>
      </c>
      <c r="AT459">
        <v>4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5">
      <c r="Z460" s="57">
        <v>45520</v>
      </c>
      <c r="AA460" t="s">
        <v>2860</v>
      </c>
      <c r="AB460" s="18">
        <v>1880</v>
      </c>
      <c r="AC460" s="18"/>
      <c r="AD460" s="18"/>
      <c r="AE460" s="18"/>
      <c r="AF460" s="18"/>
      <c r="AG460" s="18"/>
      <c r="AH460" s="18">
        <v>1880</v>
      </c>
      <c r="AS460">
        <v>2024</v>
      </c>
      <c r="AT460">
        <v>1</v>
      </c>
      <c r="AU460" s="18"/>
      <c r="AV460" s="18"/>
      <c r="AW460" s="18"/>
      <c r="AX460" s="18"/>
      <c r="AY460" s="18"/>
      <c r="AZ460" s="18">
        <v>0</v>
      </c>
      <c r="BA460" s="18">
        <v>0</v>
      </c>
    </row>
    <row r="461" spans="25:53" x14ac:dyDescent="0.35">
      <c r="Z461" s="57">
        <v>45531</v>
      </c>
      <c r="AA461" t="s">
        <v>2872</v>
      </c>
      <c r="AB461" s="18">
        <v>2772.5</v>
      </c>
      <c r="AC461" s="18"/>
      <c r="AD461" s="18"/>
      <c r="AE461" s="18"/>
      <c r="AF461" s="18"/>
      <c r="AG461" s="18"/>
      <c r="AH461" s="18">
        <v>2772.5</v>
      </c>
      <c r="AT461">
        <v>3</v>
      </c>
      <c r="AU461" s="18"/>
      <c r="AV461" s="18"/>
      <c r="AW461" s="18"/>
      <c r="AX461" s="18"/>
      <c r="AY461" s="18"/>
      <c r="AZ461" s="18">
        <v>0</v>
      </c>
      <c r="BA461" s="18">
        <v>0</v>
      </c>
    </row>
    <row r="462" spans="25:53" x14ac:dyDescent="0.35">
      <c r="Y462">
        <v>9</v>
      </c>
      <c r="Z462" s="57">
        <v>45543</v>
      </c>
      <c r="AA462" t="s">
        <v>2944</v>
      </c>
      <c r="AB462" s="18">
        <v>515</v>
      </c>
      <c r="AC462" s="18"/>
      <c r="AD462" s="18"/>
      <c r="AE462" s="18"/>
      <c r="AF462" s="18"/>
      <c r="AG462" s="18"/>
      <c r="AH462" s="18">
        <v>515</v>
      </c>
      <c r="AT462">
        <v>6</v>
      </c>
      <c r="AU462" s="18"/>
      <c r="AV462" s="18"/>
      <c r="AW462" s="18"/>
      <c r="AX462" s="18"/>
      <c r="AY462" s="18"/>
      <c r="AZ462" s="18">
        <v>0</v>
      </c>
      <c r="BA462" s="18">
        <v>0</v>
      </c>
    </row>
    <row r="463" spans="25:53" x14ac:dyDescent="0.35">
      <c r="Z463" s="57">
        <v>45546</v>
      </c>
      <c r="AA463" t="s">
        <v>2946</v>
      </c>
      <c r="AB463" s="18">
        <v>2397.5</v>
      </c>
      <c r="AC463" s="18"/>
      <c r="AD463" s="18"/>
      <c r="AE463" s="18"/>
      <c r="AF463" s="18"/>
      <c r="AG463" s="18"/>
      <c r="AH463" s="18">
        <v>2397.5</v>
      </c>
      <c r="AT463">
        <v>7</v>
      </c>
      <c r="AU463" s="18"/>
      <c r="AV463" s="18"/>
      <c r="AW463" s="18"/>
      <c r="AX463" s="18"/>
      <c r="AY463" s="18"/>
      <c r="AZ463" s="18">
        <v>0</v>
      </c>
      <c r="BA463" s="18">
        <v>0</v>
      </c>
    </row>
    <row r="464" spans="25:53" x14ac:dyDescent="0.35">
      <c r="Z464" s="57">
        <v>45561</v>
      </c>
      <c r="AA464" t="s">
        <v>2955</v>
      </c>
      <c r="AB464" s="18">
        <v>3358.8</v>
      </c>
      <c r="AC464" s="18"/>
      <c r="AD464" s="18"/>
      <c r="AE464" s="18"/>
      <c r="AF464" s="18"/>
      <c r="AG464" s="18"/>
      <c r="AH464" s="18">
        <v>3358.8</v>
      </c>
      <c r="AT464">
        <v>9</v>
      </c>
      <c r="AU464" s="18"/>
      <c r="AV464" s="18"/>
      <c r="AW464" s="18"/>
      <c r="AX464" s="18"/>
      <c r="AY464" s="18"/>
      <c r="AZ464" s="18">
        <v>0</v>
      </c>
      <c r="BA464" s="18">
        <v>0</v>
      </c>
    </row>
    <row r="465" spans="24:53" x14ac:dyDescent="0.35">
      <c r="Y465">
        <v>10</v>
      </c>
      <c r="Z465" s="57">
        <v>45574</v>
      </c>
      <c r="AA465" t="s">
        <v>3011</v>
      </c>
      <c r="AB465" s="18">
        <v>2330.5</v>
      </c>
      <c r="AC465" s="18"/>
      <c r="AD465" s="18"/>
      <c r="AE465" s="18"/>
      <c r="AF465" s="18"/>
      <c r="AG465" s="18"/>
      <c r="AH465" s="18">
        <v>2330.5</v>
      </c>
      <c r="AT465">
        <v>11</v>
      </c>
      <c r="AU465" s="18"/>
      <c r="AV465" s="18"/>
      <c r="AW465" s="18"/>
      <c r="AX465" s="18"/>
      <c r="AY465" s="18"/>
      <c r="AZ465" s="18">
        <v>0</v>
      </c>
      <c r="BA465" s="18">
        <v>0</v>
      </c>
    </row>
    <row r="466" spans="24:53" x14ac:dyDescent="0.35">
      <c r="Z466" s="57">
        <v>45583</v>
      </c>
      <c r="AA466" t="s">
        <v>3022</v>
      </c>
      <c r="AB466" s="18">
        <v>500</v>
      </c>
      <c r="AC466" s="18"/>
      <c r="AD466" s="18"/>
      <c r="AE466" s="18"/>
      <c r="AF466" s="18"/>
      <c r="AG466" s="18"/>
      <c r="AH466" s="18">
        <v>500</v>
      </c>
      <c r="AT466">
        <v>4</v>
      </c>
      <c r="AU466" s="18"/>
      <c r="AV466" s="18"/>
      <c r="AW466" s="18"/>
      <c r="AX466" s="18"/>
      <c r="AY466" s="18"/>
      <c r="AZ466" s="18">
        <v>0</v>
      </c>
      <c r="BA466" s="18">
        <v>0</v>
      </c>
    </row>
    <row r="467" spans="24:53" x14ac:dyDescent="0.35">
      <c r="Z467" s="57">
        <v>45587</v>
      </c>
      <c r="AA467" t="s">
        <v>3027</v>
      </c>
      <c r="AB467" s="18">
        <v>1738</v>
      </c>
      <c r="AC467" s="18"/>
      <c r="AD467" s="18"/>
      <c r="AE467" s="18"/>
      <c r="AF467" s="18"/>
      <c r="AG467" s="18"/>
      <c r="AH467" s="18">
        <v>1738</v>
      </c>
      <c r="AS467">
        <v>2025</v>
      </c>
      <c r="AT467">
        <v>1</v>
      </c>
      <c r="AU467" s="18"/>
      <c r="AV467" s="18"/>
      <c r="AW467" s="18"/>
      <c r="AX467" s="18"/>
      <c r="AY467" s="18"/>
      <c r="AZ467" s="18">
        <v>9395.5</v>
      </c>
      <c r="BA467" s="18">
        <v>9395.5</v>
      </c>
    </row>
    <row r="468" spans="24:53" x14ac:dyDescent="0.35">
      <c r="Z468" s="57">
        <v>45594</v>
      </c>
      <c r="AA468" t="s">
        <v>3032</v>
      </c>
      <c r="AB468" s="18">
        <v>405</v>
      </c>
      <c r="AC468" s="18"/>
      <c r="AD468" s="18"/>
      <c r="AE468" s="18"/>
      <c r="AF468" s="18"/>
      <c r="AG468" s="18"/>
      <c r="AH468" s="18">
        <v>405</v>
      </c>
      <c r="AT468">
        <v>3</v>
      </c>
      <c r="AU468" s="18"/>
      <c r="AV468" s="18"/>
      <c r="AW468" s="18"/>
      <c r="AX468" s="18"/>
      <c r="AY468" s="18"/>
      <c r="AZ468" s="18">
        <v>9168.5</v>
      </c>
      <c r="BA468" s="18">
        <v>9168.5</v>
      </c>
    </row>
    <row r="469" spans="24:53" x14ac:dyDescent="0.35">
      <c r="Y469">
        <v>11</v>
      </c>
      <c r="Z469" s="57">
        <v>45597</v>
      </c>
      <c r="AA469" t="s">
        <v>3101</v>
      </c>
      <c r="AB469" s="18">
        <v>2158</v>
      </c>
      <c r="AC469" s="18"/>
      <c r="AD469" s="18"/>
      <c r="AE469" s="18"/>
      <c r="AF469" s="18"/>
      <c r="AG469" s="18"/>
      <c r="AH469" s="18">
        <v>2158</v>
      </c>
      <c r="AT469">
        <v>5</v>
      </c>
      <c r="AU469" s="18"/>
      <c r="AV469" s="18"/>
      <c r="AW469" s="18"/>
      <c r="AX469" s="18"/>
      <c r="AY469" s="18"/>
      <c r="AZ469" s="18">
        <v>96</v>
      </c>
      <c r="BA469" s="18">
        <v>96</v>
      </c>
    </row>
    <row r="470" spans="24:53" x14ac:dyDescent="0.35">
      <c r="Z470" s="57">
        <v>45605</v>
      </c>
      <c r="AA470" t="s">
        <v>3117</v>
      </c>
      <c r="AB470" s="18">
        <v>1406.3</v>
      </c>
      <c r="AC470" s="18"/>
      <c r="AD470" s="18"/>
      <c r="AE470" s="18"/>
      <c r="AF470" s="18"/>
      <c r="AG470" s="18"/>
      <c r="AH470" s="18">
        <v>1406.3</v>
      </c>
      <c r="AT470">
        <v>4</v>
      </c>
      <c r="AU470" s="18"/>
      <c r="AV470" s="18"/>
      <c r="AW470" s="18"/>
      <c r="AX470" s="18"/>
      <c r="AY470" s="18"/>
      <c r="AZ470" s="18">
        <v>0</v>
      </c>
      <c r="BA470" s="18">
        <v>0</v>
      </c>
    </row>
    <row r="471" spans="24:53" x14ac:dyDescent="0.35">
      <c r="Z471" s="57">
        <v>45608</v>
      </c>
      <c r="AA471" t="s">
        <v>3120</v>
      </c>
      <c r="AB471" s="18">
        <v>2143</v>
      </c>
      <c r="AC471" s="18"/>
      <c r="AD471" s="18"/>
      <c r="AE471" s="18"/>
      <c r="AF471" s="18"/>
      <c r="AG471" s="18"/>
      <c r="AH471" s="18">
        <v>2143</v>
      </c>
      <c r="AR471" s="36" t="s">
        <v>1389</v>
      </c>
      <c r="AS471" s="36"/>
      <c r="AT471" s="36"/>
      <c r="AU471" s="37"/>
      <c r="AV471" s="37"/>
      <c r="AW471" s="37"/>
      <c r="AX471" s="37"/>
      <c r="AY471" s="37"/>
      <c r="AZ471" s="37">
        <v>18660</v>
      </c>
      <c r="BA471" s="37">
        <v>18660</v>
      </c>
    </row>
    <row r="472" spans="24:53" x14ac:dyDescent="0.35">
      <c r="Z472" s="57">
        <v>45622</v>
      </c>
      <c r="AA472" t="s">
        <v>3138</v>
      </c>
      <c r="AB472" s="18">
        <v>2670</v>
      </c>
      <c r="AC472" s="18"/>
      <c r="AD472" s="18"/>
      <c r="AE472" s="18"/>
      <c r="AF472" s="18"/>
      <c r="AG472" s="18"/>
      <c r="AH472" s="18">
        <v>2670</v>
      </c>
      <c r="AR472" t="s">
        <v>1420</v>
      </c>
      <c r="AS472">
        <v>2023</v>
      </c>
      <c r="AT472">
        <v>5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5">
      <c r="Y473">
        <v>12</v>
      </c>
      <c r="Z473" s="57">
        <v>45633</v>
      </c>
      <c r="AA473" t="s">
        <v>3218</v>
      </c>
      <c r="AB473" s="18">
        <v>2847.5</v>
      </c>
      <c r="AC473" s="18"/>
      <c r="AD473" s="18"/>
      <c r="AE473" s="18"/>
      <c r="AF473" s="18"/>
      <c r="AG473" s="18"/>
      <c r="AH473" s="18">
        <v>2847.5</v>
      </c>
      <c r="AT473">
        <v>6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5">
      <c r="Z474" t="s">
        <v>3235</v>
      </c>
      <c r="AA474" t="s">
        <v>3239</v>
      </c>
      <c r="AB474" s="18">
        <v>453.8</v>
      </c>
      <c r="AC474" s="18"/>
      <c r="AD474" s="18"/>
      <c r="AE474" s="18"/>
      <c r="AF474" s="18"/>
      <c r="AG474" s="18"/>
      <c r="AH474" s="18">
        <v>453.8</v>
      </c>
      <c r="AT474">
        <v>7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5">
      <c r="Z475" t="s">
        <v>3251</v>
      </c>
      <c r="AA475" t="s">
        <v>3252</v>
      </c>
      <c r="AB475" s="18">
        <v>2202.5</v>
      </c>
      <c r="AC475" s="18"/>
      <c r="AD475" s="18"/>
      <c r="AE475" s="18"/>
      <c r="AF475" s="18"/>
      <c r="AG475" s="18"/>
      <c r="AH475" s="18">
        <v>2202.5</v>
      </c>
      <c r="AT475">
        <v>4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5">
      <c r="Z476" t="s">
        <v>3278</v>
      </c>
      <c r="AA476" t="s">
        <v>3280</v>
      </c>
      <c r="AB476" s="18">
        <v>405</v>
      </c>
      <c r="AC476" s="18"/>
      <c r="AD476" s="18"/>
      <c r="AE476" s="18"/>
      <c r="AF476" s="18"/>
      <c r="AG476" s="18"/>
      <c r="AH476" s="18">
        <v>405</v>
      </c>
      <c r="AR476" s="36" t="s">
        <v>1436</v>
      </c>
      <c r="AS476" s="36"/>
      <c r="AT476" s="36"/>
      <c r="AU476" s="37">
        <v>0</v>
      </c>
      <c r="AV476" s="37"/>
      <c r="AW476" s="37"/>
      <c r="AX476" s="37"/>
      <c r="AY476" s="37"/>
      <c r="AZ476" s="37"/>
      <c r="BA476" s="37">
        <v>0</v>
      </c>
    </row>
    <row r="477" spans="24:53" x14ac:dyDescent="0.35">
      <c r="Y477">
        <v>4</v>
      </c>
      <c r="Z477" s="57">
        <v>45390</v>
      </c>
      <c r="AA477" t="s">
        <v>2509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t="s">
        <v>1453</v>
      </c>
      <c r="AS477">
        <v>2021</v>
      </c>
      <c r="AT477">
        <v>1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5">
      <c r="Z478" s="57">
        <v>45402</v>
      </c>
      <c r="AA478" t="s">
        <v>2515</v>
      </c>
      <c r="AB478" s="18">
        <v>0</v>
      </c>
      <c r="AC478" s="18"/>
      <c r="AD478" s="18"/>
      <c r="AE478" s="18"/>
      <c r="AF478" s="18"/>
      <c r="AG478" s="18"/>
      <c r="AH478" s="18">
        <v>0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5">
      <c r="Z479" s="57">
        <v>45411</v>
      </c>
      <c r="AA479" t="s">
        <v>2521</v>
      </c>
      <c r="AB479" s="18">
        <v>0</v>
      </c>
      <c r="AC479" s="18"/>
      <c r="AD479" s="18"/>
      <c r="AE479" s="18"/>
      <c r="AF479" s="18"/>
      <c r="AG479" s="18"/>
      <c r="AH479" s="18">
        <v>0</v>
      </c>
      <c r="AT479">
        <v>5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5">
      <c r="X480">
        <v>2025</v>
      </c>
      <c r="Y480">
        <v>1</v>
      </c>
      <c r="Z480" s="57">
        <v>45660</v>
      </c>
      <c r="AA480" t="s">
        <v>3335</v>
      </c>
      <c r="AB480" s="18">
        <v>2285</v>
      </c>
      <c r="AC480" s="18"/>
      <c r="AD480" s="18"/>
      <c r="AE480" s="18"/>
      <c r="AF480" s="18"/>
      <c r="AG480" s="18"/>
      <c r="AH480" s="18">
        <v>2285</v>
      </c>
      <c r="AT480">
        <v>10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5">
      <c r="Z481" s="57">
        <v>45672</v>
      </c>
      <c r="AA481" t="s">
        <v>3348</v>
      </c>
      <c r="AB481" s="18">
        <v>2675</v>
      </c>
      <c r="AC481" s="18"/>
      <c r="AD481" s="18"/>
      <c r="AE481" s="18"/>
      <c r="AF481" s="18"/>
      <c r="AG481" s="18"/>
      <c r="AH481" s="18">
        <v>2675</v>
      </c>
      <c r="AT481">
        <v>12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5:53" x14ac:dyDescent="0.35">
      <c r="Z482" s="57">
        <v>45681</v>
      </c>
      <c r="AA482" t="s">
        <v>3358</v>
      </c>
      <c r="AB482" s="18">
        <v>2945</v>
      </c>
      <c r="AC482" s="18"/>
      <c r="AD482" s="18"/>
      <c r="AE482" s="18"/>
      <c r="AF482" s="18"/>
      <c r="AG482" s="18"/>
      <c r="AH482" s="18">
        <v>2945</v>
      </c>
      <c r="AS482">
        <v>2023</v>
      </c>
      <c r="AT482">
        <v>5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5">
      <c r="Y483">
        <v>2</v>
      </c>
      <c r="Z483" s="57">
        <v>45695</v>
      </c>
      <c r="AA483" t="s">
        <v>3448</v>
      </c>
      <c r="AB483" s="18">
        <v>2457.5</v>
      </c>
      <c r="AC483" s="18"/>
      <c r="AD483" s="18"/>
      <c r="AE483" s="18"/>
      <c r="AF483" s="18"/>
      <c r="AG483" s="18"/>
      <c r="AH483" s="18">
        <v>2457.5</v>
      </c>
      <c r="AT483">
        <v>6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5:53" x14ac:dyDescent="0.35">
      <c r="Z484" s="57">
        <v>45702</v>
      </c>
      <c r="AA484" t="s">
        <v>3453</v>
      </c>
      <c r="AB484" s="18">
        <v>673.8</v>
      </c>
      <c r="AC484" s="18"/>
      <c r="AD484" s="18"/>
      <c r="AE484" s="18"/>
      <c r="AF484" s="18"/>
      <c r="AG484" s="18"/>
      <c r="AH484" s="18">
        <v>673.8</v>
      </c>
      <c r="AT484">
        <v>7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5">
      <c r="Z485" s="57">
        <v>45712</v>
      </c>
      <c r="AA485" t="s">
        <v>3468</v>
      </c>
      <c r="AB485" s="18">
        <v>2410</v>
      </c>
      <c r="AC485" s="18"/>
      <c r="AD485" s="18"/>
      <c r="AE485" s="18"/>
      <c r="AF485" s="18"/>
      <c r="AG485" s="18"/>
      <c r="AH485" s="18">
        <v>2410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5:53" x14ac:dyDescent="0.35">
      <c r="Y486">
        <v>3</v>
      </c>
      <c r="Z486" s="57">
        <v>45722</v>
      </c>
      <c r="AA486" t="s">
        <v>3518</v>
      </c>
      <c r="AB486" s="18">
        <v>3257.5</v>
      </c>
      <c r="AC486" s="18"/>
      <c r="AD486" s="18"/>
      <c r="AE486" s="18"/>
      <c r="AF486" s="18"/>
      <c r="AG486" s="18"/>
      <c r="AH486" s="18">
        <v>3257.5</v>
      </c>
      <c r="AT486">
        <v>10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5">
      <c r="Z487" s="57">
        <v>45735</v>
      </c>
      <c r="AA487" t="s">
        <v>3537</v>
      </c>
      <c r="AB487" s="18">
        <v>3205</v>
      </c>
      <c r="AC487" s="18"/>
      <c r="AD487" s="18"/>
      <c r="AE487" s="18"/>
      <c r="AF487" s="18"/>
      <c r="AG487" s="18"/>
      <c r="AH487" s="18">
        <v>3205</v>
      </c>
      <c r="AT487">
        <v>11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5:53" x14ac:dyDescent="0.35">
      <c r="Z488" s="57">
        <v>45745</v>
      </c>
      <c r="AA488" t="s">
        <v>3552</v>
      </c>
      <c r="AB488" s="18">
        <v>2456.3000000000002</v>
      </c>
      <c r="AC488" s="18"/>
      <c r="AD488" s="18"/>
      <c r="AE488" s="18"/>
      <c r="AF488" s="18"/>
      <c r="AG488" s="18"/>
      <c r="AH488" s="18">
        <v>2456.3000000000002</v>
      </c>
      <c r="AT488">
        <v>4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5:53" x14ac:dyDescent="0.35">
      <c r="Y489">
        <v>5</v>
      </c>
      <c r="Z489" t="s">
        <v>3702</v>
      </c>
      <c r="AA489" t="s">
        <v>3706</v>
      </c>
      <c r="AB489" s="18">
        <v>2595</v>
      </c>
      <c r="AC489" s="18"/>
      <c r="AD489" s="18"/>
      <c r="AE489" s="18"/>
      <c r="AF489" s="18"/>
      <c r="AG489" s="18"/>
      <c r="AH489" s="18">
        <v>2595</v>
      </c>
      <c r="AS489">
        <v>2025</v>
      </c>
      <c r="AT489">
        <v>3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5:53" x14ac:dyDescent="0.35">
      <c r="Z490" t="s">
        <v>3719</v>
      </c>
      <c r="AA490" t="s">
        <v>3720</v>
      </c>
      <c r="AB490" s="18">
        <v>2943.8</v>
      </c>
      <c r="AC490" s="18"/>
      <c r="AD490" s="18"/>
      <c r="AE490" s="18"/>
      <c r="AF490" s="18"/>
      <c r="AG490" s="18"/>
      <c r="AH490" s="18">
        <v>2943.8</v>
      </c>
      <c r="AR490" s="36" t="s">
        <v>1528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5:53" x14ac:dyDescent="0.35">
      <c r="Z491" t="s">
        <v>3742</v>
      </c>
      <c r="AA491" t="s">
        <v>3743</v>
      </c>
      <c r="AB491" s="18">
        <v>3157.5</v>
      </c>
      <c r="AC491" s="18"/>
      <c r="AD491" s="18"/>
      <c r="AE491" s="18"/>
      <c r="AF491" s="18"/>
      <c r="AG491" s="18"/>
      <c r="AH491" s="18">
        <v>3157.5</v>
      </c>
      <c r="AR491" t="s">
        <v>1697</v>
      </c>
      <c r="AS491">
        <v>2021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5:53" x14ac:dyDescent="0.35">
      <c r="Y492">
        <v>6</v>
      </c>
      <c r="Z492" t="s">
        <v>3846</v>
      </c>
      <c r="AA492" t="s">
        <v>3849</v>
      </c>
      <c r="AB492" s="18">
        <v>2360</v>
      </c>
      <c r="AC492" s="18"/>
      <c r="AD492" s="18"/>
      <c r="AE492" s="18"/>
      <c r="AF492" s="18"/>
      <c r="AG492" s="18"/>
      <c r="AH492" s="18">
        <v>2360</v>
      </c>
      <c r="AR492" s="36" t="s">
        <v>1789</v>
      </c>
      <c r="AS492" s="36"/>
      <c r="AT492" s="36"/>
      <c r="AU492" s="37">
        <v>0</v>
      </c>
      <c r="AV492" s="37"/>
      <c r="AW492" s="37"/>
      <c r="AX492" s="37"/>
      <c r="AY492" s="37"/>
      <c r="AZ492" s="37"/>
      <c r="BA492" s="37">
        <v>0</v>
      </c>
    </row>
    <row r="493" spans="25:53" x14ac:dyDescent="0.35">
      <c r="Z493" t="s">
        <v>3875</v>
      </c>
      <c r="AA493" t="s">
        <v>3876</v>
      </c>
      <c r="AB493" s="18">
        <v>2696.3</v>
      </c>
      <c r="AC493" s="18"/>
      <c r="AD493" s="18"/>
      <c r="AE493" s="18"/>
      <c r="AF493" s="18"/>
      <c r="AG493" s="18"/>
      <c r="AH493" s="18">
        <v>2696.3</v>
      </c>
      <c r="AR493" t="s">
        <v>1620</v>
      </c>
      <c r="AS493">
        <v>2023</v>
      </c>
      <c r="AT493">
        <v>6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5:53" x14ac:dyDescent="0.35">
      <c r="Y494">
        <v>7</v>
      </c>
      <c r="Z494" t="s">
        <v>3997</v>
      </c>
      <c r="AA494" t="s">
        <v>4000</v>
      </c>
      <c r="AB494" s="18">
        <v>2505</v>
      </c>
      <c r="AC494" s="18"/>
      <c r="AD494" s="18"/>
      <c r="AE494" s="18"/>
      <c r="AF494" s="18"/>
      <c r="AG494" s="18"/>
      <c r="AH494" s="18">
        <v>2505</v>
      </c>
      <c r="AT494">
        <v>8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5:53" x14ac:dyDescent="0.35">
      <c r="Z495" t="s">
        <v>4022</v>
      </c>
      <c r="AA495" t="s">
        <v>4023</v>
      </c>
      <c r="AB495" s="18">
        <v>3251.3</v>
      </c>
      <c r="AC495" s="18"/>
      <c r="AD495" s="18"/>
      <c r="AE495" s="18"/>
      <c r="AF495" s="18"/>
      <c r="AG495" s="18"/>
      <c r="AH495" s="18">
        <v>3251.3</v>
      </c>
      <c r="AS495">
        <v>2025</v>
      </c>
      <c r="AT495">
        <v>4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5:53" x14ac:dyDescent="0.35">
      <c r="Z496" t="s">
        <v>4041</v>
      </c>
      <c r="AA496" t="s">
        <v>4042</v>
      </c>
      <c r="AB496" s="18">
        <v>2397.5</v>
      </c>
      <c r="AC496" s="18"/>
      <c r="AD496" s="18"/>
      <c r="AE496" s="18"/>
      <c r="AF496" s="18"/>
      <c r="AG496" s="18"/>
      <c r="AH496" s="18">
        <v>2397.5</v>
      </c>
      <c r="AR496" s="36" t="s">
        <v>1790</v>
      </c>
      <c r="AS496" s="36"/>
      <c r="AT496" s="36"/>
      <c r="AU496" s="37">
        <v>0</v>
      </c>
      <c r="AV496" s="37"/>
      <c r="AW496" s="37"/>
      <c r="AX496" s="37"/>
      <c r="AY496" s="37"/>
      <c r="AZ496" s="37"/>
      <c r="BA496" s="37">
        <v>0</v>
      </c>
    </row>
    <row r="497" spans="23:53" x14ac:dyDescent="0.35">
      <c r="Y497">
        <v>4</v>
      </c>
      <c r="Z497" t="s">
        <v>3630</v>
      </c>
      <c r="AA497" t="s">
        <v>3632</v>
      </c>
      <c r="AB497" s="18">
        <v>2270</v>
      </c>
      <c r="AC497" s="18"/>
      <c r="AD497" s="18"/>
      <c r="AE497" s="18"/>
      <c r="AF497" s="18"/>
      <c r="AG497" s="18"/>
      <c r="AH497" s="18">
        <v>2270</v>
      </c>
      <c r="AR497" t="s">
        <v>1702</v>
      </c>
      <c r="AS497">
        <v>2023</v>
      </c>
      <c r="AT497">
        <v>9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3:53" x14ac:dyDescent="0.35">
      <c r="Z498" t="s">
        <v>3649</v>
      </c>
      <c r="AA498" t="s">
        <v>3651</v>
      </c>
      <c r="AB498" s="18">
        <v>2847.5</v>
      </c>
      <c r="AC498" s="18"/>
      <c r="AD498" s="18"/>
      <c r="AE498" s="18"/>
      <c r="AF498" s="18"/>
      <c r="AG498" s="18"/>
      <c r="AH498" s="18">
        <v>2847.5</v>
      </c>
      <c r="AR498" s="36" t="s">
        <v>1986</v>
      </c>
      <c r="AS498" s="36"/>
      <c r="AT498" s="36"/>
      <c r="AU498" s="37">
        <v>0</v>
      </c>
      <c r="AV498" s="37"/>
      <c r="AW498" s="37"/>
      <c r="AX498" s="37"/>
      <c r="AY498" s="37"/>
      <c r="AZ498" s="37"/>
      <c r="BA498" s="37">
        <v>0</v>
      </c>
    </row>
    <row r="499" spans="23:53" x14ac:dyDescent="0.35">
      <c r="W499" s="36" t="s">
        <v>421</v>
      </c>
      <c r="X499" s="36"/>
      <c r="Y499" s="36"/>
      <c r="Z499" s="36"/>
      <c r="AA499" s="36"/>
      <c r="AB499" s="37">
        <v>96862.300000000017</v>
      </c>
      <c r="AC499" s="37"/>
      <c r="AD499" s="37"/>
      <c r="AE499" s="37"/>
      <c r="AF499" s="37"/>
      <c r="AG499" s="37"/>
      <c r="AH499" s="37">
        <v>96862.300000000017</v>
      </c>
      <c r="AR499" t="s">
        <v>1704</v>
      </c>
      <c r="AS499">
        <v>2023</v>
      </c>
      <c r="AT499">
        <v>9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3:53" x14ac:dyDescent="0.35">
      <c r="W500" t="s">
        <v>409</v>
      </c>
      <c r="X500">
        <v>2021</v>
      </c>
      <c r="Y500">
        <v>10</v>
      </c>
      <c r="Z500" s="57">
        <v>44478</v>
      </c>
      <c r="AA500" t="s">
        <v>407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12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3:53" x14ac:dyDescent="0.35">
      <c r="Z501" s="57">
        <v>44481</v>
      </c>
      <c r="AA501" t="s">
        <v>411</v>
      </c>
      <c r="AB501" s="18">
        <v>0</v>
      </c>
      <c r="AC501" s="18"/>
      <c r="AD501" s="18"/>
      <c r="AE501" s="18"/>
      <c r="AF501" s="18"/>
      <c r="AG501" s="18"/>
      <c r="AH501" s="18">
        <v>0</v>
      </c>
      <c r="AS501">
        <v>2024</v>
      </c>
      <c r="AT501">
        <v>10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3:53" x14ac:dyDescent="0.35">
      <c r="Z502" s="57">
        <v>44484</v>
      </c>
      <c r="AA502" t="s">
        <v>424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11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3:53" x14ac:dyDescent="0.35">
      <c r="Z503" s="57">
        <v>44487</v>
      </c>
      <c r="AA503" t="s">
        <v>425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4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3:53" x14ac:dyDescent="0.35">
      <c r="Z504" s="57">
        <v>44488</v>
      </c>
      <c r="AA504" t="s">
        <v>426</v>
      </c>
      <c r="AB504" s="18">
        <v>0</v>
      </c>
      <c r="AC504" s="18"/>
      <c r="AD504" s="18"/>
      <c r="AE504" s="18"/>
      <c r="AF504" s="18"/>
      <c r="AG504" s="18"/>
      <c r="AH504" s="18">
        <v>0</v>
      </c>
      <c r="AS504">
        <v>2025</v>
      </c>
      <c r="AT504">
        <v>2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3:53" x14ac:dyDescent="0.35">
      <c r="Z505" s="57">
        <v>44489</v>
      </c>
      <c r="AA505" t="s">
        <v>427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6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3:53" x14ac:dyDescent="0.35">
      <c r="Z506" s="57">
        <v>44495</v>
      </c>
      <c r="AA506" t="s">
        <v>443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s="36" t="s">
        <v>1987</v>
      </c>
      <c r="AS506" s="36"/>
      <c r="AT506" s="36"/>
      <c r="AU506" s="37">
        <v>0</v>
      </c>
      <c r="AV506" s="37"/>
      <c r="AW506" s="37"/>
      <c r="AX506" s="37"/>
      <c r="AY506" s="37"/>
      <c r="AZ506" s="37"/>
      <c r="BA506" s="37">
        <v>0</v>
      </c>
    </row>
    <row r="507" spans="23:53" x14ac:dyDescent="0.35">
      <c r="Z507" s="57">
        <v>44496</v>
      </c>
      <c r="AA507" t="s">
        <v>445</v>
      </c>
      <c r="AB507" s="18">
        <v>0</v>
      </c>
      <c r="AC507" s="18"/>
      <c r="AD507" s="18"/>
      <c r="AE507" s="18"/>
      <c r="AF507" s="18"/>
      <c r="AG507" s="18"/>
      <c r="AH507" s="18">
        <v>0</v>
      </c>
      <c r="AR507" t="s">
        <v>2012</v>
      </c>
      <c r="AS507">
        <v>2023</v>
      </c>
      <c r="AT507">
        <v>10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3:53" x14ac:dyDescent="0.35">
      <c r="Y508">
        <v>11</v>
      </c>
      <c r="Z508" s="57">
        <v>44503</v>
      </c>
      <c r="AA508" t="s">
        <v>459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11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3:53" x14ac:dyDescent="0.35">
      <c r="Z509" s="57">
        <v>44506</v>
      </c>
      <c r="AA509" t="s">
        <v>464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12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3:53" x14ac:dyDescent="0.35">
      <c r="Z510" s="57">
        <v>44511</v>
      </c>
      <c r="AA510" t="s">
        <v>473</v>
      </c>
      <c r="AB510" s="18">
        <v>0</v>
      </c>
      <c r="AC510" s="18"/>
      <c r="AD510" s="18"/>
      <c r="AE510" s="18"/>
      <c r="AF510" s="18"/>
      <c r="AG510" s="18"/>
      <c r="AH510" s="18">
        <v>0</v>
      </c>
      <c r="AS510">
        <v>2024</v>
      </c>
      <c r="AT510">
        <v>1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3:53" x14ac:dyDescent="0.35">
      <c r="AA511" t="s">
        <v>475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2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3:53" x14ac:dyDescent="0.35">
      <c r="Y512">
        <v>12</v>
      </c>
      <c r="Z512" s="57">
        <v>44537</v>
      </c>
      <c r="AA512" t="s">
        <v>501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3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4:53" x14ac:dyDescent="0.35">
      <c r="Z513" s="57">
        <v>44540</v>
      </c>
      <c r="AA513" t="s">
        <v>504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5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4:53" x14ac:dyDescent="0.35">
      <c r="Z514" s="57">
        <v>44550</v>
      </c>
      <c r="AA514" t="s">
        <v>511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6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4:53" x14ac:dyDescent="0.35">
      <c r="Z515" s="57">
        <v>44552</v>
      </c>
      <c r="AA515" t="s">
        <v>522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7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4:53" x14ac:dyDescent="0.35">
      <c r="Z516" s="57">
        <v>44554</v>
      </c>
      <c r="AA516" t="s">
        <v>529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8</v>
      </c>
      <c r="AU516" s="18">
        <v>0</v>
      </c>
      <c r="AV516" s="18"/>
      <c r="AW516" s="18"/>
      <c r="AX516" s="18"/>
      <c r="AY516" s="18"/>
      <c r="AZ516" s="18"/>
      <c r="BA516" s="18">
        <v>0</v>
      </c>
    </row>
    <row r="517" spans="24:53" x14ac:dyDescent="0.35">
      <c r="Z517" s="57">
        <v>44557</v>
      </c>
      <c r="AA517" t="s">
        <v>530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9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4:53" x14ac:dyDescent="0.35">
      <c r="Z518" s="57">
        <v>44560</v>
      </c>
      <c r="AA518" t="s">
        <v>532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10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4:53" x14ac:dyDescent="0.35">
      <c r="X519">
        <v>2022</v>
      </c>
      <c r="Y519">
        <v>1</v>
      </c>
      <c r="Z519" s="57">
        <v>44564</v>
      </c>
      <c r="AA519" t="s">
        <v>546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11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4:53" x14ac:dyDescent="0.35">
      <c r="Z520" s="57">
        <v>44568</v>
      </c>
      <c r="AA520" t="s">
        <v>548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12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4:53" x14ac:dyDescent="0.35">
      <c r="Z521" s="57">
        <v>44569</v>
      </c>
      <c r="AA521" t="s">
        <v>549</v>
      </c>
      <c r="AB521" s="18">
        <v>0</v>
      </c>
      <c r="AC521" s="18"/>
      <c r="AD521" s="18"/>
      <c r="AE521" s="18"/>
      <c r="AF521" s="18"/>
      <c r="AG521" s="18"/>
      <c r="AH521" s="18">
        <v>0</v>
      </c>
      <c r="AT521">
        <v>4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4:53" x14ac:dyDescent="0.35">
      <c r="Z522" s="57">
        <v>44574</v>
      </c>
      <c r="AA522" t="s">
        <v>558</v>
      </c>
      <c r="AB522" s="18">
        <v>0</v>
      </c>
      <c r="AC522" s="18"/>
      <c r="AD522" s="18"/>
      <c r="AE522" s="18"/>
      <c r="AF522" s="18"/>
      <c r="AG522" s="18"/>
      <c r="AH522" s="18">
        <v>0</v>
      </c>
      <c r="AS522">
        <v>2025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4:53" x14ac:dyDescent="0.35">
      <c r="Z523" s="57">
        <v>44579</v>
      </c>
      <c r="AA523" t="s">
        <v>564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2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4:53" x14ac:dyDescent="0.35">
      <c r="Y524">
        <v>2</v>
      </c>
      <c r="Z524" s="57">
        <v>44616</v>
      </c>
      <c r="AA524" t="s">
        <v>609</v>
      </c>
      <c r="AB524" s="18">
        <v>0</v>
      </c>
      <c r="AC524" s="18"/>
      <c r="AD524" s="18"/>
      <c r="AE524" s="18"/>
      <c r="AF524" s="18"/>
      <c r="AG524" s="18"/>
      <c r="AH524" s="18">
        <v>0</v>
      </c>
      <c r="AT524">
        <v>3</v>
      </c>
      <c r="AU524" s="18">
        <v>64667.799999999996</v>
      </c>
      <c r="AV524" s="18"/>
      <c r="AW524" s="18"/>
      <c r="AX524" s="18"/>
      <c r="AY524" s="18"/>
      <c r="AZ524" s="18"/>
      <c r="BA524" s="18">
        <v>64667.799999999996</v>
      </c>
    </row>
    <row r="525" spans="24:53" x14ac:dyDescent="0.35">
      <c r="Z525" s="57">
        <v>44618</v>
      </c>
      <c r="AA525" t="s">
        <v>610</v>
      </c>
      <c r="AB525" s="18">
        <v>0</v>
      </c>
      <c r="AC525" s="18"/>
      <c r="AD525" s="18"/>
      <c r="AE525" s="18"/>
      <c r="AF525" s="18"/>
      <c r="AG525" s="18"/>
      <c r="AH525" s="18">
        <v>0</v>
      </c>
      <c r="AT525">
        <v>5</v>
      </c>
      <c r="AU525" s="18">
        <v>120701</v>
      </c>
      <c r="AV525" s="18"/>
      <c r="AW525" s="18"/>
      <c r="AX525" s="18"/>
      <c r="AY525" s="18"/>
      <c r="AZ525" s="18"/>
      <c r="BA525" s="18">
        <v>120701</v>
      </c>
    </row>
    <row r="526" spans="24:53" x14ac:dyDescent="0.35">
      <c r="Y526">
        <v>3</v>
      </c>
      <c r="Z526" s="57">
        <v>44634</v>
      </c>
      <c r="AA526" t="s">
        <v>646</v>
      </c>
      <c r="AB526" s="18">
        <v>0</v>
      </c>
      <c r="AC526" s="18"/>
      <c r="AD526" s="18"/>
      <c r="AE526" s="18"/>
      <c r="AF526" s="18"/>
      <c r="AG526" s="18"/>
      <c r="AH526" s="18">
        <v>0</v>
      </c>
      <c r="AT526">
        <v>6</v>
      </c>
      <c r="AU526" s="18">
        <v>113308.5</v>
      </c>
      <c r="AV526" s="18"/>
      <c r="AW526" s="18"/>
      <c r="AX526" s="18"/>
      <c r="AY526" s="18"/>
      <c r="AZ526" s="18"/>
      <c r="BA526" s="18">
        <v>113308.5</v>
      </c>
    </row>
    <row r="527" spans="24:53" x14ac:dyDescent="0.35">
      <c r="Z527" s="57">
        <v>44635</v>
      </c>
      <c r="AA527" t="s">
        <v>648</v>
      </c>
      <c r="AB527" s="18">
        <v>0</v>
      </c>
      <c r="AC527" s="18"/>
      <c r="AD527" s="18"/>
      <c r="AE527" s="18"/>
      <c r="AF527" s="18"/>
      <c r="AG527" s="18"/>
      <c r="AH527" s="18">
        <v>0</v>
      </c>
      <c r="AT527">
        <v>7</v>
      </c>
      <c r="AU527" s="18">
        <v>119508.5</v>
      </c>
      <c r="AV527" s="18"/>
      <c r="AW527" s="18"/>
      <c r="AX527" s="18"/>
      <c r="AY527" s="18"/>
      <c r="AZ527" s="18"/>
      <c r="BA527" s="18">
        <v>119508.5</v>
      </c>
    </row>
    <row r="528" spans="24:53" x14ac:dyDescent="0.35">
      <c r="Z528" s="57">
        <v>44638</v>
      </c>
      <c r="AA528" t="s">
        <v>650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4</v>
      </c>
      <c r="AU528" s="18">
        <v>104153.50000000001</v>
      </c>
      <c r="AV528" s="18"/>
      <c r="AW528" s="18"/>
      <c r="AX528" s="18"/>
      <c r="AY528" s="18"/>
      <c r="AZ528" s="18"/>
      <c r="BA528" s="18">
        <v>104153.50000000001</v>
      </c>
    </row>
    <row r="529" spans="25:53" x14ac:dyDescent="0.35">
      <c r="Z529" s="57">
        <v>44643</v>
      </c>
      <c r="AA529" t="s">
        <v>653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s="36" t="s">
        <v>2037</v>
      </c>
      <c r="AS529" s="36"/>
      <c r="AT529" s="36"/>
      <c r="AU529" s="37">
        <v>522339.3</v>
      </c>
      <c r="AV529" s="37"/>
      <c r="AW529" s="37"/>
      <c r="AX529" s="37"/>
      <c r="AY529" s="37"/>
      <c r="AZ529" s="37"/>
      <c r="BA529" s="37">
        <v>522339.3</v>
      </c>
    </row>
    <row r="530" spans="25:53" x14ac:dyDescent="0.35">
      <c r="Z530" s="57">
        <v>44645</v>
      </c>
      <c r="AA530" t="s">
        <v>660</v>
      </c>
      <c r="AB530" s="18">
        <v>0</v>
      </c>
      <c r="AC530" s="18"/>
      <c r="AD530" s="18"/>
      <c r="AE530" s="18"/>
      <c r="AF530" s="18"/>
      <c r="AG530" s="18"/>
      <c r="AH530" s="18">
        <v>0</v>
      </c>
      <c r="AR530" t="s">
        <v>2134</v>
      </c>
      <c r="AS530">
        <v>2023</v>
      </c>
      <c r="AT530">
        <v>12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5">
      <c r="Z531" s="57">
        <v>44649</v>
      </c>
      <c r="AA531" t="s">
        <v>662</v>
      </c>
      <c r="AB531" s="18">
        <v>0</v>
      </c>
      <c r="AC531" s="18"/>
      <c r="AD531" s="18"/>
      <c r="AE531" s="18"/>
      <c r="AF531" s="18"/>
      <c r="AG531" s="18"/>
      <c r="AH531" s="18">
        <v>0</v>
      </c>
      <c r="AS531">
        <v>2024</v>
      </c>
      <c r="AT531">
        <v>1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5">
      <c r="Y532">
        <v>5</v>
      </c>
      <c r="Z532" s="57">
        <v>44687</v>
      </c>
      <c r="AA532" t="s">
        <v>762</v>
      </c>
      <c r="AB532" s="18">
        <v>0</v>
      </c>
      <c r="AC532" s="18"/>
      <c r="AD532" s="18"/>
      <c r="AE532" s="18"/>
      <c r="AF532" s="18"/>
      <c r="AG532" s="18"/>
      <c r="AH532" s="18">
        <v>0</v>
      </c>
      <c r="AT532">
        <v>3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5:53" x14ac:dyDescent="0.35">
      <c r="Z533" s="57">
        <v>44688</v>
      </c>
      <c r="AA533" t="s">
        <v>764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s="36" t="s">
        <v>2148</v>
      </c>
      <c r="AS533" s="36"/>
      <c r="AT533" s="36"/>
      <c r="AU533" s="37">
        <v>0</v>
      </c>
      <c r="AV533" s="37"/>
      <c r="AW533" s="37"/>
      <c r="AX533" s="37"/>
      <c r="AY533" s="37"/>
      <c r="AZ533" s="37"/>
      <c r="BA533" s="37">
        <v>0</v>
      </c>
    </row>
    <row r="534" spans="25:53" x14ac:dyDescent="0.35">
      <c r="Z534" s="57">
        <v>44695</v>
      </c>
      <c r="AA534" t="s">
        <v>777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t="s">
        <v>2271</v>
      </c>
      <c r="AS534">
        <v>2024</v>
      </c>
      <c r="AT534">
        <v>1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5">
      <c r="Z535" s="57">
        <v>44699</v>
      </c>
      <c r="AA535" t="s">
        <v>780</v>
      </c>
      <c r="AB535" s="18">
        <v>0</v>
      </c>
      <c r="AC535" s="18"/>
      <c r="AD535" s="18"/>
      <c r="AE535" s="18"/>
      <c r="AF535" s="18"/>
      <c r="AG535" s="18"/>
      <c r="AH535" s="18">
        <v>0</v>
      </c>
      <c r="AS535">
        <v>2025</v>
      </c>
      <c r="AT535">
        <v>3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5">
      <c r="Z536" s="57">
        <v>44701</v>
      </c>
      <c r="AA536" t="s">
        <v>783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s="36" t="s">
        <v>2340</v>
      </c>
      <c r="AS536" s="36"/>
      <c r="AT536" s="36"/>
      <c r="AU536" s="37">
        <v>0</v>
      </c>
      <c r="AV536" s="37"/>
      <c r="AW536" s="37"/>
      <c r="AX536" s="37"/>
      <c r="AY536" s="37"/>
      <c r="AZ536" s="37"/>
      <c r="BA536" s="37">
        <v>0</v>
      </c>
    </row>
    <row r="537" spans="25:53" x14ac:dyDescent="0.35">
      <c r="Z537" s="57">
        <v>44702</v>
      </c>
      <c r="AA537" t="s">
        <v>789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t="s">
        <v>2284</v>
      </c>
      <c r="AS537">
        <v>2024</v>
      </c>
      <c r="AT537">
        <v>1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5">
      <c r="Z538" s="57">
        <v>44704</v>
      </c>
      <c r="AA538" t="s">
        <v>793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2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5">
      <c r="Z539" s="57">
        <v>44706</v>
      </c>
      <c r="AA539" t="s">
        <v>796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5</v>
      </c>
      <c r="AU539" s="18">
        <v>0</v>
      </c>
      <c r="AV539" s="18"/>
      <c r="AW539" s="18"/>
      <c r="AX539" s="18"/>
      <c r="AY539" s="18"/>
      <c r="AZ539" s="18"/>
      <c r="BA539" s="18">
        <v>0</v>
      </c>
    </row>
    <row r="540" spans="25:53" x14ac:dyDescent="0.35">
      <c r="Y540">
        <v>6</v>
      </c>
      <c r="Z540" s="57">
        <v>44714</v>
      </c>
      <c r="AA540" t="s">
        <v>826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6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5">
      <c r="Z541" s="57">
        <v>44716</v>
      </c>
      <c r="AA541" t="s">
        <v>828</v>
      </c>
      <c r="AB541" s="18">
        <v>0</v>
      </c>
      <c r="AC541" s="18"/>
      <c r="AD541" s="18"/>
      <c r="AE541" s="18"/>
      <c r="AF541" s="18"/>
      <c r="AG541" s="18"/>
      <c r="AH541" s="18">
        <v>0</v>
      </c>
      <c r="AR541" s="36" t="s">
        <v>2341</v>
      </c>
      <c r="AS541" s="36"/>
      <c r="AT541" s="36"/>
      <c r="AU541" s="37">
        <v>0</v>
      </c>
      <c r="AV541" s="37"/>
      <c r="AW541" s="37"/>
      <c r="AX541" s="37"/>
      <c r="AY541" s="37"/>
      <c r="AZ541" s="37"/>
      <c r="BA541" s="37">
        <v>0</v>
      </c>
    </row>
    <row r="542" spans="25:53" x14ac:dyDescent="0.35">
      <c r="Z542" s="57">
        <v>44723</v>
      </c>
      <c r="AA542" t="s">
        <v>834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R542" t="s">
        <v>2362</v>
      </c>
      <c r="AS542">
        <v>2024</v>
      </c>
      <c r="AT542">
        <v>2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5">
      <c r="Z543" s="57">
        <v>44730</v>
      </c>
      <c r="AA543" t="s">
        <v>842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s="36" t="s">
        <v>2504</v>
      </c>
      <c r="AS543" s="36"/>
      <c r="AT543" s="36"/>
      <c r="AU543" s="37">
        <v>0</v>
      </c>
      <c r="AV543" s="37"/>
      <c r="AW543" s="37"/>
      <c r="AX543" s="37"/>
      <c r="AY543" s="37"/>
      <c r="AZ543" s="37"/>
      <c r="BA543" s="37">
        <v>0</v>
      </c>
    </row>
    <row r="544" spans="25:53" x14ac:dyDescent="0.35">
      <c r="Z544" s="57">
        <v>44736</v>
      </c>
      <c r="AA544" t="s">
        <v>845</v>
      </c>
      <c r="AB544" s="18">
        <v>0</v>
      </c>
      <c r="AC544" s="18"/>
      <c r="AD544" s="18"/>
      <c r="AE544" s="18"/>
      <c r="AF544" s="18"/>
      <c r="AG544" s="18"/>
      <c r="AH544" s="18">
        <v>0</v>
      </c>
      <c r="AR544" t="s">
        <v>2440</v>
      </c>
      <c r="AS544">
        <v>2024</v>
      </c>
      <c r="AT544">
        <v>3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5">
      <c r="Y545">
        <v>7</v>
      </c>
      <c r="Z545" s="57">
        <v>44756</v>
      </c>
      <c r="AA545" t="s">
        <v>858</v>
      </c>
      <c r="AB545" s="18">
        <v>0</v>
      </c>
      <c r="AC545" s="18"/>
      <c r="AD545" s="18"/>
      <c r="AE545" s="18"/>
      <c r="AF545" s="18"/>
      <c r="AG545" s="18"/>
      <c r="AH545" s="18">
        <v>0</v>
      </c>
      <c r="AR545" s="36" t="s">
        <v>2505</v>
      </c>
      <c r="AS545" s="36"/>
      <c r="AT545" s="36"/>
      <c r="AU545" s="37">
        <v>0</v>
      </c>
      <c r="AV545" s="37"/>
      <c r="AW545" s="37"/>
      <c r="AX545" s="37"/>
      <c r="AY545" s="37"/>
      <c r="AZ545" s="37"/>
      <c r="BA545" s="37">
        <v>0</v>
      </c>
    </row>
    <row r="546" spans="25:53" x14ac:dyDescent="0.35">
      <c r="Z546" s="57">
        <v>44760</v>
      </c>
      <c r="AA546" t="s">
        <v>866</v>
      </c>
      <c r="AB546" s="18">
        <v>0</v>
      </c>
      <c r="AC546" s="18"/>
      <c r="AD546" s="18"/>
      <c r="AE546" s="18"/>
      <c r="AF546" s="18"/>
      <c r="AG546" s="18"/>
      <c r="AH546" s="18">
        <v>0</v>
      </c>
      <c r="AR546" t="s">
        <v>2728</v>
      </c>
      <c r="AS546">
        <v>2024</v>
      </c>
      <c r="AT546">
        <v>6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5">
      <c r="Z547" s="57">
        <v>44762</v>
      </c>
      <c r="AA547" t="s">
        <v>867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7</v>
      </c>
      <c r="AU547" s="18">
        <v>2770</v>
      </c>
      <c r="AV547" s="18"/>
      <c r="AW547" s="18"/>
      <c r="AX547" s="18"/>
      <c r="AY547" s="18"/>
      <c r="AZ547" s="18"/>
      <c r="BA547" s="18">
        <v>2770</v>
      </c>
    </row>
    <row r="548" spans="25:53" x14ac:dyDescent="0.35">
      <c r="Z548" s="57">
        <v>44765</v>
      </c>
      <c r="AA548" t="s">
        <v>868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8</v>
      </c>
      <c r="AU548" s="18">
        <v>11120</v>
      </c>
      <c r="AV548" s="18"/>
      <c r="AW548" s="18"/>
      <c r="AX548" s="18"/>
      <c r="AY548" s="18"/>
      <c r="AZ548" s="18"/>
      <c r="BA548" s="18">
        <v>11120</v>
      </c>
    </row>
    <row r="549" spans="25:53" x14ac:dyDescent="0.35">
      <c r="Y549">
        <v>8</v>
      </c>
      <c r="Z549" s="57">
        <v>44779</v>
      </c>
      <c r="AA549" t="s">
        <v>895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11</v>
      </c>
      <c r="AU549" s="18">
        <v>2947.5</v>
      </c>
      <c r="AV549" s="18"/>
      <c r="AW549" s="18"/>
      <c r="AX549" s="18"/>
      <c r="AY549" s="18"/>
      <c r="AZ549" s="18"/>
      <c r="BA549" s="18">
        <v>2947.5</v>
      </c>
    </row>
    <row r="550" spans="25:53" x14ac:dyDescent="0.35">
      <c r="Z550" s="57">
        <v>44785</v>
      </c>
      <c r="AA550" t="s">
        <v>899</v>
      </c>
      <c r="AB550" s="18">
        <v>0</v>
      </c>
      <c r="AC550" s="18"/>
      <c r="AD550" s="18"/>
      <c r="AE550" s="18"/>
      <c r="AF550" s="18"/>
      <c r="AG550" s="18"/>
      <c r="AH550" s="18">
        <v>0</v>
      </c>
      <c r="AT550">
        <v>12</v>
      </c>
      <c r="AU550" s="18">
        <v>2135</v>
      </c>
      <c r="AV550" s="18"/>
      <c r="AW550" s="18"/>
      <c r="AX550" s="18"/>
      <c r="AY550" s="18"/>
      <c r="AZ550" s="18"/>
      <c r="BA550" s="18">
        <v>2135</v>
      </c>
    </row>
    <row r="551" spans="25:53" x14ac:dyDescent="0.35">
      <c r="Z551" s="57">
        <v>44796</v>
      </c>
      <c r="AA551" t="s">
        <v>910</v>
      </c>
      <c r="AB551" s="18">
        <v>0</v>
      </c>
      <c r="AC551" s="18"/>
      <c r="AD551" s="18"/>
      <c r="AE551" s="18"/>
      <c r="AF551" s="18"/>
      <c r="AG551" s="18"/>
      <c r="AH551" s="18">
        <v>0</v>
      </c>
      <c r="AR551" s="36" t="s">
        <v>2733</v>
      </c>
      <c r="AS551" s="36"/>
      <c r="AT551" s="36"/>
      <c r="AU551" s="37">
        <v>18972.5</v>
      </c>
      <c r="AV551" s="37"/>
      <c r="AW551" s="37"/>
      <c r="AX551" s="37"/>
      <c r="AY551" s="37"/>
      <c r="AZ551" s="37"/>
      <c r="BA551" s="37">
        <v>18972.5</v>
      </c>
    </row>
    <row r="552" spans="25:53" x14ac:dyDescent="0.35">
      <c r="Y552">
        <v>9</v>
      </c>
      <c r="Z552" s="57">
        <v>44806</v>
      </c>
      <c r="AA552" t="s">
        <v>924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t="s">
        <v>2656</v>
      </c>
      <c r="AS552">
        <v>2024</v>
      </c>
      <c r="AT552">
        <v>6</v>
      </c>
      <c r="AU552" s="18">
        <v>0</v>
      </c>
      <c r="AV552" s="18"/>
      <c r="AW552" s="18"/>
      <c r="AX552" s="18"/>
      <c r="AY552" s="18"/>
      <c r="AZ552" s="18"/>
      <c r="BA552" s="18">
        <v>0</v>
      </c>
    </row>
    <row r="553" spans="25:53" x14ac:dyDescent="0.35">
      <c r="Z553" s="57">
        <v>44810</v>
      </c>
      <c r="AA553" t="s">
        <v>927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7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5">
      <c r="Z554" s="57">
        <v>44813</v>
      </c>
      <c r="AA554" t="s">
        <v>931</v>
      </c>
      <c r="AB554" s="18">
        <v>0</v>
      </c>
      <c r="AC554" s="18"/>
      <c r="AD554" s="18"/>
      <c r="AE554" s="18"/>
      <c r="AF554" s="18"/>
      <c r="AG554" s="18"/>
      <c r="AH554" s="18">
        <v>0</v>
      </c>
      <c r="AT554">
        <v>8</v>
      </c>
      <c r="AU554" s="18">
        <v>0</v>
      </c>
      <c r="AV554" s="18"/>
      <c r="AW554" s="18"/>
      <c r="AX554" s="18"/>
      <c r="AY554" s="18"/>
      <c r="AZ554" s="18"/>
      <c r="BA554" s="18">
        <v>0</v>
      </c>
    </row>
    <row r="555" spans="25:53" x14ac:dyDescent="0.35">
      <c r="Z555" s="57">
        <v>44817</v>
      </c>
      <c r="AA555" t="s">
        <v>933</v>
      </c>
      <c r="AB555" s="18">
        <v>0</v>
      </c>
      <c r="AC555" s="18"/>
      <c r="AD555" s="18"/>
      <c r="AE555" s="18"/>
      <c r="AF555" s="18"/>
      <c r="AG555" s="18"/>
      <c r="AH555" s="18">
        <v>0</v>
      </c>
      <c r="AT555">
        <v>9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5">
      <c r="AA556" t="s">
        <v>934</v>
      </c>
      <c r="AB556" s="18">
        <v>0</v>
      </c>
      <c r="AC556" s="18"/>
      <c r="AD556" s="18"/>
      <c r="AE556" s="18"/>
      <c r="AF556" s="18"/>
      <c r="AG556" s="18"/>
      <c r="AH556" s="18">
        <v>0</v>
      </c>
      <c r="AT556">
        <v>10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5:53" x14ac:dyDescent="0.35">
      <c r="Y557">
        <v>10</v>
      </c>
      <c r="Z557" t="s">
        <v>992</v>
      </c>
      <c r="AA557" t="s">
        <v>987</v>
      </c>
      <c r="AB557" s="18">
        <v>0</v>
      </c>
      <c r="AC557" s="18"/>
      <c r="AD557" s="18"/>
      <c r="AE557" s="18"/>
      <c r="AF557" s="18"/>
      <c r="AG557" s="18"/>
      <c r="AH557" s="18">
        <v>0</v>
      </c>
      <c r="AT557">
        <v>11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5">
      <c r="Z558" s="57">
        <v>44847</v>
      </c>
      <c r="AA558" t="s">
        <v>999</v>
      </c>
      <c r="AB558" s="18">
        <v>0</v>
      </c>
      <c r="AC558" s="18"/>
      <c r="AD558" s="18"/>
      <c r="AE558" s="18"/>
      <c r="AF558" s="18"/>
      <c r="AG558" s="18"/>
      <c r="AH558" s="18">
        <v>0</v>
      </c>
      <c r="AT558">
        <v>12</v>
      </c>
      <c r="AU558" s="18">
        <v>0</v>
      </c>
      <c r="AV558" s="18"/>
      <c r="AW558" s="18"/>
      <c r="AX558" s="18"/>
      <c r="AY558" s="18"/>
      <c r="AZ558" s="18"/>
      <c r="BA558" s="18">
        <v>0</v>
      </c>
    </row>
    <row r="559" spans="25:53" x14ac:dyDescent="0.35">
      <c r="Z559" s="57">
        <v>44856</v>
      </c>
      <c r="AA559" t="s">
        <v>1010</v>
      </c>
      <c r="AB559" s="18">
        <v>0</v>
      </c>
      <c r="AC559" s="18"/>
      <c r="AD559" s="18"/>
      <c r="AE559" s="18"/>
      <c r="AF559" s="18"/>
      <c r="AG559" s="18"/>
      <c r="AH559" s="18">
        <v>0</v>
      </c>
      <c r="AS559">
        <v>2025</v>
      </c>
      <c r="AT559">
        <v>2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5">
      <c r="Z560" s="57">
        <v>44861</v>
      </c>
      <c r="AA560" t="s">
        <v>1012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3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5:53" x14ac:dyDescent="0.35">
      <c r="Z561" s="57">
        <v>44865</v>
      </c>
      <c r="AA561" t="s">
        <v>1014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5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5:53" x14ac:dyDescent="0.35">
      <c r="Y562">
        <v>11</v>
      </c>
      <c r="Z562" s="57">
        <v>44869</v>
      </c>
      <c r="AA562" t="s">
        <v>1050</v>
      </c>
      <c r="AB562" s="18">
        <v>0</v>
      </c>
      <c r="AC562" s="18"/>
      <c r="AD562" s="18"/>
      <c r="AE562" s="18"/>
      <c r="AF562" s="18"/>
      <c r="AG562" s="18"/>
      <c r="AH562" s="18">
        <v>0</v>
      </c>
      <c r="AT562">
        <v>6</v>
      </c>
      <c r="AU562" s="18">
        <v>2360</v>
      </c>
      <c r="AV562" s="18"/>
      <c r="AW562" s="18"/>
      <c r="AX562" s="18"/>
      <c r="AY562" s="18"/>
      <c r="AZ562" s="18"/>
      <c r="BA562" s="18">
        <v>2360</v>
      </c>
    </row>
    <row r="563" spans="25:53" x14ac:dyDescent="0.35">
      <c r="Z563" s="57">
        <v>44876</v>
      </c>
      <c r="AA563" t="s">
        <v>1064</v>
      </c>
      <c r="AB563" s="18">
        <v>0</v>
      </c>
      <c r="AC563" s="18"/>
      <c r="AD563" s="18"/>
      <c r="AE563" s="18"/>
      <c r="AF563" s="18"/>
      <c r="AG563" s="18"/>
      <c r="AH563" s="18">
        <v>0</v>
      </c>
      <c r="AT563">
        <v>4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5:53" x14ac:dyDescent="0.35">
      <c r="Z564" t="s">
        <v>1070</v>
      </c>
      <c r="AA564" t="s">
        <v>1075</v>
      </c>
      <c r="AB564" s="18">
        <v>0</v>
      </c>
      <c r="AC564" s="18"/>
      <c r="AD564" s="18"/>
      <c r="AE564" s="18"/>
      <c r="AF564" s="18"/>
      <c r="AG564" s="18"/>
      <c r="AH564" s="18">
        <v>0</v>
      </c>
      <c r="AR564" s="36" t="s">
        <v>2667</v>
      </c>
      <c r="AS564" s="36"/>
      <c r="AT564" s="36"/>
      <c r="AU564" s="37">
        <v>2360</v>
      </c>
      <c r="AV564" s="37"/>
      <c r="AW564" s="37"/>
      <c r="AX564" s="37"/>
      <c r="AY564" s="37"/>
      <c r="AZ564" s="37"/>
      <c r="BA564" s="37">
        <v>2360</v>
      </c>
    </row>
    <row r="565" spans="25:53" x14ac:dyDescent="0.35">
      <c r="Y565">
        <v>12</v>
      </c>
      <c r="Z565" s="57">
        <v>44897</v>
      </c>
      <c r="AA565" t="s">
        <v>1109</v>
      </c>
      <c r="AB565" s="18">
        <v>0</v>
      </c>
      <c r="AC565" s="18"/>
      <c r="AD565" s="18"/>
      <c r="AE565" s="18"/>
      <c r="AF565" s="18"/>
      <c r="AG565" s="18"/>
      <c r="AH565" s="18">
        <v>0</v>
      </c>
      <c r="AR565" t="s">
        <v>2734</v>
      </c>
      <c r="AS565">
        <v>2024</v>
      </c>
      <c r="AT565">
        <v>7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5:53" x14ac:dyDescent="0.35">
      <c r="AA566" t="s">
        <v>1111</v>
      </c>
      <c r="AB566" s="18">
        <v>0</v>
      </c>
      <c r="AC566" s="18"/>
      <c r="AD566" s="18"/>
      <c r="AE566" s="18"/>
      <c r="AF566" s="18"/>
      <c r="AG566" s="18"/>
      <c r="AH566" s="18">
        <v>0</v>
      </c>
      <c r="AR566" s="36" t="s">
        <v>2838</v>
      </c>
      <c r="AS566" s="36"/>
      <c r="AT566" s="36"/>
      <c r="AU566" s="37">
        <v>0</v>
      </c>
      <c r="AV566" s="37"/>
      <c r="AW566" s="37"/>
      <c r="AX566" s="37"/>
      <c r="AY566" s="37"/>
      <c r="AZ566" s="37"/>
      <c r="BA566" s="37">
        <v>0</v>
      </c>
    </row>
    <row r="567" spans="25:53" x14ac:dyDescent="0.35">
      <c r="Z567" s="57">
        <v>44898</v>
      </c>
      <c r="AA567" t="s">
        <v>1115</v>
      </c>
      <c r="AB567" s="18">
        <v>0</v>
      </c>
      <c r="AC567" s="18"/>
      <c r="AD567" s="18"/>
      <c r="AE567" s="18"/>
      <c r="AF567" s="18"/>
      <c r="AG567" s="18"/>
      <c r="AH567" s="18">
        <v>0</v>
      </c>
      <c r="AR567" t="s">
        <v>2740</v>
      </c>
      <c r="AS567">
        <v>2024</v>
      </c>
      <c r="AT567">
        <v>7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5:53" x14ac:dyDescent="0.35">
      <c r="Z568" s="57">
        <v>44904</v>
      </c>
      <c r="AA568" t="s">
        <v>1122</v>
      </c>
      <c r="AB568" s="18">
        <v>0</v>
      </c>
      <c r="AC568" s="18"/>
      <c r="AD568" s="18"/>
      <c r="AE568" s="18"/>
      <c r="AF568" s="18"/>
      <c r="AG568" s="18"/>
      <c r="AH568" s="18">
        <v>0</v>
      </c>
      <c r="AR568" s="36" t="s">
        <v>2839</v>
      </c>
      <c r="AS568" s="36"/>
      <c r="AT568" s="36"/>
      <c r="AU568" s="37">
        <v>0</v>
      </c>
      <c r="AV568" s="37"/>
      <c r="AW568" s="37"/>
      <c r="AX568" s="37"/>
      <c r="AY568" s="37"/>
      <c r="AZ568" s="37"/>
      <c r="BA568" s="37">
        <v>0</v>
      </c>
    </row>
    <row r="569" spans="25:53" x14ac:dyDescent="0.35">
      <c r="Z569" s="57">
        <v>44917</v>
      </c>
      <c r="AA569" t="s">
        <v>1127</v>
      </c>
      <c r="AB569" s="18">
        <v>0</v>
      </c>
      <c r="AC569" s="18"/>
      <c r="AD569" s="18"/>
      <c r="AE569" s="18"/>
      <c r="AF569" s="18"/>
      <c r="AG569" s="18"/>
      <c r="AH569" s="18">
        <v>0</v>
      </c>
      <c r="AR569" t="s">
        <v>2928</v>
      </c>
      <c r="AS569">
        <v>2023</v>
      </c>
      <c r="AT569">
        <v>10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5:53" x14ac:dyDescent="0.35">
      <c r="Z570" s="57">
        <v>44923</v>
      </c>
      <c r="AA570" t="s">
        <v>1138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11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5:53" x14ac:dyDescent="0.35">
      <c r="Z571" s="57">
        <v>44925</v>
      </c>
      <c r="AA571" t="s">
        <v>1139</v>
      </c>
      <c r="AB571" s="18">
        <v>0</v>
      </c>
      <c r="AC571" s="18"/>
      <c r="AD571" s="18"/>
      <c r="AE571" s="18"/>
      <c r="AF571" s="18"/>
      <c r="AG571" s="18"/>
      <c r="AH571" s="18">
        <v>0</v>
      </c>
      <c r="AS571">
        <v>2024</v>
      </c>
      <c r="AT571">
        <v>8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5:53" x14ac:dyDescent="0.35">
      <c r="Y572">
        <v>4</v>
      </c>
      <c r="Z572" s="57">
        <v>44652</v>
      </c>
      <c r="AA572" t="s">
        <v>683</v>
      </c>
      <c r="AB572" s="18">
        <v>0</v>
      </c>
      <c r="AC572" s="18"/>
      <c r="AD572" s="18"/>
      <c r="AE572" s="18"/>
      <c r="AF572" s="18"/>
      <c r="AG572" s="18"/>
      <c r="AH572" s="18">
        <v>0</v>
      </c>
      <c r="AR572" s="36" t="s">
        <v>2930</v>
      </c>
      <c r="AS572" s="36"/>
      <c r="AT572" s="36"/>
      <c r="AU572" s="37">
        <v>0</v>
      </c>
      <c r="AV572" s="37"/>
      <c r="AW572" s="37"/>
      <c r="AX572" s="37"/>
      <c r="AY572" s="37"/>
      <c r="AZ572" s="37"/>
      <c r="BA572" s="37">
        <v>0</v>
      </c>
    </row>
    <row r="573" spans="25:53" x14ac:dyDescent="0.35">
      <c r="Z573" s="57">
        <v>44656</v>
      </c>
      <c r="AA573" t="s">
        <v>685</v>
      </c>
      <c r="AB573" s="18">
        <v>0</v>
      </c>
      <c r="AC573" s="18"/>
      <c r="AD573" s="18"/>
      <c r="AE573" s="18"/>
      <c r="AF573" s="18"/>
      <c r="AG573" s="18"/>
      <c r="AH573" s="18">
        <v>0</v>
      </c>
      <c r="AR573" t="s">
        <v>2929</v>
      </c>
      <c r="AS573">
        <v>2023</v>
      </c>
      <c r="AT573">
        <v>12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5:53" x14ac:dyDescent="0.35">
      <c r="Z574" s="57">
        <v>44660</v>
      </c>
      <c r="AA574" t="s">
        <v>689</v>
      </c>
      <c r="AB574" s="18">
        <v>0</v>
      </c>
      <c r="AC574" s="18"/>
      <c r="AD574" s="18"/>
      <c r="AE574" s="18"/>
      <c r="AF574" s="18"/>
      <c r="AG574" s="18"/>
      <c r="AH574" s="18">
        <v>0</v>
      </c>
      <c r="AS574">
        <v>2024</v>
      </c>
      <c r="AT574">
        <v>1</v>
      </c>
      <c r="AU574" s="18">
        <v>0</v>
      </c>
      <c r="AV574" s="18"/>
      <c r="AW574" s="18"/>
      <c r="AX574" s="18"/>
      <c r="AY574" s="18"/>
      <c r="AZ574" s="18"/>
      <c r="BA574" s="18">
        <v>0</v>
      </c>
    </row>
    <row r="575" spans="25:53" x14ac:dyDescent="0.35">
      <c r="Z575" s="57">
        <v>44664</v>
      </c>
      <c r="AA575" t="s">
        <v>693</v>
      </c>
      <c r="AB575" s="18">
        <v>0</v>
      </c>
      <c r="AC575" s="18"/>
      <c r="AD575" s="18"/>
      <c r="AE575" s="18"/>
      <c r="AF575" s="18"/>
      <c r="AG575" s="18"/>
      <c r="AH575" s="18">
        <v>0</v>
      </c>
      <c r="AT575">
        <v>2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5:53" x14ac:dyDescent="0.35">
      <c r="Z576" s="57">
        <v>44667</v>
      </c>
      <c r="AA576" t="s">
        <v>696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3</v>
      </c>
      <c r="AU576" s="18">
        <v>0</v>
      </c>
      <c r="AV576" s="18"/>
      <c r="AW576" s="18"/>
      <c r="AX576" s="18"/>
      <c r="AY576" s="18"/>
      <c r="AZ576" s="18"/>
      <c r="BA576" s="18">
        <v>0</v>
      </c>
    </row>
    <row r="577" spans="24:53" x14ac:dyDescent="0.35">
      <c r="Z577" s="57">
        <v>44670</v>
      </c>
      <c r="AA577" t="s">
        <v>698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5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4:53" x14ac:dyDescent="0.35">
      <c r="Z578" s="57">
        <v>44674</v>
      </c>
      <c r="AA578" t="s">
        <v>718</v>
      </c>
      <c r="AB578" s="18">
        <v>0</v>
      </c>
      <c r="AC578" s="18"/>
      <c r="AD578" s="18"/>
      <c r="AE578" s="18"/>
      <c r="AF578" s="18"/>
      <c r="AG578" s="18"/>
      <c r="AH578" s="18">
        <v>0</v>
      </c>
      <c r="AT578">
        <v>7</v>
      </c>
      <c r="AU578" s="18">
        <v>0</v>
      </c>
      <c r="AV578" s="18"/>
      <c r="AW578" s="18"/>
      <c r="AX578" s="18"/>
      <c r="AY578" s="18"/>
      <c r="AZ578" s="18"/>
      <c r="BA578" s="18">
        <v>0</v>
      </c>
    </row>
    <row r="579" spans="24:53" x14ac:dyDescent="0.35">
      <c r="Z579" s="57">
        <v>44679</v>
      </c>
      <c r="AA579" t="s">
        <v>725</v>
      </c>
      <c r="AB579" s="18">
        <v>0</v>
      </c>
      <c r="AC579" s="18"/>
      <c r="AD579" s="18"/>
      <c r="AE579" s="18"/>
      <c r="AF579" s="18"/>
      <c r="AG579" s="18"/>
      <c r="AH579" s="18">
        <v>0</v>
      </c>
      <c r="AT579">
        <v>8</v>
      </c>
      <c r="AU579" s="18">
        <v>0</v>
      </c>
      <c r="AV579" s="18"/>
      <c r="AW579" s="18"/>
      <c r="AX579" s="18"/>
      <c r="AY579" s="18"/>
      <c r="AZ579" s="18"/>
      <c r="BA579" s="18">
        <v>0</v>
      </c>
    </row>
    <row r="580" spans="24:53" x14ac:dyDescent="0.35">
      <c r="Z580" s="57">
        <v>44681</v>
      </c>
      <c r="AA580" t="s">
        <v>729</v>
      </c>
      <c r="AB580" s="18">
        <v>0</v>
      </c>
      <c r="AC580" s="18"/>
      <c r="AD580" s="18"/>
      <c r="AE580" s="18"/>
      <c r="AF580" s="18"/>
      <c r="AG580" s="18"/>
      <c r="AH580" s="18">
        <v>0</v>
      </c>
      <c r="AT580">
        <v>9</v>
      </c>
      <c r="AU580" s="18">
        <v>0</v>
      </c>
      <c r="AV580" s="18"/>
      <c r="AW580" s="18"/>
      <c r="AX580" s="18"/>
      <c r="AY580" s="18"/>
      <c r="AZ580" s="18"/>
      <c r="BA580" s="18">
        <v>0</v>
      </c>
    </row>
    <row r="581" spans="24:53" x14ac:dyDescent="0.35">
      <c r="X581">
        <v>2023</v>
      </c>
      <c r="Y581">
        <v>1</v>
      </c>
      <c r="Z581" s="57">
        <v>44931</v>
      </c>
      <c r="AA581" t="s">
        <v>1167</v>
      </c>
      <c r="AB581" s="18">
        <v>0</v>
      </c>
      <c r="AC581" s="18"/>
      <c r="AD581" s="18"/>
      <c r="AE581" s="18"/>
      <c r="AF581" s="18"/>
      <c r="AG581" s="18"/>
      <c r="AH581" s="18">
        <v>0</v>
      </c>
      <c r="AT581">
        <v>10</v>
      </c>
      <c r="AU581" s="18">
        <v>0</v>
      </c>
      <c r="AV581" s="18"/>
      <c r="AW581" s="18"/>
      <c r="AX581" s="18"/>
      <c r="AY581" s="18"/>
      <c r="AZ581" s="18"/>
      <c r="BA581" s="18">
        <v>0</v>
      </c>
    </row>
    <row r="582" spans="24:53" x14ac:dyDescent="0.35">
      <c r="Z582" s="57">
        <v>44933</v>
      </c>
      <c r="AA582" t="s">
        <v>1171</v>
      </c>
      <c r="AB582" s="18">
        <v>0</v>
      </c>
      <c r="AC582" s="18"/>
      <c r="AD582" s="18"/>
      <c r="AE582" s="18"/>
      <c r="AF582" s="18"/>
      <c r="AG582" s="18"/>
      <c r="AH582" s="18">
        <v>0</v>
      </c>
      <c r="AT582">
        <v>11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4:53" x14ac:dyDescent="0.35">
      <c r="Z583" s="57">
        <v>44935</v>
      </c>
      <c r="AA583" t="s">
        <v>1174</v>
      </c>
      <c r="AB583" s="18">
        <v>0</v>
      </c>
      <c r="AC583" s="18"/>
      <c r="AD583" s="18"/>
      <c r="AE583" s="18"/>
      <c r="AF583" s="18"/>
      <c r="AG583" s="18"/>
      <c r="AH583" s="18">
        <v>0</v>
      </c>
      <c r="AT583">
        <v>12</v>
      </c>
      <c r="AU583" s="18">
        <v>0</v>
      </c>
      <c r="AV583" s="18"/>
      <c r="AW583" s="18"/>
      <c r="AX583" s="18"/>
      <c r="AY583" s="18"/>
      <c r="AZ583" s="18"/>
      <c r="BA583" s="18">
        <v>0</v>
      </c>
    </row>
    <row r="584" spans="24:53" x14ac:dyDescent="0.35">
      <c r="Z584" s="57">
        <v>44938</v>
      </c>
      <c r="AA584" t="s">
        <v>1181</v>
      </c>
      <c r="AB584" s="18">
        <v>0</v>
      </c>
      <c r="AC584" s="18"/>
      <c r="AD584" s="18"/>
      <c r="AE584" s="18"/>
      <c r="AF584" s="18"/>
      <c r="AG584" s="18"/>
      <c r="AH584" s="18">
        <v>0</v>
      </c>
      <c r="AT584">
        <v>4</v>
      </c>
      <c r="AU584" s="18">
        <v>0</v>
      </c>
      <c r="AV584" s="18"/>
      <c r="AW584" s="18"/>
      <c r="AX584" s="18"/>
      <c r="AY584" s="18"/>
      <c r="AZ584" s="18"/>
      <c r="BA584" s="18">
        <v>0</v>
      </c>
    </row>
    <row r="585" spans="24:53" x14ac:dyDescent="0.35">
      <c r="Z585" s="57">
        <v>44940</v>
      </c>
      <c r="AA585" t="s">
        <v>1189</v>
      </c>
      <c r="AB585" s="18">
        <v>0</v>
      </c>
      <c r="AC585" s="18"/>
      <c r="AD585" s="18"/>
      <c r="AE585" s="18"/>
      <c r="AF585" s="18"/>
      <c r="AG585" s="18"/>
      <c r="AH585" s="18">
        <v>0</v>
      </c>
      <c r="AS585">
        <v>2025</v>
      </c>
      <c r="AT585">
        <v>1</v>
      </c>
      <c r="AU585" s="18">
        <v>0</v>
      </c>
      <c r="AV585" s="18"/>
      <c r="AW585" s="18"/>
      <c r="AX585" s="18"/>
      <c r="AY585" s="18"/>
      <c r="AZ585" s="18"/>
      <c r="BA585" s="18">
        <v>0</v>
      </c>
    </row>
    <row r="586" spans="24:53" x14ac:dyDescent="0.35">
      <c r="Z586" s="57">
        <v>44945</v>
      </c>
      <c r="AA586" t="s">
        <v>1193</v>
      </c>
      <c r="AB586" s="18">
        <v>0</v>
      </c>
      <c r="AC586" s="18"/>
      <c r="AD586" s="18"/>
      <c r="AE586" s="18"/>
      <c r="AF586" s="18"/>
      <c r="AG586" s="18"/>
      <c r="AH586" s="18">
        <v>0</v>
      </c>
      <c r="AT586">
        <v>2</v>
      </c>
      <c r="AU586" s="18">
        <v>0.5</v>
      </c>
      <c r="AV586" s="18"/>
      <c r="AW586" s="18"/>
      <c r="AX586" s="18"/>
      <c r="AY586" s="18"/>
      <c r="AZ586" s="18"/>
      <c r="BA586" s="18">
        <v>0.5</v>
      </c>
    </row>
    <row r="587" spans="24:53" x14ac:dyDescent="0.35">
      <c r="Z587" s="57">
        <v>44956</v>
      </c>
      <c r="AA587" t="s">
        <v>1204</v>
      </c>
      <c r="AB587" s="18">
        <v>0</v>
      </c>
      <c r="AC587" s="18"/>
      <c r="AD587" s="18"/>
      <c r="AE587" s="18"/>
      <c r="AF587" s="18"/>
      <c r="AG587" s="18"/>
      <c r="AH587" s="18">
        <v>0</v>
      </c>
      <c r="AT587">
        <v>5</v>
      </c>
      <c r="AU587" s="18">
        <v>0</v>
      </c>
      <c r="AV587" s="18"/>
      <c r="AW587" s="18"/>
      <c r="AX587" s="18"/>
      <c r="AY587" s="18"/>
      <c r="AZ587" s="18"/>
      <c r="BA587" s="18">
        <v>0</v>
      </c>
    </row>
    <row r="588" spans="24:53" x14ac:dyDescent="0.35">
      <c r="Y588">
        <v>2</v>
      </c>
      <c r="Z588" t="s">
        <v>1238</v>
      </c>
      <c r="AA588" t="s">
        <v>1237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T588">
        <v>6</v>
      </c>
      <c r="AU588" s="18">
        <v>0</v>
      </c>
      <c r="AV588" s="18"/>
      <c r="AW588" s="18"/>
      <c r="AX588" s="18"/>
      <c r="AY588" s="18"/>
      <c r="AZ588" s="18"/>
      <c r="BA588" s="18">
        <v>0</v>
      </c>
    </row>
    <row r="589" spans="24:53" x14ac:dyDescent="0.35">
      <c r="Z589" t="s">
        <v>1246</v>
      </c>
      <c r="AA589" t="s">
        <v>1245</v>
      </c>
      <c r="AB589" s="18">
        <v>4.5474735088646412E-13</v>
      </c>
      <c r="AC589" s="18"/>
      <c r="AD589" s="18"/>
      <c r="AE589" s="18"/>
      <c r="AF589" s="18"/>
      <c r="AG589" s="18"/>
      <c r="AH589" s="18">
        <v>4.5474735088646412E-13</v>
      </c>
      <c r="AT589">
        <v>7</v>
      </c>
      <c r="AU589" s="18">
        <v>0</v>
      </c>
      <c r="AV589" s="18"/>
      <c r="AW589" s="18"/>
      <c r="AX589" s="18"/>
      <c r="AY589" s="18"/>
      <c r="AZ589" s="18"/>
      <c r="BA589" s="18">
        <v>0</v>
      </c>
    </row>
    <row r="590" spans="24:53" x14ac:dyDescent="0.35">
      <c r="AA590" t="s">
        <v>1247</v>
      </c>
      <c r="AB590" s="18">
        <v>0</v>
      </c>
      <c r="AC590" s="18"/>
      <c r="AD590" s="18"/>
      <c r="AE590" s="18"/>
      <c r="AF590" s="18"/>
      <c r="AG590" s="18"/>
      <c r="AH590" s="18">
        <v>0</v>
      </c>
      <c r="AT590">
        <v>4</v>
      </c>
      <c r="AU590" s="18">
        <v>0</v>
      </c>
      <c r="AV590" s="18"/>
      <c r="AW590" s="18"/>
      <c r="AX590" s="18"/>
      <c r="AY590" s="18"/>
      <c r="AZ590" s="18"/>
      <c r="BA590" s="18">
        <v>0</v>
      </c>
    </row>
    <row r="591" spans="24:53" x14ac:dyDescent="0.35">
      <c r="Z591" s="57">
        <v>44968</v>
      </c>
      <c r="AA591" t="s">
        <v>1254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s="36" t="s">
        <v>2931</v>
      </c>
      <c r="AS591" s="36"/>
      <c r="AT591" s="36"/>
      <c r="AU591" s="37">
        <v>0.5</v>
      </c>
      <c r="AV591" s="37"/>
      <c r="AW591" s="37"/>
      <c r="AX591" s="37"/>
      <c r="AY591" s="37"/>
      <c r="AZ591" s="37"/>
      <c r="BA591" s="37">
        <v>0.5</v>
      </c>
    </row>
    <row r="592" spans="24:53" x14ac:dyDescent="0.35">
      <c r="AA592" t="s">
        <v>1255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t="s">
        <v>2939</v>
      </c>
      <c r="AS592">
        <v>2024</v>
      </c>
      <c r="AT592">
        <v>9</v>
      </c>
      <c r="AU592" s="18">
        <v>-5</v>
      </c>
      <c r="AV592" s="18"/>
      <c r="AW592" s="18"/>
      <c r="AX592" s="18"/>
      <c r="AY592" s="18"/>
      <c r="AZ592" s="18"/>
      <c r="BA592" s="18">
        <v>-5</v>
      </c>
    </row>
    <row r="593" spans="25:53" x14ac:dyDescent="0.35">
      <c r="Z593" t="s">
        <v>1264</v>
      </c>
      <c r="AA593" t="s">
        <v>1263</v>
      </c>
      <c r="AB593" s="18">
        <v>0</v>
      </c>
      <c r="AC593" s="18"/>
      <c r="AD593" s="18"/>
      <c r="AE593" s="18"/>
      <c r="AF593" s="18"/>
      <c r="AG593" s="18"/>
      <c r="AH593" s="18">
        <v>0</v>
      </c>
      <c r="AT593">
        <v>10</v>
      </c>
      <c r="AU593" s="18">
        <v>-5</v>
      </c>
      <c r="AV593" s="18"/>
      <c r="AW593" s="18"/>
      <c r="AX593" s="18"/>
      <c r="AY593" s="18"/>
      <c r="AZ593" s="18"/>
      <c r="BA593" s="18">
        <v>-5</v>
      </c>
    </row>
    <row r="594" spans="25:53" x14ac:dyDescent="0.35">
      <c r="AA594" t="s">
        <v>1266</v>
      </c>
      <c r="AB594" s="18">
        <v>0</v>
      </c>
      <c r="AC594" s="18"/>
      <c r="AD594" s="18"/>
      <c r="AE594" s="18"/>
      <c r="AF594" s="18"/>
      <c r="AG594" s="18"/>
      <c r="AH594" s="18">
        <v>0</v>
      </c>
      <c r="AT594">
        <v>12</v>
      </c>
      <c r="AU594" s="18">
        <v>0</v>
      </c>
      <c r="AV594" s="18"/>
      <c r="AW594" s="18"/>
      <c r="AX594" s="18"/>
      <c r="AY594" s="18"/>
      <c r="AZ594" s="18"/>
      <c r="BA594" s="18">
        <v>0</v>
      </c>
    </row>
    <row r="595" spans="25:53" x14ac:dyDescent="0.35">
      <c r="AA595" t="s">
        <v>1267</v>
      </c>
      <c r="AB595" s="18">
        <v>0</v>
      </c>
      <c r="AC595" s="18"/>
      <c r="AD595" s="18"/>
      <c r="AE595" s="18"/>
      <c r="AF595" s="18"/>
      <c r="AG595" s="18"/>
      <c r="AH595" s="18">
        <v>0</v>
      </c>
      <c r="AS595">
        <v>2025</v>
      </c>
      <c r="AT595">
        <v>2</v>
      </c>
      <c r="AU595" s="18">
        <v>525</v>
      </c>
      <c r="AV595" s="18"/>
      <c r="AW595" s="18"/>
      <c r="AX595" s="18"/>
      <c r="AY595" s="18"/>
      <c r="AZ595" s="18"/>
      <c r="BA595" s="18">
        <v>525</v>
      </c>
    </row>
    <row r="596" spans="25:53" x14ac:dyDescent="0.35">
      <c r="Z596" s="57">
        <v>44978</v>
      </c>
      <c r="AA596" t="s">
        <v>1274</v>
      </c>
      <c r="AB596" s="18">
        <v>0</v>
      </c>
      <c r="AC596" s="18"/>
      <c r="AD596" s="18"/>
      <c r="AE596" s="18"/>
      <c r="AF596" s="18"/>
      <c r="AG596" s="18"/>
      <c r="AH596" s="18">
        <v>0</v>
      </c>
      <c r="AR596" s="36" t="s">
        <v>3006</v>
      </c>
      <c r="AS596" s="36"/>
      <c r="AT596" s="36"/>
      <c r="AU596" s="37">
        <v>515</v>
      </c>
      <c r="AV596" s="37"/>
      <c r="AW596" s="37"/>
      <c r="AX596" s="37"/>
      <c r="AY596" s="37"/>
      <c r="AZ596" s="37"/>
      <c r="BA596" s="37">
        <v>515</v>
      </c>
    </row>
    <row r="597" spans="25:53" x14ac:dyDescent="0.35">
      <c r="AA597" t="s">
        <v>1275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t="s">
        <v>3061</v>
      </c>
      <c r="AS597">
        <v>2024</v>
      </c>
      <c r="AT597">
        <v>6</v>
      </c>
      <c r="AU597" s="18">
        <v>0</v>
      </c>
      <c r="AV597" s="18"/>
      <c r="AW597" s="18"/>
      <c r="AX597" s="18"/>
      <c r="AY597" s="18"/>
      <c r="AZ597" s="18"/>
      <c r="BA597" s="18">
        <v>0</v>
      </c>
    </row>
    <row r="598" spans="25:53" x14ac:dyDescent="0.35">
      <c r="Z598" t="s">
        <v>1279</v>
      </c>
      <c r="AA598" t="s">
        <v>1277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s="36" t="s">
        <v>3097</v>
      </c>
      <c r="AS598" s="36"/>
      <c r="AT598" s="36"/>
      <c r="AU598" s="37">
        <v>0</v>
      </c>
      <c r="AV598" s="37"/>
      <c r="AW598" s="37"/>
      <c r="AX598" s="37"/>
      <c r="AY598" s="37"/>
      <c r="AZ598" s="37"/>
      <c r="BA598" s="37">
        <v>0</v>
      </c>
    </row>
    <row r="599" spans="25:53" x14ac:dyDescent="0.35">
      <c r="Y599">
        <v>3</v>
      </c>
      <c r="Z599" t="s">
        <v>1308</v>
      </c>
      <c r="AA599" t="s">
        <v>1307</v>
      </c>
      <c r="AB599" s="18">
        <v>0</v>
      </c>
      <c r="AC599" s="18"/>
      <c r="AD599" s="18"/>
      <c r="AE599" s="18"/>
      <c r="AF599" s="18"/>
      <c r="AG599" s="18"/>
      <c r="AH599" s="18">
        <v>0</v>
      </c>
      <c r="AR599" t="s">
        <v>3063</v>
      </c>
      <c r="AS599">
        <v>2024</v>
      </c>
      <c r="AT599">
        <v>10</v>
      </c>
      <c r="AU599" s="18">
        <v>0</v>
      </c>
      <c r="AV599" s="18"/>
      <c r="AW599" s="18"/>
      <c r="AX599" s="18"/>
      <c r="AY599" s="18"/>
      <c r="AZ599" s="18"/>
      <c r="BA599" s="18">
        <v>0</v>
      </c>
    </row>
    <row r="600" spans="25:53" x14ac:dyDescent="0.35">
      <c r="AA600" t="s">
        <v>1311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s="36" t="s">
        <v>3098</v>
      </c>
      <c r="AS600" s="36"/>
      <c r="AT600" s="36"/>
      <c r="AU600" s="37">
        <v>0</v>
      </c>
      <c r="AV600" s="37"/>
      <c r="AW600" s="37"/>
      <c r="AX600" s="37"/>
      <c r="AY600" s="37"/>
      <c r="AZ600" s="37"/>
      <c r="BA600" s="37">
        <v>0</v>
      </c>
    </row>
    <row r="601" spans="25:53" x14ac:dyDescent="0.35">
      <c r="Z601" t="s">
        <v>1332</v>
      </c>
      <c r="AA601" t="s">
        <v>1331</v>
      </c>
      <c r="AB601" s="18">
        <v>0</v>
      </c>
      <c r="AC601" s="18"/>
      <c r="AD601" s="18"/>
      <c r="AE601" s="18"/>
      <c r="AF601" s="18"/>
      <c r="AG601" s="18"/>
      <c r="AH601" s="18">
        <v>0</v>
      </c>
      <c r="AR601" t="s">
        <v>3100</v>
      </c>
      <c r="AS601" t="s">
        <v>1763</v>
      </c>
      <c r="AT601" t="s">
        <v>1763</v>
      </c>
      <c r="AU601" s="18"/>
      <c r="AV601" s="18"/>
      <c r="AW601" s="18"/>
      <c r="AX601" s="18"/>
      <c r="AY601" s="18">
        <v>0</v>
      </c>
      <c r="AZ601" s="18"/>
      <c r="BA601" s="18">
        <v>0</v>
      </c>
    </row>
    <row r="602" spans="25:53" x14ac:dyDescent="0.35">
      <c r="Z602" t="s">
        <v>1334</v>
      </c>
      <c r="AA602" t="s">
        <v>1335</v>
      </c>
      <c r="AB602" s="18">
        <v>0</v>
      </c>
      <c r="AC602" s="18"/>
      <c r="AD602" s="18"/>
      <c r="AE602" s="18"/>
      <c r="AF602" s="18"/>
      <c r="AG602" s="18"/>
      <c r="AH602" s="18">
        <v>0</v>
      </c>
      <c r="AR602" s="36" t="s">
        <v>3206</v>
      </c>
      <c r="AS602" s="36"/>
      <c r="AT602" s="36"/>
      <c r="AU602" s="37"/>
      <c r="AV602" s="37"/>
      <c r="AW602" s="37"/>
      <c r="AX602" s="37"/>
      <c r="AY602" s="37">
        <v>0</v>
      </c>
      <c r="AZ602" s="37"/>
      <c r="BA602" s="37">
        <v>0</v>
      </c>
    </row>
    <row r="603" spans="25:53" x14ac:dyDescent="0.35">
      <c r="AA603" t="s">
        <v>1336</v>
      </c>
      <c r="AB603" s="18">
        <v>0</v>
      </c>
      <c r="AC603" s="18"/>
      <c r="AD603" s="18"/>
      <c r="AE603" s="18"/>
      <c r="AF603" s="18"/>
      <c r="AG603" s="18"/>
      <c r="AH603" s="18">
        <v>0</v>
      </c>
      <c r="AR603" t="s">
        <v>3225</v>
      </c>
      <c r="AS603">
        <v>2024</v>
      </c>
      <c r="AT603">
        <v>12</v>
      </c>
      <c r="AU603" s="18">
        <v>0</v>
      </c>
      <c r="AV603" s="18"/>
      <c r="AW603" s="18"/>
      <c r="AX603" s="18"/>
      <c r="AY603" s="18"/>
      <c r="AZ603" s="18"/>
      <c r="BA603" s="18">
        <v>0</v>
      </c>
    </row>
    <row r="604" spans="25:53" x14ac:dyDescent="0.35">
      <c r="Z604" t="s">
        <v>1348</v>
      </c>
      <c r="AA604" t="s">
        <v>1346</v>
      </c>
      <c r="AB604" s="18">
        <v>0</v>
      </c>
      <c r="AC604" s="18"/>
      <c r="AD604" s="18"/>
      <c r="AE604" s="18"/>
      <c r="AF604" s="18"/>
      <c r="AG604" s="18"/>
      <c r="AH604" s="18">
        <v>0</v>
      </c>
      <c r="AR604" s="36" t="s">
        <v>3285</v>
      </c>
      <c r="AS604" s="36"/>
      <c r="AT604" s="36"/>
      <c r="AU604" s="37">
        <v>0</v>
      </c>
      <c r="AV604" s="37"/>
      <c r="AW604" s="37"/>
      <c r="AX604" s="37"/>
      <c r="AY604" s="37"/>
      <c r="AZ604" s="37"/>
      <c r="BA604" s="37">
        <v>0</v>
      </c>
    </row>
    <row r="605" spans="25:53" x14ac:dyDescent="0.35">
      <c r="AA605" t="s">
        <v>1347</v>
      </c>
      <c r="AB605" s="18">
        <v>0</v>
      </c>
      <c r="AC605" s="18"/>
      <c r="AD605" s="18"/>
      <c r="AE605" s="18"/>
      <c r="AF605" s="18"/>
      <c r="AG605" s="18"/>
      <c r="AH605" s="18">
        <v>0</v>
      </c>
      <c r="AR605" t="s">
        <v>3230</v>
      </c>
      <c r="AS605">
        <v>2024</v>
      </c>
      <c r="AT605">
        <v>12</v>
      </c>
      <c r="AU605" s="18">
        <v>0</v>
      </c>
      <c r="AV605" s="18"/>
      <c r="AW605" s="18"/>
      <c r="AX605" s="18"/>
      <c r="AY605" s="18"/>
      <c r="AZ605" s="18"/>
      <c r="BA605" s="18">
        <v>0</v>
      </c>
    </row>
    <row r="606" spans="25:53" x14ac:dyDescent="0.35">
      <c r="Z606" t="s">
        <v>1362</v>
      </c>
      <c r="AA606" t="s">
        <v>1365</v>
      </c>
      <c r="AB606" s="18">
        <v>0</v>
      </c>
      <c r="AC606" s="18"/>
      <c r="AD606" s="18"/>
      <c r="AE606" s="18"/>
      <c r="AF606" s="18"/>
      <c r="AG606" s="18"/>
      <c r="AH606" s="18">
        <v>0</v>
      </c>
      <c r="AS606">
        <v>2025</v>
      </c>
      <c r="AT606">
        <v>1</v>
      </c>
      <c r="AU606" s="18">
        <v>0</v>
      </c>
      <c r="AV606" s="18"/>
      <c r="AW606" s="18"/>
      <c r="AX606" s="18"/>
      <c r="AY606" s="18"/>
      <c r="AZ606" s="18"/>
      <c r="BA606" s="18">
        <v>0</v>
      </c>
    </row>
    <row r="607" spans="25:53" x14ac:dyDescent="0.35">
      <c r="AA607" t="s">
        <v>1366</v>
      </c>
      <c r="AB607" s="18">
        <v>0</v>
      </c>
      <c r="AC607" s="18"/>
      <c r="AD607" s="18"/>
      <c r="AE607" s="18"/>
      <c r="AF607" s="18"/>
      <c r="AG607" s="18"/>
      <c r="AH607" s="18">
        <v>0</v>
      </c>
      <c r="AR607" s="36" t="s">
        <v>3286</v>
      </c>
      <c r="AS607" s="36"/>
      <c r="AT607" s="36"/>
      <c r="AU607" s="37">
        <v>0</v>
      </c>
      <c r="AV607" s="37"/>
      <c r="AW607" s="37"/>
      <c r="AX607" s="37"/>
      <c r="AY607" s="37"/>
      <c r="AZ607" s="37"/>
      <c r="BA607" s="37">
        <v>0</v>
      </c>
    </row>
    <row r="608" spans="25:53" x14ac:dyDescent="0.35">
      <c r="Y608">
        <v>5</v>
      </c>
      <c r="Z608" s="57">
        <v>45048</v>
      </c>
      <c r="AA608" t="s">
        <v>1531</v>
      </c>
      <c r="AB608" s="18">
        <v>0</v>
      </c>
      <c r="AC608" s="18"/>
      <c r="AD608" s="18"/>
      <c r="AE608" s="18"/>
      <c r="AF608" s="18"/>
      <c r="AG608" s="18"/>
      <c r="AH608" s="18">
        <v>0</v>
      </c>
      <c r="AR608" t="s">
        <v>3268</v>
      </c>
      <c r="AS608">
        <v>2024</v>
      </c>
      <c r="AT608">
        <v>12</v>
      </c>
      <c r="AU608" s="18">
        <v>0</v>
      </c>
      <c r="AV608" s="18"/>
      <c r="AW608" s="18"/>
      <c r="AX608" s="18"/>
      <c r="AY608" s="18"/>
      <c r="AZ608" s="18"/>
      <c r="BA608" s="18">
        <v>0</v>
      </c>
    </row>
    <row r="609" spans="25:53" x14ac:dyDescent="0.35">
      <c r="AA609" t="s">
        <v>1532</v>
      </c>
      <c r="AB609" s="18">
        <v>0</v>
      </c>
      <c r="AC609" s="18"/>
      <c r="AD609" s="18"/>
      <c r="AE609" s="18"/>
      <c r="AF609" s="18"/>
      <c r="AG609" s="18"/>
      <c r="AH609" s="18">
        <v>0</v>
      </c>
      <c r="AR609" s="36" t="s">
        <v>3287</v>
      </c>
      <c r="AS609" s="36"/>
      <c r="AT609" s="36"/>
      <c r="AU609" s="37">
        <v>0</v>
      </c>
      <c r="AV609" s="37"/>
      <c r="AW609" s="37"/>
      <c r="AX609" s="37"/>
      <c r="AY609" s="37"/>
      <c r="AZ609" s="37"/>
      <c r="BA609" s="37">
        <v>0</v>
      </c>
    </row>
    <row r="610" spans="25:53" x14ac:dyDescent="0.35">
      <c r="Z610" s="57">
        <v>45054</v>
      </c>
      <c r="AA610" t="s">
        <v>1538</v>
      </c>
      <c r="AB610" s="18">
        <v>0</v>
      </c>
      <c r="AC610" s="18"/>
      <c r="AD610" s="18"/>
      <c r="AE610" s="18"/>
      <c r="AF610" s="18"/>
      <c r="AG610" s="18"/>
      <c r="AH610" s="18">
        <v>0</v>
      </c>
      <c r="AR610" t="s">
        <v>3330</v>
      </c>
      <c r="AS610">
        <v>2025</v>
      </c>
      <c r="AT610">
        <v>1</v>
      </c>
      <c r="AU610" s="18">
        <v>0</v>
      </c>
      <c r="AV610" s="18"/>
      <c r="AW610" s="18"/>
      <c r="AX610" s="18"/>
      <c r="AY610" s="18"/>
      <c r="AZ610" s="18"/>
      <c r="BA610" s="18">
        <v>0</v>
      </c>
    </row>
    <row r="611" spans="25:53" x14ac:dyDescent="0.35">
      <c r="AA611" t="s">
        <v>1539</v>
      </c>
      <c r="AB611" s="18">
        <v>0</v>
      </c>
      <c r="AC611" s="18"/>
      <c r="AD611" s="18"/>
      <c r="AE611" s="18"/>
      <c r="AF611" s="18"/>
      <c r="AG611" s="18"/>
      <c r="AH611" s="18">
        <v>0</v>
      </c>
      <c r="AR611" s="36" t="s">
        <v>3441</v>
      </c>
      <c r="AS611" s="36"/>
      <c r="AT611" s="36"/>
      <c r="AU611" s="37">
        <v>0</v>
      </c>
      <c r="AV611" s="37"/>
      <c r="AW611" s="37"/>
      <c r="AX611" s="37"/>
      <c r="AY611" s="37"/>
      <c r="AZ611" s="37"/>
      <c r="BA611" s="37">
        <v>0</v>
      </c>
    </row>
    <row r="612" spans="25:53" x14ac:dyDescent="0.35">
      <c r="Z612" s="57">
        <v>45066</v>
      </c>
      <c r="AA612" t="s">
        <v>1555</v>
      </c>
      <c r="AB612" s="18">
        <v>0</v>
      </c>
      <c r="AC612" s="18"/>
      <c r="AD612" s="18"/>
      <c r="AE612" s="18"/>
      <c r="AF612" s="18"/>
      <c r="AG612" s="18"/>
      <c r="AH612" s="18">
        <v>0</v>
      </c>
      <c r="AR612" t="s">
        <v>3532</v>
      </c>
      <c r="AS612">
        <v>2025</v>
      </c>
      <c r="AT612">
        <v>3</v>
      </c>
      <c r="AU612" s="18">
        <v>0</v>
      </c>
      <c r="AV612" s="18"/>
      <c r="AW612" s="18"/>
      <c r="AX612" s="18"/>
      <c r="AY612" s="18"/>
      <c r="AZ612" s="18"/>
      <c r="BA612" s="18">
        <v>0</v>
      </c>
    </row>
    <row r="613" spans="25:53" x14ac:dyDescent="0.35">
      <c r="AA613" t="s">
        <v>1556</v>
      </c>
      <c r="AB613" s="18">
        <v>0</v>
      </c>
      <c r="AC613" s="18"/>
      <c r="AD613" s="18"/>
      <c r="AE613" s="18"/>
      <c r="AF613" s="18"/>
      <c r="AG613" s="18"/>
      <c r="AH613" s="18">
        <v>0</v>
      </c>
      <c r="AT613">
        <v>5</v>
      </c>
      <c r="AU613" s="18">
        <v>0</v>
      </c>
      <c r="AV613" s="18"/>
      <c r="AW613" s="18"/>
      <c r="AX613" s="18"/>
      <c r="AY613" s="18"/>
      <c r="AZ613" s="18"/>
      <c r="BA613" s="18">
        <v>0</v>
      </c>
    </row>
    <row r="614" spans="25:53" x14ac:dyDescent="0.35">
      <c r="Z614" s="57">
        <v>45072</v>
      </c>
      <c r="AA614" t="s">
        <v>1559</v>
      </c>
      <c r="AB614" s="18">
        <v>0</v>
      </c>
      <c r="AC614" s="18"/>
      <c r="AD614" s="18"/>
      <c r="AE614" s="18"/>
      <c r="AF614" s="18"/>
      <c r="AG614" s="18"/>
      <c r="AH614" s="18">
        <v>0</v>
      </c>
      <c r="AT614">
        <v>6</v>
      </c>
      <c r="AU614" s="18">
        <v>3923.7</v>
      </c>
      <c r="AV614" s="18"/>
      <c r="AW614" s="18"/>
      <c r="AX614" s="18"/>
      <c r="AY614" s="18"/>
      <c r="AZ614" s="18"/>
      <c r="BA614" s="18">
        <v>3923.7</v>
      </c>
    </row>
    <row r="615" spans="25:53" x14ac:dyDescent="0.35">
      <c r="Y615">
        <v>6</v>
      </c>
      <c r="Z615" t="s">
        <v>1636</v>
      </c>
      <c r="AA615" t="s">
        <v>1633</v>
      </c>
      <c r="AB615" s="18">
        <v>0</v>
      </c>
      <c r="AC615" s="18"/>
      <c r="AD615" s="18"/>
      <c r="AE615" s="18"/>
      <c r="AF615" s="18"/>
      <c r="AG615" s="18"/>
      <c r="AH615" s="18">
        <v>0</v>
      </c>
      <c r="AT615">
        <v>7</v>
      </c>
      <c r="AU615" s="18">
        <v>0</v>
      </c>
      <c r="AV615" s="18"/>
      <c r="AW615" s="18"/>
      <c r="AX615" s="18"/>
      <c r="AY615" s="18"/>
      <c r="AZ615" s="18"/>
      <c r="BA615" s="18">
        <v>0</v>
      </c>
    </row>
    <row r="616" spans="25:53" x14ac:dyDescent="0.35">
      <c r="AA616" t="s">
        <v>1634</v>
      </c>
      <c r="AB616" s="18">
        <v>0</v>
      </c>
      <c r="AC616" s="18"/>
      <c r="AD616" s="18"/>
      <c r="AE616" s="18"/>
      <c r="AF616" s="18"/>
      <c r="AG616" s="18"/>
      <c r="AH616" s="18">
        <v>0</v>
      </c>
      <c r="AT616">
        <v>4</v>
      </c>
      <c r="AU616" s="18">
        <v>0</v>
      </c>
      <c r="AV616" s="18"/>
      <c r="AW616" s="18"/>
      <c r="AX616" s="18"/>
      <c r="AY616" s="18"/>
      <c r="AZ616" s="18"/>
      <c r="BA616" s="18">
        <v>0</v>
      </c>
    </row>
    <row r="617" spans="25:53" x14ac:dyDescent="0.35">
      <c r="Y617">
        <v>7</v>
      </c>
      <c r="Z617" t="s">
        <v>1708</v>
      </c>
      <c r="AA617" t="s">
        <v>1706</v>
      </c>
      <c r="AB617" s="18">
        <v>0</v>
      </c>
      <c r="AC617" s="18"/>
      <c r="AD617" s="18"/>
      <c r="AE617" s="18"/>
      <c r="AF617" s="18"/>
      <c r="AG617" s="18"/>
      <c r="AH617" s="18">
        <v>0</v>
      </c>
      <c r="AR617" s="36" t="s">
        <v>3609</v>
      </c>
      <c r="AS617" s="36"/>
      <c r="AT617" s="36"/>
      <c r="AU617" s="37">
        <v>3923.7</v>
      </c>
      <c r="AV617" s="37"/>
      <c r="AW617" s="37"/>
      <c r="AX617" s="37"/>
      <c r="AY617" s="37"/>
      <c r="AZ617" s="37"/>
      <c r="BA617" s="37">
        <v>3923.7</v>
      </c>
    </row>
    <row r="618" spans="25:53" x14ac:dyDescent="0.35">
      <c r="Z618" s="57">
        <v>45133</v>
      </c>
      <c r="AA618" t="s">
        <v>1725</v>
      </c>
      <c r="AB618" s="18">
        <v>0</v>
      </c>
      <c r="AC618" s="18"/>
      <c r="AD618" s="18"/>
      <c r="AE618" s="18"/>
      <c r="AF618" s="18"/>
      <c r="AG618" s="18"/>
      <c r="AH618" s="18">
        <v>0</v>
      </c>
      <c r="AR618" t="s">
        <v>3549</v>
      </c>
      <c r="AS618">
        <v>2025</v>
      </c>
      <c r="AT618">
        <v>3</v>
      </c>
      <c r="AU618" s="18">
        <v>0</v>
      </c>
      <c r="AV618" s="18"/>
      <c r="AW618" s="18"/>
      <c r="AX618" s="18"/>
      <c r="AY618" s="18"/>
      <c r="AZ618" s="18"/>
      <c r="BA618" s="18">
        <v>0</v>
      </c>
    </row>
    <row r="619" spans="25:53" x14ac:dyDescent="0.35">
      <c r="Z619" t="s">
        <v>1732</v>
      </c>
      <c r="AA619" t="s">
        <v>1731</v>
      </c>
      <c r="AB619" s="18">
        <v>0</v>
      </c>
      <c r="AC619" s="18"/>
      <c r="AD619" s="18"/>
      <c r="AE619" s="18"/>
      <c r="AF619" s="18"/>
      <c r="AG619" s="18"/>
      <c r="AH619" s="18">
        <v>0</v>
      </c>
      <c r="AT619">
        <v>5</v>
      </c>
      <c r="AU619" s="18">
        <v>0</v>
      </c>
      <c r="AV619" s="18"/>
      <c r="AW619" s="18"/>
      <c r="AX619" s="18"/>
      <c r="AY619" s="18"/>
      <c r="AZ619" s="18"/>
      <c r="BA619" s="18">
        <v>0</v>
      </c>
    </row>
    <row r="620" spans="25:53" x14ac:dyDescent="0.35">
      <c r="Z620" s="57">
        <v>45134</v>
      </c>
      <c r="AA620" t="s">
        <v>1735</v>
      </c>
      <c r="AB620" s="18">
        <v>0</v>
      </c>
      <c r="AC620" s="18"/>
      <c r="AD620" s="18"/>
      <c r="AE620" s="18"/>
      <c r="AF620" s="18"/>
      <c r="AG620" s="18"/>
      <c r="AH620" s="18">
        <v>0</v>
      </c>
      <c r="AT620">
        <v>6</v>
      </c>
      <c r="AU620" s="18">
        <v>0</v>
      </c>
      <c r="AV620" s="18"/>
      <c r="AW620" s="18"/>
      <c r="AX620" s="18"/>
      <c r="AY620" s="18"/>
      <c r="AZ620" s="18"/>
      <c r="BA620" s="18">
        <v>0</v>
      </c>
    </row>
    <row r="621" spans="25:53" x14ac:dyDescent="0.35">
      <c r="AA621" t="s">
        <v>1736</v>
      </c>
      <c r="AB621" s="18">
        <v>0</v>
      </c>
      <c r="AC621" s="18"/>
      <c r="AD621" s="18"/>
      <c r="AE621" s="18"/>
      <c r="AF621" s="18"/>
      <c r="AG621" s="18"/>
      <c r="AH621" s="18">
        <v>0</v>
      </c>
      <c r="AT621">
        <v>7</v>
      </c>
      <c r="AU621" s="18">
        <v>0</v>
      </c>
      <c r="AV621" s="18"/>
      <c r="AW621" s="18"/>
      <c r="AX621" s="18"/>
      <c r="AY621" s="18"/>
      <c r="AZ621" s="18"/>
      <c r="BA621" s="18">
        <v>0</v>
      </c>
    </row>
    <row r="622" spans="25:53" x14ac:dyDescent="0.35">
      <c r="Y622">
        <v>8</v>
      </c>
      <c r="Z622" s="57">
        <v>45142</v>
      </c>
      <c r="AA622" t="s">
        <v>1799</v>
      </c>
      <c r="AB622" s="18">
        <v>0</v>
      </c>
      <c r="AC622" s="18"/>
      <c r="AD622" s="18"/>
      <c r="AE622" s="18"/>
      <c r="AF622" s="18"/>
      <c r="AG622" s="18"/>
      <c r="AH622" s="18">
        <v>0</v>
      </c>
      <c r="AT622">
        <v>4</v>
      </c>
      <c r="AU622" s="18">
        <v>0.5</v>
      </c>
      <c r="AV622" s="18"/>
      <c r="AW622" s="18"/>
      <c r="AX622" s="18"/>
      <c r="AY622" s="18"/>
      <c r="AZ622" s="18"/>
      <c r="BA622" s="18">
        <v>0.5</v>
      </c>
    </row>
    <row r="623" spans="25:53" x14ac:dyDescent="0.35">
      <c r="Z623" s="57">
        <v>45145</v>
      </c>
      <c r="AA623" t="s">
        <v>1805</v>
      </c>
      <c r="AB623" s="18">
        <v>0</v>
      </c>
      <c r="AC623" s="18"/>
      <c r="AD623" s="18"/>
      <c r="AE623" s="18"/>
      <c r="AF623" s="18"/>
      <c r="AG623" s="18"/>
      <c r="AH623" s="18">
        <v>0</v>
      </c>
      <c r="AR623" s="36" t="s">
        <v>3610</v>
      </c>
      <c r="AS623" s="36"/>
      <c r="AT623" s="36"/>
      <c r="AU623" s="37">
        <v>0.5</v>
      </c>
      <c r="AV623" s="37"/>
      <c r="AW623" s="37"/>
      <c r="AX623" s="37"/>
      <c r="AY623" s="37"/>
      <c r="AZ623" s="37"/>
      <c r="BA623" s="37">
        <v>0.5</v>
      </c>
    </row>
    <row r="624" spans="25:53" x14ac:dyDescent="0.35">
      <c r="AA624" t="s">
        <v>1806</v>
      </c>
      <c r="AB624" s="18">
        <v>0</v>
      </c>
      <c r="AC624" s="18"/>
      <c r="AD624" s="18"/>
      <c r="AE624" s="18"/>
      <c r="AF624" s="18"/>
      <c r="AG624" s="18"/>
      <c r="AH624" s="18">
        <v>0</v>
      </c>
      <c r="AR624" t="s">
        <v>3837</v>
      </c>
      <c r="AS624">
        <v>2025</v>
      </c>
      <c r="AT624">
        <v>6</v>
      </c>
      <c r="AU624" s="18">
        <v>0</v>
      </c>
      <c r="AV624" s="18"/>
      <c r="AW624" s="18"/>
      <c r="AX624" s="18"/>
      <c r="AY624" s="18"/>
      <c r="AZ624" s="18"/>
      <c r="BA624" s="18">
        <v>0</v>
      </c>
    </row>
    <row r="625" spans="25:53" x14ac:dyDescent="0.35">
      <c r="Z625" t="s">
        <v>1815</v>
      </c>
      <c r="AA625" t="s">
        <v>1813</v>
      </c>
      <c r="AB625" s="18">
        <v>0</v>
      </c>
      <c r="AC625" s="18"/>
      <c r="AD625" s="18"/>
      <c r="AE625" s="18"/>
      <c r="AF625" s="18"/>
      <c r="AG625" s="18"/>
      <c r="AH625" s="18">
        <v>0</v>
      </c>
      <c r="AR625" s="36" t="s">
        <v>3966</v>
      </c>
      <c r="AS625" s="36"/>
      <c r="AT625" s="36"/>
      <c r="AU625" s="37">
        <v>0</v>
      </c>
      <c r="AV625" s="37"/>
      <c r="AW625" s="37"/>
      <c r="AX625" s="37"/>
      <c r="AY625" s="37"/>
      <c r="AZ625" s="37"/>
      <c r="BA625" s="37">
        <v>0</v>
      </c>
    </row>
    <row r="626" spans="25:53" x14ac:dyDescent="0.35">
      <c r="AA626" t="s">
        <v>1814</v>
      </c>
      <c r="AB626" s="18">
        <v>0</v>
      </c>
      <c r="AC626" s="18"/>
      <c r="AD626" s="18"/>
      <c r="AE626" s="18"/>
      <c r="AF626" s="18"/>
      <c r="AG626" s="18"/>
      <c r="AH626" s="18">
        <v>0</v>
      </c>
      <c r="AR626" t="s">
        <v>3867</v>
      </c>
      <c r="AS626">
        <v>2025</v>
      </c>
      <c r="AT626">
        <v>6</v>
      </c>
      <c r="AU626" s="18">
        <v>0</v>
      </c>
      <c r="AV626" s="18"/>
      <c r="AW626" s="18"/>
      <c r="AX626" s="18"/>
      <c r="AY626" s="18"/>
      <c r="AZ626" s="18"/>
      <c r="BA626" s="18">
        <v>0</v>
      </c>
    </row>
    <row r="627" spans="25:53" x14ac:dyDescent="0.35">
      <c r="Z627" s="57">
        <v>45160</v>
      </c>
      <c r="AA627" t="s">
        <v>1824</v>
      </c>
      <c r="AB627" s="18">
        <v>0</v>
      </c>
      <c r="AC627" s="18"/>
      <c r="AD627" s="18"/>
      <c r="AE627" s="18"/>
      <c r="AF627" s="18"/>
      <c r="AG627" s="18"/>
      <c r="AH627" s="18">
        <v>0</v>
      </c>
      <c r="AR627" s="36" t="s">
        <v>3967</v>
      </c>
      <c r="AS627" s="36"/>
      <c r="AT627" s="36"/>
      <c r="AU627" s="37">
        <v>0</v>
      </c>
      <c r="AV627" s="37"/>
      <c r="AW627" s="37"/>
      <c r="AX627" s="37"/>
      <c r="AY627" s="37"/>
      <c r="AZ627" s="37"/>
      <c r="BA627" s="37">
        <v>0</v>
      </c>
    </row>
    <row r="628" spans="25:53" x14ac:dyDescent="0.35">
      <c r="AA628" t="s">
        <v>1825</v>
      </c>
      <c r="AB628" s="18">
        <v>0</v>
      </c>
      <c r="AC628" s="18"/>
      <c r="AD628" s="18"/>
      <c r="AE628" s="18"/>
      <c r="AF628" s="18"/>
      <c r="AG628" s="18"/>
      <c r="AH628" s="18">
        <v>0</v>
      </c>
      <c r="AR628" t="s">
        <v>131</v>
      </c>
      <c r="AU628" s="18">
        <v>710248.7</v>
      </c>
      <c r="AV628" s="18">
        <v>1277.5</v>
      </c>
      <c r="AW628" s="18">
        <v>0</v>
      </c>
      <c r="AX628" s="18">
        <v>52482.9</v>
      </c>
      <c r="AY628" s="18">
        <v>0</v>
      </c>
      <c r="AZ628" s="18">
        <v>18660</v>
      </c>
      <c r="BA628" s="18">
        <v>782669.09999999986</v>
      </c>
    </row>
    <row r="629" spans="25:53" x14ac:dyDescent="0.35">
      <c r="Z629" s="57">
        <v>45166</v>
      </c>
      <c r="AA629" t="s">
        <v>1833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53" x14ac:dyDescent="0.35">
      <c r="AA630" t="s">
        <v>1834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53" x14ac:dyDescent="0.35">
      <c r="Y631">
        <v>9</v>
      </c>
      <c r="Z631" t="s">
        <v>1878</v>
      </c>
      <c r="AA631" t="s">
        <v>1876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53" x14ac:dyDescent="0.35">
      <c r="AA632" t="s">
        <v>1877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53" x14ac:dyDescent="0.35">
      <c r="AA633" t="s">
        <v>1881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53" x14ac:dyDescent="0.35">
      <c r="AA634" t="s">
        <v>1882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53" x14ac:dyDescent="0.35">
      <c r="Z635" s="57">
        <v>45178</v>
      </c>
      <c r="AA635" t="s">
        <v>1891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53" x14ac:dyDescent="0.35">
      <c r="AA636" t="s">
        <v>1892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53" x14ac:dyDescent="0.35">
      <c r="Z637" s="57">
        <v>45182</v>
      </c>
      <c r="AA637" t="s">
        <v>1900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53" x14ac:dyDescent="0.35">
      <c r="AA638" t="s">
        <v>1901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53" x14ac:dyDescent="0.35">
      <c r="Z639" s="57">
        <v>45184</v>
      </c>
      <c r="AA639" t="s">
        <v>1903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53" x14ac:dyDescent="0.35">
      <c r="AA640" t="s">
        <v>1904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5">
      <c r="Z641" s="57">
        <v>45189</v>
      </c>
      <c r="AA641" t="s">
        <v>1910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5">
      <c r="AA642" t="s">
        <v>1911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Z643" s="57">
        <v>45196</v>
      </c>
      <c r="AA643" t="s">
        <v>1921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AA644" t="s">
        <v>1923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Z645" s="57">
        <v>45199</v>
      </c>
      <c r="AA645" t="s">
        <v>1925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AA646" t="s">
        <v>1926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Y647">
        <v>10</v>
      </c>
      <c r="Z647" t="s">
        <v>1995</v>
      </c>
      <c r="AA647" t="s">
        <v>1993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AA648" t="s">
        <v>1994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5">
      <c r="Z649" s="57">
        <v>45205</v>
      </c>
      <c r="AA649" t="s">
        <v>1999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Z650" s="57">
        <v>45211</v>
      </c>
      <c r="AA650" t="s">
        <v>2001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4</v>
      </c>
      <c r="Z651" t="s">
        <v>1409</v>
      </c>
      <c r="AA651" t="s">
        <v>1407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Z652" t="s">
        <v>1419</v>
      </c>
      <c r="AA652" t="s">
        <v>1418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Z653" t="s">
        <v>1435</v>
      </c>
      <c r="AA653" t="s">
        <v>1433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AA654" t="s">
        <v>1434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Z655" t="s">
        <v>1464</v>
      </c>
      <c r="AA655" t="s">
        <v>1463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W656" s="36" t="s">
        <v>422</v>
      </c>
      <c r="X656" s="36"/>
      <c r="Y656" s="36"/>
      <c r="Z656" s="36"/>
      <c r="AA656" s="36"/>
      <c r="AB656" s="37">
        <v>4.5474735088646412E-13</v>
      </c>
      <c r="AC656" s="37"/>
      <c r="AD656" s="37"/>
      <c r="AE656" s="37"/>
      <c r="AF656" s="37"/>
      <c r="AG656" s="37"/>
      <c r="AH656" s="37">
        <v>4.5474735088646412E-13</v>
      </c>
    </row>
    <row r="657" spans="23:34" x14ac:dyDescent="0.35">
      <c r="W657" t="s">
        <v>469</v>
      </c>
      <c r="X657" t="s">
        <v>1763</v>
      </c>
      <c r="Y657" t="s">
        <v>1763</v>
      </c>
      <c r="Z657" s="57">
        <v>44509</v>
      </c>
      <c r="AA657" t="s">
        <v>470</v>
      </c>
      <c r="AB657" s="18"/>
      <c r="AC657" s="18"/>
      <c r="AD657" s="18"/>
      <c r="AE657" s="18"/>
      <c r="AF657" s="18">
        <v>0</v>
      </c>
      <c r="AG657" s="18"/>
      <c r="AH657" s="18">
        <v>0</v>
      </c>
    </row>
    <row r="658" spans="23:34" x14ac:dyDescent="0.35">
      <c r="W658" s="36" t="s">
        <v>483</v>
      </c>
      <c r="X658" s="36"/>
      <c r="Y658" s="36"/>
      <c r="Z658" s="36"/>
      <c r="AA658" s="36"/>
      <c r="AB658" s="37"/>
      <c r="AC658" s="37"/>
      <c r="AD658" s="37"/>
      <c r="AE658" s="37"/>
      <c r="AF658" s="37">
        <v>0</v>
      </c>
      <c r="AG658" s="37"/>
      <c r="AH658" s="37">
        <v>0</v>
      </c>
    </row>
    <row r="659" spans="23:34" x14ac:dyDescent="0.35">
      <c r="W659" t="s">
        <v>491</v>
      </c>
      <c r="X659">
        <v>2021</v>
      </c>
      <c r="Y659">
        <v>11</v>
      </c>
      <c r="Z659" s="57">
        <v>44510</v>
      </c>
      <c r="AA659" t="s">
        <v>472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5">
      <c r="X660">
        <v>2022</v>
      </c>
      <c r="Y660">
        <v>2</v>
      </c>
      <c r="Z660" s="57">
        <v>44613</v>
      </c>
      <c r="AA660" t="s">
        <v>606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5">
      <c r="Y661">
        <v>3</v>
      </c>
      <c r="Z661" s="57">
        <v>44625</v>
      </c>
      <c r="AA661" t="s">
        <v>633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Z662" s="57">
        <v>44639</v>
      </c>
      <c r="AA662" t="s">
        <v>651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Y663">
        <v>5</v>
      </c>
      <c r="Z663" s="57">
        <v>44700</v>
      </c>
      <c r="AA663" t="s">
        <v>781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5">
      <c r="Z664" s="57">
        <v>44709</v>
      </c>
      <c r="AA664" t="s">
        <v>797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5">
      <c r="Y665">
        <v>6</v>
      </c>
      <c r="Z665" s="57">
        <v>44722</v>
      </c>
      <c r="AA665" t="s">
        <v>833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5">
      <c r="Z666" s="57">
        <v>44736</v>
      </c>
      <c r="AA666" t="s">
        <v>844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5">
      <c r="Y667">
        <v>7</v>
      </c>
      <c r="Z667" s="57">
        <v>44771</v>
      </c>
      <c r="AA667" t="s">
        <v>871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5">
      <c r="Y668">
        <v>8</v>
      </c>
      <c r="Z668" s="57">
        <v>44789</v>
      </c>
      <c r="AA668" t="s">
        <v>907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5">
      <c r="Y669">
        <v>9</v>
      </c>
      <c r="Z669" s="57">
        <v>44813</v>
      </c>
      <c r="AA669" t="s">
        <v>932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5">
      <c r="Z670" s="57">
        <v>44819</v>
      </c>
      <c r="AA670" t="s">
        <v>937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3:34" x14ac:dyDescent="0.35">
      <c r="Z671" s="57">
        <v>44830</v>
      </c>
      <c r="AA671" t="s">
        <v>950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Y672">
        <v>10</v>
      </c>
      <c r="Z672" t="s">
        <v>994</v>
      </c>
      <c r="AA672" t="s">
        <v>993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4:34" x14ac:dyDescent="0.35">
      <c r="Z673" s="57">
        <v>44847</v>
      </c>
      <c r="AA673" t="s">
        <v>1000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4:34" x14ac:dyDescent="0.35">
      <c r="Z674" s="57">
        <v>44856</v>
      </c>
      <c r="AA674" t="s">
        <v>1011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4:34" x14ac:dyDescent="0.35">
      <c r="Z675" s="57">
        <v>44865</v>
      </c>
      <c r="AA675" t="s">
        <v>1015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4:34" x14ac:dyDescent="0.35">
      <c r="Y676">
        <v>11</v>
      </c>
      <c r="Z676" s="57">
        <v>44874</v>
      </c>
      <c r="AA676" t="s">
        <v>1063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4:34" x14ac:dyDescent="0.35">
      <c r="Y677">
        <v>12</v>
      </c>
      <c r="Z677" s="57">
        <v>44901</v>
      </c>
      <c r="AA677" t="s">
        <v>1119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4:34" x14ac:dyDescent="0.35">
      <c r="Z678" s="57">
        <v>44908</v>
      </c>
      <c r="AA678" t="s">
        <v>1123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4:34" x14ac:dyDescent="0.35">
      <c r="Z679" s="57">
        <v>44919</v>
      </c>
      <c r="AA679" t="s">
        <v>1135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4:34" x14ac:dyDescent="0.35">
      <c r="Y680">
        <v>4</v>
      </c>
      <c r="Z680" s="57">
        <v>44652</v>
      </c>
      <c r="AA680" t="s">
        <v>680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4:34" x14ac:dyDescent="0.35">
      <c r="Z681" s="57">
        <v>44665</v>
      </c>
      <c r="AA681" t="s">
        <v>694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4:34" x14ac:dyDescent="0.35">
      <c r="Z682" s="57">
        <v>44679</v>
      </c>
      <c r="AA682" t="s">
        <v>724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4:34" x14ac:dyDescent="0.35">
      <c r="X683">
        <v>2023</v>
      </c>
      <c r="Y683">
        <v>1</v>
      </c>
      <c r="Z683" s="57">
        <v>44935</v>
      </c>
      <c r="AA683" t="s">
        <v>1172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4:34" x14ac:dyDescent="0.35">
      <c r="Z684" s="57">
        <v>44942</v>
      </c>
      <c r="AA684" t="s">
        <v>1190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4:34" x14ac:dyDescent="0.35">
      <c r="Y685">
        <v>2</v>
      </c>
      <c r="Z685" s="57">
        <v>44959</v>
      </c>
      <c r="AA685" t="s">
        <v>1236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4:34" x14ac:dyDescent="0.35">
      <c r="Z686" t="s">
        <v>1250</v>
      </c>
      <c r="AA686" t="s">
        <v>1249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4:34" x14ac:dyDescent="0.35">
      <c r="Z687" t="s">
        <v>1272</v>
      </c>
      <c r="AA687" t="s">
        <v>1271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4:34" x14ac:dyDescent="0.35">
      <c r="Y688">
        <v>3</v>
      </c>
      <c r="Z688" t="s">
        <v>1317</v>
      </c>
      <c r="AA688" t="s">
        <v>1318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5:34" x14ac:dyDescent="0.35">
      <c r="Z689" t="s">
        <v>1340</v>
      </c>
      <c r="AA689" t="s">
        <v>1339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5:34" x14ac:dyDescent="0.35">
      <c r="Z690" t="s">
        <v>1350</v>
      </c>
      <c r="AA690" t="s">
        <v>1349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5:34" x14ac:dyDescent="0.35">
      <c r="Y691">
        <v>5</v>
      </c>
      <c r="Z691" s="57">
        <v>45063</v>
      </c>
      <c r="AA691" t="s">
        <v>1550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5:34" x14ac:dyDescent="0.35">
      <c r="Y692">
        <v>6</v>
      </c>
      <c r="Z692" s="57">
        <v>45099</v>
      </c>
      <c r="AA692" t="s">
        <v>1648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5:34" x14ac:dyDescent="0.35">
      <c r="Z693" s="57">
        <v>45105</v>
      </c>
      <c r="AA693" t="s">
        <v>1664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5:34" x14ac:dyDescent="0.35">
      <c r="Y694">
        <v>7</v>
      </c>
      <c r="Z694" s="57">
        <v>45118</v>
      </c>
      <c r="AA694" t="s">
        <v>1718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5:34" x14ac:dyDescent="0.35">
      <c r="Z695" s="57">
        <v>45124</v>
      </c>
      <c r="AA695" t="s">
        <v>1722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5:34" x14ac:dyDescent="0.35">
      <c r="Z696" s="57">
        <v>45134</v>
      </c>
      <c r="AA696" t="s">
        <v>1734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5:34" x14ac:dyDescent="0.35">
      <c r="Y697">
        <v>8</v>
      </c>
      <c r="Z697" s="57">
        <v>45163</v>
      </c>
      <c r="AA697" t="s">
        <v>1829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5:34" x14ac:dyDescent="0.35">
      <c r="Y698">
        <v>9</v>
      </c>
      <c r="Z698" s="57">
        <v>45176</v>
      </c>
      <c r="AA698" t="s">
        <v>1888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5:34" x14ac:dyDescent="0.35">
      <c r="Y699">
        <v>10</v>
      </c>
      <c r="Z699" s="57">
        <v>45203</v>
      </c>
      <c r="AA699" t="s">
        <v>1992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5:34" x14ac:dyDescent="0.35">
      <c r="Z700" s="57">
        <v>45224</v>
      </c>
      <c r="AA700" t="s">
        <v>2028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5:34" x14ac:dyDescent="0.35">
      <c r="Y701">
        <v>11</v>
      </c>
      <c r="Z701" s="57">
        <v>45237</v>
      </c>
      <c r="AA701" t="s">
        <v>2153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5:34" x14ac:dyDescent="0.35">
      <c r="Z702" s="57">
        <v>45255</v>
      </c>
      <c r="AA702" t="s">
        <v>2170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5:34" x14ac:dyDescent="0.35">
      <c r="Y703">
        <v>12</v>
      </c>
      <c r="Z703" s="57">
        <v>45262</v>
      </c>
      <c r="AA703" t="s">
        <v>2180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5:34" x14ac:dyDescent="0.35">
      <c r="Z704" s="57">
        <v>45267</v>
      </c>
      <c r="AA704" t="s">
        <v>2183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4:34" x14ac:dyDescent="0.35">
      <c r="Z705" s="57">
        <v>45275</v>
      </c>
      <c r="AA705" t="s">
        <v>2192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4:34" x14ac:dyDescent="0.35">
      <c r="Z706" s="57">
        <v>45278</v>
      </c>
      <c r="AA706" t="s">
        <v>2198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4:34" x14ac:dyDescent="0.35">
      <c r="Z707" s="57">
        <v>45282</v>
      </c>
      <c r="AA707" t="s">
        <v>2208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4:34" x14ac:dyDescent="0.35">
      <c r="Z708" s="57">
        <v>45290</v>
      </c>
      <c r="AA708" t="s">
        <v>2213</v>
      </c>
      <c r="AB708" s="18">
        <v>2423</v>
      </c>
      <c r="AC708" s="18"/>
      <c r="AD708" s="18"/>
      <c r="AE708" s="18"/>
      <c r="AF708" s="18"/>
      <c r="AG708" s="18"/>
      <c r="AH708" s="18">
        <v>2423</v>
      </c>
    </row>
    <row r="709" spans="24:34" x14ac:dyDescent="0.35">
      <c r="Y709">
        <v>4</v>
      </c>
      <c r="Z709" t="s">
        <v>1403</v>
      </c>
      <c r="AA709" t="s">
        <v>1406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4:34" x14ac:dyDescent="0.35">
      <c r="Z710" t="s">
        <v>1428</v>
      </c>
      <c r="AA710" t="s">
        <v>1427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4:34" x14ac:dyDescent="0.35">
      <c r="Z711" t="s">
        <v>1439</v>
      </c>
      <c r="AA711" t="s">
        <v>1438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4:34" x14ac:dyDescent="0.35">
      <c r="Z712" t="s">
        <v>1466</v>
      </c>
      <c r="AA712" t="s">
        <v>1465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4:34" x14ac:dyDescent="0.35">
      <c r="X713">
        <v>2024</v>
      </c>
      <c r="Y713">
        <v>1</v>
      </c>
      <c r="Z713" s="57">
        <v>45296</v>
      </c>
      <c r="AA713" t="s">
        <v>2272</v>
      </c>
      <c r="AB713" s="18">
        <v>2388</v>
      </c>
      <c r="AC713" s="18"/>
      <c r="AD713" s="18"/>
      <c r="AE713" s="18"/>
      <c r="AF713" s="18"/>
      <c r="AG713" s="18"/>
      <c r="AH713" s="18">
        <v>2388</v>
      </c>
    </row>
    <row r="714" spans="24:34" x14ac:dyDescent="0.35">
      <c r="Z714" s="57">
        <v>45306</v>
      </c>
      <c r="AA714" t="s">
        <v>2281</v>
      </c>
      <c r="AB714" s="18">
        <v>2700.5</v>
      </c>
      <c r="AC714" s="18"/>
      <c r="AD714" s="18"/>
      <c r="AE714" s="18"/>
      <c r="AF714" s="18"/>
      <c r="AG714" s="18"/>
      <c r="AH714" s="18">
        <v>2700.5</v>
      </c>
    </row>
    <row r="715" spans="24:34" x14ac:dyDescent="0.35">
      <c r="Y715">
        <v>2</v>
      </c>
      <c r="Z715" s="57">
        <v>45338</v>
      </c>
      <c r="AA715" t="s">
        <v>2356</v>
      </c>
      <c r="AB715" s="18">
        <v>2405.1</v>
      </c>
      <c r="AC715" s="18"/>
      <c r="AD715" s="18"/>
      <c r="AE715" s="18"/>
      <c r="AF715" s="18"/>
      <c r="AG715" s="18"/>
      <c r="AH715" s="18">
        <v>2405.1</v>
      </c>
    </row>
    <row r="716" spans="24:34" x14ac:dyDescent="0.35">
      <c r="Y716">
        <v>3</v>
      </c>
      <c r="Z716" s="57">
        <v>45352</v>
      </c>
      <c r="AA716" t="s">
        <v>2423</v>
      </c>
      <c r="AB716" s="18">
        <v>2613</v>
      </c>
      <c r="AC716" s="18"/>
      <c r="AD716" s="18"/>
      <c r="AE716" s="18"/>
      <c r="AF716" s="18"/>
      <c r="AG716" s="18"/>
      <c r="AH716" s="18">
        <v>2613</v>
      </c>
    </row>
    <row r="717" spans="24:34" x14ac:dyDescent="0.35">
      <c r="Z717" s="57">
        <v>45381</v>
      </c>
      <c r="AA717" t="s">
        <v>2455</v>
      </c>
      <c r="AB717" s="18">
        <v>2665.5</v>
      </c>
      <c r="AC717" s="18"/>
      <c r="AD717" s="18"/>
      <c r="AE717" s="18"/>
      <c r="AF717" s="18"/>
      <c r="AG717" s="18"/>
      <c r="AH717" s="18">
        <v>2665.5</v>
      </c>
    </row>
    <row r="718" spans="24:34" x14ac:dyDescent="0.35">
      <c r="Y718">
        <v>5</v>
      </c>
      <c r="Z718" s="57">
        <v>45432</v>
      </c>
      <c r="AA718" t="s">
        <v>2566</v>
      </c>
      <c r="AB718" s="18">
        <v>2722.5</v>
      </c>
      <c r="AC718" s="18"/>
      <c r="AD718" s="18"/>
      <c r="AE718" s="18"/>
      <c r="AF718" s="18"/>
      <c r="AG718" s="18"/>
      <c r="AH718" s="18">
        <v>2722.5</v>
      </c>
    </row>
    <row r="719" spans="24:34" x14ac:dyDescent="0.35">
      <c r="Z719" s="57">
        <v>45437</v>
      </c>
      <c r="AA719" t="s">
        <v>2567</v>
      </c>
      <c r="AB719" s="18">
        <v>2410</v>
      </c>
      <c r="AC719" s="18"/>
      <c r="AD719" s="18"/>
      <c r="AE719" s="18"/>
      <c r="AF719" s="18"/>
      <c r="AG719" s="18"/>
      <c r="AH719" s="18">
        <v>2410</v>
      </c>
    </row>
    <row r="720" spans="24:34" x14ac:dyDescent="0.35">
      <c r="Y720">
        <v>6</v>
      </c>
      <c r="Z720" s="57">
        <v>45444</v>
      </c>
      <c r="AA720" t="s">
        <v>2636</v>
      </c>
      <c r="AB720" s="18">
        <v>2410</v>
      </c>
      <c r="AC720" s="18"/>
      <c r="AD720" s="18"/>
      <c r="AE720" s="18"/>
      <c r="AF720" s="18"/>
      <c r="AG720" s="18"/>
      <c r="AH720" s="18">
        <v>2410</v>
      </c>
    </row>
    <row r="721" spans="23:34" x14ac:dyDescent="0.35">
      <c r="Y721">
        <v>4</v>
      </c>
      <c r="Z721" s="57">
        <v>45390</v>
      </c>
      <c r="AA721" t="s">
        <v>2510</v>
      </c>
      <c r="AB721" s="18">
        <v>2665.5</v>
      </c>
      <c r="AC721" s="18"/>
      <c r="AD721" s="18"/>
      <c r="AE721" s="18"/>
      <c r="AF721" s="18"/>
      <c r="AG721" s="18"/>
      <c r="AH721" s="18">
        <v>2665.5</v>
      </c>
    </row>
    <row r="722" spans="23:34" x14ac:dyDescent="0.35">
      <c r="Z722" s="57">
        <v>45407</v>
      </c>
      <c r="AA722" t="s">
        <v>2518</v>
      </c>
      <c r="AB722" s="18">
        <v>3180.5</v>
      </c>
      <c r="AC722" s="18"/>
      <c r="AD722" s="18"/>
      <c r="AE722" s="18"/>
      <c r="AF722" s="18"/>
      <c r="AG722" s="18"/>
      <c r="AH722" s="18">
        <v>3180.5</v>
      </c>
    </row>
    <row r="723" spans="23:34" x14ac:dyDescent="0.35">
      <c r="W723" s="36" t="s">
        <v>500</v>
      </c>
      <c r="X723" s="36"/>
      <c r="Y723" s="36"/>
      <c r="Z723" s="36"/>
      <c r="AA723" s="36"/>
      <c r="AB723" s="37">
        <v>28583.599999999999</v>
      </c>
      <c r="AC723" s="37"/>
      <c r="AD723" s="37"/>
      <c r="AE723" s="37"/>
      <c r="AF723" s="37"/>
      <c r="AG723" s="37"/>
      <c r="AH723" s="37">
        <v>28583.599999999999</v>
      </c>
    </row>
    <row r="724" spans="23:34" x14ac:dyDescent="0.35">
      <c r="W724" t="s">
        <v>637</v>
      </c>
      <c r="X724">
        <v>2022</v>
      </c>
      <c r="Y724">
        <v>3</v>
      </c>
      <c r="Z724" s="57">
        <v>44628</v>
      </c>
      <c r="AA724" t="s">
        <v>634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Z725" s="57">
        <v>44629</v>
      </c>
      <c r="AA725" t="s">
        <v>642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Z726" s="57">
        <v>44632</v>
      </c>
      <c r="AA726" t="s">
        <v>644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Y727">
        <v>5</v>
      </c>
      <c r="Z727" s="57">
        <v>44693</v>
      </c>
      <c r="AA727" t="s">
        <v>769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Y728">
        <v>6</v>
      </c>
      <c r="Z728" s="57">
        <v>44715</v>
      </c>
      <c r="AA728" t="s">
        <v>827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Z729" s="57">
        <v>44721</v>
      </c>
      <c r="AA729" t="s">
        <v>832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5">
      <c r="Y730">
        <v>9</v>
      </c>
      <c r="Z730" s="57">
        <v>44830</v>
      </c>
      <c r="AA730" t="s">
        <v>952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AA731" t="s">
        <v>953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Y732">
        <v>11</v>
      </c>
      <c r="Z732" s="57">
        <v>44872</v>
      </c>
      <c r="AA732" t="s">
        <v>1055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12</v>
      </c>
      <c r="Z733" s="57">
        <v>44896</v>
      </c>
      <c r="AA733" t="s">
        <v>1108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s="57">
        <v>44900</v>
      </c>
      <c r="AA734" t="s">
        <v>1116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Z735" s="57">
        <v>44902</v>
      </c>
      <c r="AA735" t="s">
        <v>1120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Z736" s="57">
        <v>44917</v>
      </c>
      <c r="AA736" t="s">
        <v>1130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4:34" x14ac:dyDescent="0.35">
      <c r="Y737">
        <v>4</v>
      </c>
      <c r="Z737" s="57">
        <v>44652</v>
      </c>
      <c r="AA737" t="s">
        <v>684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4:34" x14ac:dyDescent="0.35">
      <c r="Z738" s="57">
        <v>44663</v>
      </c>
      <c r="AA738" t="s">
        <v>691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4:34" x14ac:dyDescent="0.35">
      <c r="X739">
        <v>2023</v>
      </c>
      <c r="Y739">
        <v>1</v>
      </c>
      <c r="Z739" s="57">
        <v>44938</v>
      </c>
      <c r="AA739" t="s">
        <v>1182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4:34" x14ac:dyDescent="0.35">
      <c r="Z740" s="57">
        <v>44944</v>
      </c>
      <c r="AA740" t="s">
        <v>1191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4:34" x14ac:dyDescent="0.35">
      <c r="Z741" s="57">
        <v>44956</v>
      </c>
      <c r="AA741" t="s">
        <v>1205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4:34" x14ac:dyDescent="0.35">
      <c r="Y742">
        <v>2</v>
      </c>
      <c r="Z742" t="s">
        <v>1240</v>
      </c>
      <c r="AA742" t="s">
        <v>1239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4:34" x14ac:dyDescent="0.35">
      <c r="Z743" t="s">
        <v>1246</v>
      </c>
      <c r="AA743" t="s">
        <v>1248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4:34" x14ac:dyDescent="0.35">
      <c r="Z744" t="s">
        <v>1264</v>
      </c>
      <c r="AA744" t="s">
        <v>1268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4:34" x14ac:dyDescent="0.35">
      <c r="Y745">
        <v>3</v>
      </c>
      <c r="Z745" t="s">
        <v>1301</v>
      </c>
      <c r="AA745" t="s">
        <v>1282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4:34" x14ac:dyDescent="0.35">
      <c r="Y746">
        <v>7</v>
      </c>
      <c r="Z746" s="57">
        <v>45111</v>
      </c>
      <c r="AA746" t="s">
        <v>1710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4:34" x14ac:dyDescent="0.35">
      <c r="Y747">
        <v>9</v>
      </c>
      <c r="Z747" s="57">
        <v>45187</v>
      </c>
      <c r="AA747" t="s">
        <v>1905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4:34" x14ac:dyDescent="0.35">
      <c r="Y748">
        <v>10</v>
      </c>
      <c r="Z748" s="57">
        <v>45205</v>
      </c>
      <c r="AA748" t="s">
        <v>1996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4:34" x14ac:dyDescent="0.35">
      <c r="Z749" s="57">
        <v>45209</v>
      </c>
      <c r="AA749" t="s">
        <v>2003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4:34" x14ac:dyDescent="0.35">
      <c r="Z750" t="s">
        <v>2009</v>
      </c>
      <c r="AA750" t="s">
        <v>2011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4:34" x14ac:dyDescent="0.35">
      <c r="Y751">
        <v>12</v>
      </c>
      <c r="Z751" s="57">
        <v>45268</v>
      </c>
      <c r="AA751" t="s">
        <v>2184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4:34" x14ac:dyDescent="0.35">
      <c r="AA752" t="s">
        <v>2185</v>
      </c>
      <c r="AB752" s="18">
        <v>514.19999999999982</v>
      </c>
      <c r="AC752" s="18"/>
      <c r="AD752" s="18"/>
      <c r="AE752" s="18"/>
      <c r="AF752" s="18"/>
      <c r="AG752" s="18"/>
      <c r="AH752" s="18">
        <v>514.19999999999982</v>
      </c>
    </row>
    <row r="753" spans="23:34" x14ac:dyDescent="0.35">
      <c r="Z753" s="57">
        <v>45279</v>
      </c>
      <c r="AA753" t="s">
        <v>2201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AA754" t="s">
        <v>2265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Y755">
        <v>4</v>
      </c>
      <c r="Z755" s="57">
        <v>45019</v>
      </c>
      <c r="AA755" t="s">
        <v>1391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Z756" t="s">
        <v>1414</v>
      </c>
      <c r="AA756" t="s">
        <v>1413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Z757" s="57">
        <v>45030</v>
      </c>
      <c r="AA757" t="s">
        <v>1432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W758" s="36" t="s">
        <v>641</v>
      </c>
      <c r="X758" s="36"/>
      <c r="Y758" s="36"/>
      <c r="Z758" s="36"/>
      <c r="AA758" s="36"/>
      <c r="AB758" s="37">
        <v>514.19999999999982</v>
      </c>
      <c r="AC758" s="37"/>
      <c r="AD758" s="37"/>
      <c r="AE758" s="37"/>
      <c r="AF758" s="37"/>
      <c r="AG758" s="37"/>
      <c r="AH758" s="37">
        <v>514.19999999999982</v>
      </c>
    </row>
    <row r="759" spans="23:34" x14ac:dyDescent="0.35">
      <c r="W759" t="s">
        <v>665</v>
      </c>
      <c r="X759">
        <v>2022</v>
      </c>
      <c r="Y759">
        <v>3</v>
      </c>
      <c r="Z759" s="57">
        <v>44651</v>
      </c>
      <c r="AA759" t="s">
        <v>663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Y760">
        <v>5</v>
      </c>
      <c r="Z760" s="57">
        <v>44687</v>
      </c>
      <c r="AA760" t="s">
        <v>763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Y761">
        <v>6</v>
      </c>
      <c r="Z761" s="57">
        <v>44725</v>
      </c>
      <c r="AA761" t="s">
        <v>835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Y762">
        <v>4</v>
      </c>
      <c r="Z762" s="57">
        <v>44667</v>
      </c>
      <c r="AA762" t="s">
        <v>697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Z763" t="s">
        <v>721</v>
      </c>
      <c r="AA763" t="s">
        <v>720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Z764" s="57">
        <v>44680</v>
      </c>
      <c r="AA764" t="s">
        <v>728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X765">
        <v>2023</v>
      </c>
      <c r="Y765">
        <v>1</v>
      </c>
      <c r="Z765" s="57">
        <v>44932</v>
      </c>
      <c r="AA765" t="s">
        <v>1170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Z766" s="57">
        <v>44935</v>
      </c>
      <c r="AA766" t="s">
        <v>1173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Z767" s="57">
        <v>44937</v>
      </c>
      <c r="AA767" t="s">
        <v>1179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Z768" s="57">
        <v>44939</v>
      </c>
      <c r="AA768" t="s">
        <v>1183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Y769">
        <v>6</v>
      </c>
      <c r="Z769" s="57">
        <v>45084</v>
      </c>
      <c r="AA769" t="s">
        <v>1613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W770" s="36" t="s">
        <v>679</v>
      </c>
      <c r="X770" s="36"/>
      <c r="Y770" s="36"/>
      <c r="Z770" s="36"/>
      <c r="AA770" s="36"/>
      <c r="AB770" s="37">
        <v>0</v>
      </c>
      <c r="AC770" s="37"/>
      <c r="AD770" s="37"/>
      <c r="AE770" s="37"/>
      <c r="AF770" s="37"/>
      <c r="AG770" s="37"/>
      <c r="AH770" s="37">
        <v>0</v>
      </c>
    </row>
    <row r="771" spans="23:34" x14ac:dyDescent="0.35">
      <c r="W771" t="s">
        <v>709</v>
      </c>
      <c r="X771">
        <v>2022</v>
      </c>
      <c r="Y771">
        <v>4</v>
      </c>
      <c r="Z771" s="57">
        <v>44671</v>
      </c>
      <c r="AA771" t="s">
        <v>699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Z772" s="57">
        <v>44672</v>
      </c>
      <c r="AA772" t="s">
        <v>701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W773" s="36" t="s">
        <v>754</v>
      </c>
      <c r="X773" s="36"/>
      <c r="Y773" s="36"/>
      <c r="Z773" s="36"/>
      <c r="AA773" s="36"/>
      <c r="AB773" s="37">
        <v>0</v>
      </c>
      <c r="AC773" s="37"/>
      <c r="AD773" s="37"/>
      <c r="AE773" s="37"/>
      <c r="AF773" s="37"/>
      <c r="AG773" s="37"/>
      <c r="AH773" s="37">
        <v>0</v>
      </c>
    </row>
    <row r="774" spans="23:34" x14ac:dyDescent="0.35">
      <c r="W774" t="s">
        <v>773</v>
      </c>
      <c r="X774">
        <v>2022</v>
      </c>
      <c r="Y774">
        <v>5</v>
      </c>
      <c r="Z774" s="57">
        <v>44693</v>
      </c>
      <c r="AA774" t="s">
        <v>774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Y775">
        <v>4</v>
      </c>
      <c r="Z775" s="57">
        <v>44660</v>
      </c>
      <c r="AA775" t="s">
        <v>690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Z776" s="57">
        <v>44664</v>
      </c>
      <c r="AA776" t="s">
        <v>692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Z777" s="57">
        <v>44666</v>
      </c>
      <c r="AA777" t="s">
        <v>695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W778" s="36" t="s">
        <v>798</v>
      </c>
      <c r="X778" s="36"/>
      <c r="Y778" s="36"/>
      <c r="Z778" s="36"/>
      <c r="AA778" s="36"/>
      <c r="AB778" s="37">
        <v>0</v>
      </c>
      <c r="AC778" s="37"/>
      <c r="AD778" s="37"/>
      <c r="AE778" s="37"/>
      <c r="AF778" s="37"/>
      <c r="AG778" s="37"/>
      <c r="AH778" s="37">
        <v>0</v>
      </c>
    </row>
    <row r="779" spans="23:34" x14ac:dyDescent="0.35">
      <c r="W779" t="s">
        <v>784</v>
      </c>
      <c r="X779">
        <v>2022</v>
      </c>
      <c r="Y779">
        <v>5</v>
      </c>
      <c r="Z779" s="57">
        <v>44702</v>
      </c>
      <c r="AA779" t="s">
        <v>788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Y780">
        <v>8</v>
      </c>
      <c r="Z780" s="57">
        <v>44782</v>
      </c>
      <c r="AA780" t="s">
        <v>898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10</v>
      </c>
      <c r="Z781" s="57">
        <v>44851</v>
      </c>
      <c r="AA781" t="s">
        <v>1004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Y782">
        <v>12</v>
      </c>
      <c r="Z782" t="s">
        <v>1124</v>
      </c>
      <c r="AA782" t="s">
        <v>1125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X783">
        <v>2023</v>
      </c>
      <c r="Y783">
        <v>3</v>
      </c>
      <c r="Z783" t="s">
        <v>1359</v>
      </c>
      <c r="AA783" t="s">
        <v>1358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Y784">
        <v>12</v>
      </c>
      <c r="Z784" s="57">
        <v>45281</v>
      </c>
      <c r="AA784" t="s">
        <v>2205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Z785" s="57">
        <v>45282</v>
      </c>
      <c r="AA785" t="s">
        <v>2207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X786">
        <v>2024</v>
      </c>
      <c r="Y786">
        <v>2</v>
      </c>
      <c r="Z786" s="57">
        <v>45328</v>
      </c>
      <c r="AA786" t="s">
        <v>2351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Z787" s="57">
        <v>45342</v>
      </c>
      <c r="AA787" t="s">
        <v>2359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Z788" s="57">
        <v>45349</v>
      </c>
      <c r="AA788" t="s">
        <v>2371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Y789">
        <v>3</v>
      </c>
      <c r="Z789" s="57">
        <v>45358</v>
      </c>
      <c r="AA789" t="s">
        <v>2431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Y790">
        <v>5</v>
      </c>
      <c r="Z790" s="57">
        <v>45419</v>
      </c>
      <c r="AA790" t="s">
        <v>2553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Y791">
        <v>8</v>
      </c>
      <c r="Z791" s="57">
        <v>45511</v>
      </c>
      <c r="AA791" t="s">
        <v>2853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X792">
        <v>2025</v>
      </c>
      <c r="Y792">
        <v>3</v>
      </c>
      <c r="Z792" s="57">
        <v>45735</v>
      </c>
      <c r="AA792" t="s">
        <v>3538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W793" s="36" t="s">
        <v>799</v>
      </c>
      <c r="X793" s="36"/>
      <c r="Y793" s="36"/>
      <c r="Z793" s="36"/>
      <c r="AA793" s="36"/>
      <c r="AB793" s="37">
        <v>0</v>
      </c>
      <c r="AC793" s="37"/>
      <c r="AD793" s="37"/>
      <c r="AE793" s="37"/>
      <c r="AF793" s="37"/>
      <c r="AG793" s="37"/>
      <c r="AH793" s="37">
        <v>0</v>
      </c>
    </row>
    <row r="794" spans="23:34" x14ac:dyDescent="0.35">
      <c r="W794" t="s">
        <v>859</v>
      </c>
      <c r="X794">
        <v>2022</v>
      </c>
      <c r="Y794">
        <v>7</v>
      </c>
      <c r="Z794" s="57">
        <v>44756</v>
      </c>
      <c r="AA794" t="s">
        <v>861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3:34" x14ac:dyDescent="0.35">
      <c r="Y795">
        <v>8</v>
      </c>
      <c r="Z795" s="57">
        <v>44777</v>
      </c>
      <c r="AA795" t="s">
        <v>891</v>
      </c>
      <c r="AB795" s="18">
        <v>0.20000000000004547</v>
      </c>
      <c r="AC795" s="18"/>
      <c r="AD795" s="18"/>
      <c r="AE795" s="18"/>
      <c r="AF795" s="18"/>
      <c r="AG795" s="18"/>
      <c r="AH795" s="18">
        <v>0.20000000000004547</v>
      </c>
    </row>
    <row r="796" spans="23:34" x14ac:dyDescent="0.35">
      <c r="Z796" s="57">
        <v>44796</v>
      </c>
      <c r="AA796" t="s">
        <v>909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Z797" s="57">
        <v>44798</v>
      </c>
      <c r="AA797" t="s">
        <v>914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Y798">
        <v>9</v>
      </c>
      <c r="Z798" s="57">
        <v>44832</v>
      </c>
      <c r="AA798" t="s">
        <v>955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Y799">
        <v>11</v>
      </c>
      <c r="Z799" s="57">
        <v>44879</v>
      </c>
      <c r="AA799" t="s">
        <v>1065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X800">
        <v>2023</v>
      </c>
      <c r="Y800">
        <v>2</v>
      </c>
      <c r="Z800" t="s">
        <v>1278</v>
      </c>
      <c r="AA800" t="s">
        <v>1276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5">
      <c r="Y801">
        <v>5</v>
      </c>
      <c r="Z801" s="57">
        <v>45052</v>
      </c>
      <c r="AA801" t="s">
        <v>1534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5">
      <c r="Y802">
        <v>7</v>
      </c>
      <c r="Z802" s="57">
        <v>45113</v>
      </c>
      <c r="AA802" t="s">
        <v>1711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5">
      <c r="Y803">
        <v>11</v>
      </c>
      <c r="Z803" s="57">
        <v>45257</v>
      </c>
      <c r="AA803" t="s">
        <v>2171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Y804">
        <v>4</v>
      </c>
      <c r="Z804" s="57">
        <v>45020</v>
      </c>
      <c r="AA804" t="s">
        <v>1400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Z805" t="s">
        <v>1401</v>
      </c>
      <c r="AA805" t="s">
        <v>1400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X806">
        <v>2024</v>
      </c>
      <c r="Y806">
        <v>6</v>
      </c>
      <c r="Z806" s="57">
        <v>45455</v>
      </c>
      <c r="AA806" t="s">
        <v>2644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Y807">
        <v>7</v>
      </c>
      <c r="Z807" s="57">
        <v>45475</v>
      </c>
      <c r="AA807" t="s">
        <v>2750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Z808" s="57">
        <v>45502</v>
      </c>
      <c r="AA808" t="s">
        <v>2771</v>
      </c>
      <c r="AB808" s="18">
        <v>6023.3</v>
      </c>
      <c r="AC808" s="18"/>
      <c r="AD808" s="18"/>
      <c r="AE808" s="18"/>
      <c r="AF808" s="18"/>
      <c r="AG808" s="18"/>
      <c r="AH808" s="18">
        <v>6023.3</v>
      </c>
    </row>
    <row r="809" spans="23:34" x14ac:dyDescent="0.35">
      <c r="Y809">
        <v>8</v>
      </c>
      <c r="Z809" s="57">
        <v>45525</v>
      </c>
      <c r="AA809" t="s">
        <v>2867</v>
      </c>
      <c r="AB809" s="18">
        <v>8026.4</v>
      </c>
      <c r="AC809" s="18"/>
      <c r="AD809" s="18"/>
      <c r="AE809" s="18"/>
      <c r="AF809" s="18"/>
      <c r="AG809" s="18"/>
      <c r="AH809" s="18">
        <v>8026.4</v>
      </c>
    </row>
    <row r="810" spans="23:34" x14ac:dyDescent="0.35">
      <c r="X810">
        <v>2025</v>
      </c>
      <c r="Y810">
        <v>1</v>
      </c>
      <c r="Z810" s="57">
        <v>45664</v>
      </c>
      <c r="AA810" t="s">
        <v>3338</v>
      </c>
      <c r="AB810" s="18">
        <v>6518.2</v>
      </c>
      <c r="AC810" s="18"/>
      <c r="AD810" s="18"/>
      <c r="AE810" s="18"/>
      <c r="AF810" s="18"/>
      <c r="AG810" s="18"/>
      <c r="AH810" s="18">
        <v>6518.2</v>
      </c>
    </row>
    <row r="811" spans="23:34" x14ac:dyDescent="0.35">
      <c r="Z811" s="57">
        <v>45678</v>
      </c>
      <c r="AA811" t="s">
        <v>3353</v>
      </c>
      <c r="AB811" s="18">
        <v>5710.7</v>
      </c>
      <c r="AC811" s="18"/>
      <c r="AD811" s="18"/>
      <c r="AE811" s="18"/>
      <c r="AF811" s="18"/>
      <c r="AG811" s="18"/>
      <c r="AH811" s="18">
        <v>5710.7</v>
      </c>
    </row>
    <row r="812" spans="23:34" x14ac:dyDescent="0.35">
      <c r="Y812">
        <v>7</v>
      </c>
      <c r="Z812" t="s">
        <v>4044</v>
      </c>
      <c r="AA812" t="s">
        <v>4045</v>
      </c>
      <c r="AB812" s="18">
        <v>7321.7999999999993</v>
      </c>
      <c r="AC812" s="18"/>
      <c r="AD812" s="18"/>
      <c r="AE812" s="18"/>
      <c r="AF812" s="18"/>
      <c r="AG812" s="18"/>
      <c r="AH812" s="18">
        <v>7321.7999999999993</v>
      </c>
    </row>
    <row r="813" spans="23:34" x14ac:dyDescent="0.35">
      <c r="W813" s="36" t="s">
        <v>874</v>
      </c>
      <c r="X813" s="36"/>
      <c r="Y813" s="36"/>
      <c r="Z813" s="36"/>
      <c r="AA813" s="36"/>
      <c r="AB813" s="37">
        <v>33600.6</v>
      </c>
      <c r="AC813" s="37"/>
      <c r="AD813" s="37"/>
      <c r="AE813" s="37"/>
      <c r="AF813" s="37"/>
      <c r="AG813" s="37"/>
      <c r="AH813" s="37">
        <v>33600.6</v>
      </c>
    </row>
    <row r="814" spans="23:34" x14ac:dyDescent="0.35">
      <c r="W814" t="s">
        <v>958</v>
      </c>
      <c r="X814">
        <v>2022</v>
      </c>
      <c r="Y814">
        <v>9</v>
      </c>
      <c r="Z814" s="57">
        <v>44813</v>
      </c>
      <c r="AA814" t="s">
        <v>930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Z815" s="57">
        <v>44832</v>
      </c>
      <c r="AA815" t="s">
        <v>956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X816">
        <v>2023</v>
      </c>
      <c r="Y816">
        <v>1</v>
      </c>
      <c r="Z816" s="57">
        <v>44940</v>
      </c>
      <c r="AA816" t="s">
        <v>1188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W817" s="36" t="s">
        <v>985</v>
      </c>
      <c r="X817" s="36"/>
      <c r="Y817" s="36"/>
      <c r="Z817" s="36"/>
      <c r="AA817" s="36"/>
      <c r="AB817" s="37">
        <v>0</v>
      </c>
      <c r="AC817" s="37"/>
      <c r="AD817" s="37"/>
      <c r="AE817" s="37"/>
      <c r="AF817" s="37"/>
      <c r="AG817" s="37"/>
      <c r="AH817" s="37">
        <v>0</v>
      </c>
    </row>
    <row r="818" spans="23:34" x14ac:dyDescent="0.35">
      <c r="W818" t="s">
        <v>1044</v>
      </c>
      <c r="X818" t="s">
        <v>1763</v>
      </c>
      <c r="Y818" t="s">
        <v>1763</v>
      </c>
      <c r="Z818" s="57">
        <v>44788</v>
      </c>
      <c r="AA818" t="s">
        <v>900</v>
      </c>
      <c r="AB818" s="18"/>
      <c r="AC818" s="18"/>
      <c r="AD818" s="18"/>
      <c r="AE818" s="18"/>
      <c r="AF818" s="18">
        <v>0</v>
      </c>
      <c r="AG818" s="18"/>
      <c r="AH818" s="18">
        <v>0</v>
      </c>
    </row>
    <row r="819" spans="23:34" x14ac:dyDescent="0.35">
      <c r="Z819" s="57">
        <v>45220</v>
      </c>
      <c r="AA819" t="s">
        <v>2019</v>
      </c>
      <c r="AB819" s="18"/>
      <c r="AC819" s="18"/>
      <c r="AD819" s="18"/>
      <c r="AE819" s="18"/>
      <c r="AF819" s="18">
        <v>0</v>
      </c>
      <c r="AG819" s="18"/>
      <c r="AH819" s="18">
        <v>0</v>
      </c>
    </row>
    <row r="820" spans="23:34" x14ac:dyDescent="0.35">
      <c r="W820" s="36" t="s">
        <v>1045</v>
      </c>
      <c r="X820" s="36"/>
      <c r="Y820" s="36"/>
      <c r="Z820" s="36"/>
      <c r="AA820" s="36"/>
      <c r="AB820" s="37"/>
      <c r="AC820" s="37"/>
      <c r="AD820" s="37"/>
      <c r="AE820" s="37"/>
      <c r="AF820" s="37">
        <v>0</v>
      </c>
      <c r="AG820" s="37"/>
      <c r="AH820" s="37">
        <v>0</v>
      </c>
    </row>
    <row r="821" spans="23:34" x14ac:dyDescent="0.35">
      <c r="W821" t="s">
        <v>1051</v>
      </c>
      <c r="X821">
        <v>2022</v>
      </c>
      <c r="Y821">
        <v>11</v>
      </c>
      <c r="Z821" s="57">
        <v>44870</v>
      </c>
      <c r="AA821" t="s">
        <v>1053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Z822" t="s">
        <v>1070</v>
      </c>
      <c r="AA822" t="s">
        <v>1071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Y823">
        <v>12</v>
      </c>
      <c r="Z823" s="57">
        <v>44896</v>
      </c>
      <c r="AA823" t="s">
        <v>1106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W824" s="36" t="s">
        <v>1088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>
        <v>0</v>
      </c>
    </row>
    <row r="825" spans="23:34" x14ac:dyDescent="0.35">
      <c r="W825" t="s">
        <v>1057</v>
      </c>
      <c r="X825">
        <v>2022</v>
      </c>
      <c r="Y825">
        <v>11</v>
      </c>
      <c r="Z825" s="57">
        <v>44873</v>
      </c>
      <c r="AA825" t="s">
        <v>1062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W826" s="36" t="s">
        <v>1089</v>
      </c>
      <c r="X826" s="36"/>
      <c r="Y826" s="36"/>
      <c r="Z826" s="36"/>
      <c r="AA826" s="36"/>
      <c r="AB826" s="37">
        <v>0</v>
      </c>
      <c r="AC826" s="37"/>
      <c r="AD826" s="37"/>
      <c r="AE826" s="37"/>
      <c r="AF826" s="37"/>
      <c r="AG826" s="37"/>
      <c r="AH826" s="37">
        <v>0</v>
      </c>
    </row>
    <row r="827" spans="23:34" x14ac:dyDescent="0.35">
      <c r="W827" t="s">
        <v>1101</v>
      </c>
      <c r="X827">
        <v>2022</v>
      </c>
      <c r="Y827">
        <v>11</v>
      </c>
      <c r="Z827" s="57">
        <v>44895</v>
      </c>
      <c r="AA827" t="s">
        <v>1096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W828" s="36" t="s">
        <v>1104</v>
      </c>
      <c r="X828" s="36"/>
      <c r="Y828" s="36"/>
      <c r="Z828" s="36"/>
      <c r="AA828" s="36"/>
      <c r="AB828" s="37">
        <v>0</v>
      </c>
      <c r="AC828" s="37"/>
      <c r="AD828" s="37"/>
      <c r="AE828" s="37"/>
      <c r="AF828" s="37"/>
      <c r="AG828" s="37"/>
      <c r="AH828" s="37">
        <v>0</v>
      </c>
    </row>
    <row r="829" spans="23:34" x14ac:dyDescent="0.35">
      <c r="W829" t="s">
        <v>1100</v>
      </c>
      <c r="X829">
        <v>2022</v>
      </c>
      <c r="Y829">
        <v>11</v>
      </c>
      <c r="Z829" s="57">
        <v>44895</v>
      </c>
      <c r="AA829" t="s">
        <v>1097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W830" s="36" t="s">
        <v>1105</v>
      </c>
      <c r="X830" s="36"/>
      <c r="Y830" s="36"/>
      <c r="Z830" s="36"/>
      <c r="AA830" s="36"/>
      <c r="AB830" s="37">
        <v>0</v>
      </c>
      <c r="AC830" s="37"/>
      <c r="AD830" s="37"/>
      <c r="AE830" s="37"/>
      <c r="AF830" s="37"/>
      <c r="AG830" s="37"/>
      <c r="AH830" s="37">
        <v>0</v>
      </c>
    </row>
    <row r="831" spans="23:34" x14ac:dyDescent="0.35">
      <c r="W831" t="s">
        <v>1196</v>
      </c>
      <c r="X831">
        <v>2023</v>
      </c>
      <c r="Y831">
        <v>1</v>
      </c>
      <c r="Z831" s="57">
        <v>44953</v>
      </c>
      <c r="AA831" t="s">
        <v>1203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5">
      <c r="Y832">
        <v>2</v>
      </c>
      <c r="Z832" s="57">
        <v>44958</v>
      </c>
      <c r="AA832" t="s">
        <v>1234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5">
      <c r="Z833" t="s">
        <v>1240</v>
      </c>
      <c r="AA833" t="s">
        <v>1244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5">
      <c r="Y834">
        <v>3</v>
      </c>
      <c r="Z834" t="s">
        <v>1350</v>
      </c>
      <c r="AA834" t="s">
        <v>1353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5">
      <c r="Z835" t="s">
        <v>1355</v>
      </c>
      <c r="AA835" t="s">
        <v>1354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5">
      <c r="Z836" t="s">
        <v>1362</v>
      </c>
      <c r="AA836" t="s">
        <v>1363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5">
      <c r="AA837" t="s">
        <v>1364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5">
      <c r="Y838">
        <v>5</v>
      </c>
      <c r="Z838" s="57">
        <v>45048</v>
      </c>
      <c r="AA838" t="s">
        <v>1530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5">
      <c r="Z839" s="57">
        <v>45054</v>
      </c>
      <c r="AA839" t="s">
        <v>1535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5">
      <c r="Z840" t="s">
        <v>1552</v>
      </c>
      <c r="AA840" t="s">
        <v>1553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5">
      <c r="Z841" s="57">
        <v>45066</v>
      </c>
      <c r="AA841" t="s">
        <v>1554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5">
      <c r="Z842" s="57">
        <v>45076</v>
      </c>
      <c r="AA842" t="s">
        <v>1562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5">
      <c r="Y843">
        <v>6</v>
      </c>
      <c r="Z843" t="s">
        <v>1611</v>
      </c>
      <c r="AA843" t="s">
        <v>1609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5">
      <c r="Z844" s="57">
        <v>45086</v>
      </c>
      <c r="AA844" t="s">
        <v>1622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5">
      <c r="Z845" t="s">
        <v>1625</v>
      </c>
      <c r="AA845" t="s">
        <v>1623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5">
      <c r="Z846" s="57">
        <v>45092</v>
      </c>
      <c r="AA846" t="s">
        <v>1632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5">
      <c r="Z847" s="57">
        <v>45097</v>
      </c>
      <c r="AA847" t="s">
        <v>1646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5">
      <c r="Z848" t="s">
        <v>1645</v>
      </c>
      <c r="AA848" t="s">
        <v>1644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5">
      <c r="Z849" s="57">
        <v>45099</v>
      </c>
      <c r="AA849" t="s">
        <v>1649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5">
      <c r="Z850" t="s">
        <v>1663</v>
      </c>
      <c r="AA850" t="s">
        <v>1662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5">
      <c r="Y851">
        <v>7</v>
      </c>
      <c r="Z851" s="57">
        <v>45110</v>
      </c>
      <c r="AA851" t="s">
        <v>1707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5">
      <c r="AA852" t="s">
        <v>1709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5">
      <c r="Z853" s="57">
        <v>45117</v>
      </c>
      <c r="AA853" t="s">
        <v>1717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5">
      <c r="Z854" t="s">
        <v>1721</v>
      </c>
      <c r="AA854" t="s">
        <v>1720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5">
      <c r="Z855" s="57">
        <v>45131</v>
      </c>
      <c r="AA855" t="s">
        <v>1729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5">
      <c r="Y856">
        <v>8</v>
      </c>
      <c r="Z856" s="57">
        <v>45139</v>
      </c>
      <c r="AA856" t="s">
        <v>1791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5">
      <c r="Z857" s="57">
        <v>45145</v>
      </c>
      <c r="AA857" t="s">
        <v>1807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5">
      <c r="Z858" s="57">
        <v>45152</v>
      </c>
      <c r="AA858" t="s">
        <v>1810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5">
      <c r="Z859" s="57">
        <v>45154</v>
      </c>
      <c r="AA859" t="s">
        <v>1816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5">
      <c r="Z860" s="57">
        <v>45161</v>
      </c>
      <c r="AA860" t="s">
        <v>1827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5">
      <c r="Z861" s="57">
        <v>45162</v>
      </c>
      <c r="AA861" t="s">
        <v>1828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5">
      <c r="Z862" s="57">
        <v>45166</v>
      </c>
      <c r="AA862" t="s">
        <v>1832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5">
      <c r="Y863">
        <v>9</v>
      </c>
      <c r="Z863" t="s">
        <v>1878</v>
      </c>
      <c r="AA863" t="s">
        <v>1879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5">
      <c r="Z864" s="57">
        <v>45174</v>
      </c>
      <c r="AA864" t="s">
        <v>1884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3:34" x14ac:dyDescent="0.35">
      <c r="Z865" s="57">
        <v>45181</v>
      </c>
      <c r="AA865" t="s">
        <v>1897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3:34" x14ac:dyDescent="0.35">
      <c r="Z866" s="57">
        <v>45195</v>
      </c>
      <c r="AA866" t="s">
        <v>1919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5">
      <c r="Z867" s="57">
        <v>45198</v>
      </c>
      <c r="AA867" t="s">
        <v>1924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5">
      <c r="Y868">
        <v>10</v>
      </c>
      <c r="Z868" t="s">
        <v>2004</v>
      </c>
      <c r="AA868" t="s">
        <v>2007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3:34" x14ac:dyDescent="0.35">
      <c r="Z869" s="57">
        <v>45226</v>
      </c>
      <c r="AA869" t="s">
        <v>2033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3:34" x14ac:dyDescent="0.35">
      <c r="Y870">
        <v>11</v>
      </c>
      <c r="Z870" s="57">
        <v>45234</v>
      </c>
      <c r="AA870" t="s">
        <v>2150</v>
      </c>
      <c r="AB870" s="18">
        <v>2576.3000000000002</v>
      </c>
      <c r="AC870" s="18"/>
      <c r="AD870" s="18"/>
      <c r="AE870" s="18"/>
      <c r="AF870" s="18"/>
      <c r="AG870" s="18"/>
      <c r="AH870" s="18">
        <v>2576.3000000000002</v>
      </c>
    </row>
    <row r="871" spans="23:34" x14ac:dyDescent="0.35">
      <c r="Y871">
        <v>4</v>
      </c>
      <c r="Z871" s="57">
        <v>45019</v>
      </c>
      <c r="AA871" t="s">
        <v>1394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3:34" x14ac:dyDescent="0.35">
      <c r="Z872" t="s">
        <v>1417</v>
      </c>
      <c r="AA872" t="s">
        <v>1416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3:34" x14ac:dyDescent="0.35">
      <c r="W873" s="36" t="s">
        <v>1232</v>
      </c>
      <c r="X873" s="36"/>
      <c r="Y873" s="36"/>
      <c r="Z873" s="36"/>
      <c r="AA873" s="36"/>
      <c r="AB873" s="37">
        <v>2576.3000000000002</v>
      </c>
      <c r="AC873" s="37"/>
      <c r="AD873" s="37"/>
      <c r="AE873" s="37"/>
      <c r="AF873" s="37"/>
      <c r="AG873" s="37"/>
      <c r="AH873" s="37">
        <v>2576.3000000000002</v>
      </c>
    </row>
    <row r="874" spans="23:34" x14ac:dyDescent="0.35">
      <c r="W874" t="s">
        <v>1257</v>
      </c>
      <c r="X874">
        <v>2023</v>
      </c>
      <c r="Y874">
        <v>2</v>
      </c>
      <c r="Z874" s="57">
        <v>44972</v>
      </c>
      <c r="AA874" t="s">
        <v>1262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3:34" x14ac:dyDescent="0.35">
      <c r="Y875">
        <v>4</v>
      </c>
      <c r="Z875" t="s">
        <v>1398</v>
      </c>
      <c r="AA875" t="s">
        <v>1395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3:34" x14ac:dyDescent="0.35">
      <c r="W876" s="36" t="s">
        <v>1387</v>
      </c>
      <c r="X876" s="36"/>
      <c r="Y876" s="36"/>
      <c r="Z876" s="36"/>
      <c r="AA876" s="36"/>
      <c r="AB876" s="37">
        <v>0</v>
      </c>
      <c r="AC876" s="37"/>
      <c r="AD876" s="37"/>
      <c r="AE876" s="37"/>
      <c r="AF876" s="37"/>
      <c r="AG876" s="37"/>
      <c r="AH876" s="37">
        <v>0</v>
      </c>
    </row>
    <row r="877" spans="23:34" x14ac:dyDescent="0.35">
      <c r="W877" t="s">
        <v>1304</v>
      </c>
      <c r="X877">
        <v>2023</v>
      </c>
      <c r="Y877">
        <v>3</v>
      </c>
      <c r="Z877" t="s">
        <v>1303</v>
      </c>
      <c r="AA877" t="s">
        <v>1306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3:34" x14ac:dyDescent="0.35">
      <c r="Z878" t="s">
        <v>1317</v>
      </c>
      <c r="AA878" t="s">
        <v>1313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3:34" x14ac:dyDescent="0.35">
      <c r="W879" s="36" t="s">
        <v>1388</v>
      </c>
      <c r="X879" s="36"/>
      <c r="Y879" s="36"/>
      <c r="Z879" s="36"/>
      <c r="AA879" s="36"/>
      <c r="AB879" s="37">
        <v>0</v>
      </c>
      <c r="AC879" s="37"/>
      <c r="AD879" s="37"/>
      <c r="AE879" s="37"/>
      <c r="AF879" s="37"/>
      <c r="AG879" s="37"/>
      <c r="AH879" s="37">
        <v>0</v>
      </c>
    </row>
    <row r="880" spans="23:34" x14ac:dyDescent="0.35">
      <c r="W880" t="s">
        <v>1309</v>
      </c>
      <c r="X880">
        <v>2023</v>
      </c>
      <c r="Y880">
        <v>5</v>
      </c>
      <c r="Z880" t="s">
        <v>1430</v>
      </c>
      <c r="AA880" t="s">
        <v>1429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4:34" x14ac:dyDescent="0.35">
      <c r="Y881">
        <v>6</v>
      </c>
      <c r="Z881" s="57">
        <v>45048</v>
      </c>
      <c r="AA881" t="s">
        <v>1529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4:34" x14ac:dyDescent="0.35">
      <c r="Z882" s="57">
        <v>45061</v>
      </c>
      <c r="AA882" t="s">
        <v>1544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4:34" x14ac:dyDescent="0.35">
      <c r="Y883">
        <v>7</v>
      </c>
      <c r="Z883" t="s">
        <v>1640</v>
      </c>
      <c r="AA883" t="s">
        <v>1641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4:34" x14ac:dyDescent="0.35">
      <c r="Z884" s="57">
        <v>45098</v>
      </c>
      <c r="AA884" t="s">
        <v>1647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4:34" x14ac:dyDescent="0.35">
      <c r="Y885">
        <v>8</v>
      </c>
      <c r="Z885" s="57">
        <v>45118</v>
      </c>
      <c r="AA885" t="s">
        <v>1719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4:34" x14ac:dyDescent="0.35">
      <c r="Z886" s="57">
        <v>45128</v>
      </c>
      <c r="AA886" t="s">
        <v>1728</v>
      </c>
      <c r="AB886" s="18"/>
      <c r="AC886" s="18"/>
      <c r="AD886" s="18"/>
      <c r="AE886" s="18"/>
      <c r="AF886" s="18"/>
      <c r="AG886" s="18">
        <v>0</v>
      </c>
      <c r="AH886" s="18">
        <v>0</v>
      </c>
    </row>
    <row r="887" spans="24:34" x14ac:dyDescent="0.35">
      <c r="Y887">
        <v>9</v>
      </c>
      <c r="Z887" s="57">
        <v>45146</v>
      </c>
      <c r="AA887" t="s">
        <v>1808</v>
      </c>
      <c r="AB887" s="18"/>
      <c r="AC887" s="18"/>
      <c r="AD887" s="18"/>
      <c r="AE887" s="18"/>
      <c r="AF887" s="18"/>
      <c r="AG887" s="18">
        <v>0</v>
      </c>
      <c r="AH887" s="18">
        <v>0</v>
      </c>
    </row>
    <row r="888" spans="24:34" x14ac:dyDescent="0.35">
      <c r="Z888" s="57">
        <v>45160</v>
      </c>
      <c r="AA888" t="s">
        <v>1823</v>
      </c>
      <c r="AB888" s="18"/>
      <c r="AC888" s="18"/>
      <c r="AD888" s="18"/>
      <c r="AE888" s="18"/>
      <c r="AF888" s="18"/>
      <c r="AG888" s="18">
        <v>0</v>
      </c>
      <c r="AH888" s="18">
        <v>0</v>
      </c>
    </row>
    <row r="889" spans="24:34" x14ac:dyDescent="0.35">
      <c r="Y889">
        <v>10</v>
      </c>
      <c r="Z889" s="57">
        <v>45191</v>
      </c>
      <c r="AA889" t="s">
        <v>1913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4:34" x14ac:dyDescent="0.35">
      <c r="Y890">
        <v>11</v>
      </c>
      <c r="Z890" s="57">
        <v>45229</v>
      </c>
      <c r="AA890" t="s">
        <v>2036</v>
      </c>
      <c r="AB890" s="18"/>
      <c r="AC890" s="18"/>
      <c r="AD890" s="18"/>
      <c r="AE890" s="18"/>
      <c r="AF890" s="18"/>
      <c r="AG890" s="18">
        <v>0</v>
      </c>
      <c r="AH890" s="18">
        <v>0</v>
      </c>
    </row>
    <row r="891" spans="24:34" x14ac:dyDescent="0.35">
      <c r="Y891">
        <v>4</v>
      </c>
      <c r="Z891" t="s">
        <v>1308</v>
      </c>
      <c r="AA891" t="s">
        <v>1312</v>
      </c>
      <c r="AB891" s="18"/>
      <c r="AC891" s="18"/>
      <c r="AD891" s="18"/>
      <c r="AE891" s="18"/>
      <c r="AF891" s="18"/>
      <c r="AG891" s="18">
        <v>0</v>
      </c>
      <c r="AH891" s="18">
        <v>0</v>
      </c>
    </row>
    <row r="892" spans="24:34" x14ac:dyDescent="0.35">
      <c r="Z892" t="s">
        <v>1345</v>
      </c>
      <c r="AA892" t="s">
        <v>1344</v>
      </c>
      <c r="AB892" s="18"/>
      <c r="AC892" s="18"/>
      <c r="AD892" s="18"/>
      <c r="AE892" s="18"/>
      <c r="AF892" s="18"/>
      <c r="AG892" s="18">
        <v>0</v>
      </c>
      <c r="AH892" s="18">
        <v>0</v>
      </c>
    </row>
    <row r="893" spans="24:34" x14ac:dyDescent="0.35">
      <c r="Z893" t="s">
        <v>1362</v>
      </c>
      <c r="AA893" t="s">
        <v>1361</v>
      </c>
      <c r="AB893" s="18"/>
      <c r="AC893" s="18"/>
      <c r="AD893" s="18"/>
      <c r="AE893" s="18"/>
      <c r="AF893" s="18"/>
      <c r="AG893" s="18">
        <v>0</v>
      </c>
      <c r="AH893" s="18">
        <v>0</v>
      </c>
    </row>
    <row r="894" spans="24:34" x14ac:dyDescent="0.35">
      <c r="X894">
        <v>2024</v>
      </c>
      <c r="Y894">
        <v>1</v>
      </c>
      <c r="Z894" s="57">
        <v>45280</v>
      </c>
      <c r="AA894" t="s">
        <v>2202</v>
      </c>
      <c r="AB894" s="18"/>
      <c r="AC894" s="18"/>
      <c r="AD894" s="18"/>
      <c r="AE894" s="18"/>
      <c r="AF894" s="18"/>
      <c r="AG894" s="18">
        <v>0</v>
      </c>
      <c r="AH894" s="18">
        <v>0</v>
      </c>
    </row>
    <row r="895" spans="24:34" x14ac:dyDescent="0.35">
      <c r="Y895">
        <v>3</v>
      </c>
      <c r="Z895" s="57">
        <v>45324</v>
      </c>
      <c r="AA895" t="s">
        <v>2343</v>
      </c>
      <c r="AB895" s="18"/>
      <c r="AC895" s="18"/>
      <c r="AD895" s="18"/>
      <c r="AE895" s="18"/>
      <c r="AF895" s="18"/>
      <c r="AG895" s="18">
        <v>0</v>
      </c>
      <c r="AH895" s="18">
        <v>0</v>
      </c>
    </row>
    <row r="896" spans="24:34" x14ac:dyDescent="0.35">
      <c r="Y896">
        <v>6</v>
      </c>
      <c r="Z896" s="57">
        <v>45421</v>
      </c>
      <c r="AA896" t="s">
        <v>2554</v>
      </c>
      <c r="AB896" s="18"/>
      <c r="AC896" s="18"/>
      <c r="AD896" s="18"/>
      <c r="AE896" s="18"/>
      <c r="AF896" s="18"/>
      <c r="AG896" s="18">
        <v>0</v>
      </c>
      <c r="AH896" s="18">
        <v>0</v>
      </c>
    </row>
    <row r="897" spans="23:34" x14ac:dyDescent="0.35">
      <c r="Y897">
        <v>7</v>
      </c>
      <c r="Z897" s="57">
        <v>45451</v>
      </c>
      <c r="AA897" t="s">
        <v>2643</v>
      </c>
      <c r="AB897" s="18"/>
      <c r="AC897" s="18"/>
      <c r="AD897" s="18"/>
      <c r="AE897" s="18"/>
      <c r="AF897" s="18"/>
      <c r="AG897" s="18">
        <v>0</v>
      </c>
      <c r="AH897" s="18">
        <v>0</v>
      </c>
    </row>
    <row r="898" spans="23:34" x14ac:dyDescent="0.35">
      <c r="Y898">
        <v>9</v>
      </c>
      <c r="Z898" s="57">
        <v>45506</v>
      </c>
      <c r="AA898" t="s">
        <v>2840</v>
      </c>
      <c r="AB898" s="18"/>
      <c r="AC898" s="18"/>
      <c r="AD898" s="18"/>
      <c r="AE898" s="18"/>
      <c r="AF898" s="18"/>
      <c r="AG898" s="18">
        <v>0</v>
      </c>
      <c r="AH898" s="18">
        <v>0</v>
      </c>
    </row>
    <row r="899" spans="23:34" x14ac:dyDescent="0.35">
      <c r="Y899">
        <v>11</v>
      </c>
      <c r="Z899" s="57">
        <v>45582</v>
      </c>
      <c r="AA899" t="s">
        <v>3018</v>
      </c>
      <c r="AB899" s="18"/>
      <c r="AC899" s="18"/>
      <c r="AD899" s="18"/>
      <c r="AE899" s="18"/>
      <c r="AF899" s="18"/>
      <c r="AG899" s="18">
        <v>0</v>
      </c>
      <c r="AH899" s="18">
        <v>0</v>
      </c>
    </row>
    <row r="900" spans="23:34" x14ac:dyDescent="0.35">
      <c r="Y900">
        <v>4</v>
      </c>
      <c r="Z900" s="57">
        <v>45371</v>
      </c>
      <c r="AA900" t="s">
        <v>2447</v>
      </c>
      <c r="AB900" s="18"/>
      <c r="AC900" s="18"/>
      <c r="AD900" s="18"/>
      <c r="AE900" s="18"/>
      <c r="AF900" s="18"/>
      <c r="AG900" s="18">
        <v>0</v>
      </c>
      <c r="AH900" s="18">
        <v>0</v>
      </c>
    </row>
    <row r="901" spans="23:34" x14ac:dyDescent="0.35">
      <c r="X901">
        <v>2025</v>
      </c>
      <c r="Y901">
        <v>1</v>
      </c>
      <c r="Z901" t="s">
        <v>3256</v>
      </c>
      <c r="AA901" t="s">
        <v>3257</v>
      </c>
      <c r="AB901" s="18"/>
      <c r="AC901" s="18"/>
      <c r="AD901" s="18"/>
      <c r="AE901" s="18"/>
      <c r="AF901" s="18"/>
      <c r="AG901" s="18">
        <v>9395.5</v>
      </c>
      <c r="AH901" s="18">
        <v>9395.5</v>
      </c>
    </row>
    <row r="902" spans="23:34" x14ac:dyDescent="0.35">
      <c r="Y902">
        <v>3</v>
      </c>
      <c r="Z902" s="57">
        <v>45707</v>
      </c>
      <c r="AA902" t="s">
        <v>3460</v>
      </c>
      <c r="AB902" s="18"/>
      <c r="AC902" s="18"/>
      <c r="AD902" s="18"/>
      <c r="AE902" s="18"/>
      <c r="AF902" s="18"/>
      <c r="AG902" s="18">
        <v>9168.5</v>
      </c>
      <c r="AH902" s="18">
        <v>9168.5</v>
      </c>
    </row>
    <row r="903" spans="23:34" x14ac:dyDescent="0.35">
      <c r="Y903">
        <v>5</v>
      </c>
      <c r="Z903" t="s">
        <v>3622</v>
      </c>
      <c r="AA903" t="s">
        <v>3624</v>
      </c>
      <c r="AB903" s="18"/>
      <c r="AC903" s="18"/>
      <c r="AD903" s="18"/>
      <c r="AE903" s="18"/>
      <c r="AF903" s="18"/>
      <c r="AG903" s="18">
        <v>96</v>
      </c>
      <c r="AH903" s="18">
        <v>96</v>
      </c>
    </row>
    <row r="904" spans="23:34" x14ac:dyDescent="0.35">
      <c r="Y904">
        <v>4</v>
      </c>
      <c r="Z904" s="57">
        <v>45723</v>
      </c>
      <c r="AA904" t="s">
        <v>3520</v>
      </c>
      <c r="AB904" s="18"/>
      <c r="AC904" s="18"/>
      <c r="AD904" s="18"/>
      <c r="AE904" s="18"/>
      <c r="AF904" s="18"/>
      <c r="AG904" s="18">
        <v>0</v>
      </c>
      <c r="AH904" s="18">
        <v>0</v>
      </c>
    </row>
    <row r="905" spans="23:34" x14ac:dyDescent="0.35">
      <c r="W905" s="36" t="s">
        <v>1389</v>
      </c>
      <c r="X905" s="36"/>
      <c r="Y905" s="36"/>
      <c r="Z905" s="36"/>
      <c r="AA905" s="36"/>
      <c r="AB905" s="37"/>
      <c r="AC905" s="37"/>
      <c r="AD905" s="37"/>
      <c r="AE905" s="37"/>
      <c r="AF905" s="37"/>
      <c r="AG905" s="37">
        <v>18660</v>
      </c>
      <c r="AH905" s="37">
        <v>18660</v>
      </c>
    </row>
    <row r="906" spans="23:34" x14ac:dyDescent="0.35">
      <c r="W906" t="s">
        <v>1420</v>
      </c>
      <c r="X906">
        <v>2023</v>
      </c>
      <c r="Y906">
        <v>5</v>
      </c>
      <c r="Z906" s="57">
        <v>45063</v>
      </c>
      <c r="AA906" t="s">
        <v>1548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5">
      <c r="Z907" s="57">
        <v>45071</v>
      </c>
      <c r="AA907" t="s">
        <v>1558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Y908">
        <v>6</v>
      </c>
      <c r="Z908" t="s">
        <v>1607</v>
      </c>
      <c r="AA908" t="s">
        <v>1606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Z909" s="57">
        <v>45092</v>
      </c>
      <c r="AA909" t="s">
        <v>1629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Y910">
        <v>7</v>
      </c>
      <c r="Z910" s="57">
        <v>45132</v>
      </c>
      <c r="AA910" t="s">
        <v>1730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5">
      <c r="Y911">
        <v>4</v>
      </c>
      <c r="Z911" t="s">
        <v>1426</v>
      </c>
      <c r="AA911" t="s">
        <v>1422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W912" s="36" t="s">
        <v>1436</v>
      </c>
      <c r="X912" s="36"/>
      <c r="Y912" s="36"/>
      <c r="Z912" s="36"/>
      <c r="AA912" s="36"/>
      <c r="AB912" s="37">
        <v>0</v>
      </c>
      <c r="AC912" s="37"/>
      <c r="AD912" s="37"/>
      <c r="AE912" s="37"/>
      <c r="AF912" s="37"/>
      <c r="AG912" s="37"/>
      <c r="AH912" s="37">
        <v>0</v>
      </c>
    </row>
    <row r="913" spans="23:34" x14ac:dyDescent="0.35">
      <c r="W913" t="s">
        <v>1453</v>
      </c>
      <c r="X913">
        <v>2021</v>
      </c>
      <c r="Y913">
        <v>1</v>
      </c>
      <c r="Z913" s="57">
        <v>44200</v>
      </c>
      <c r="AA913" t="s">
        <v>226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Z914" s="57">
        <v>44204</v>
      </c>
      <c r="AA914" t="s">
        <v>242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5">
      <c r="Z915" s="57">
        <v>44214</v>
      </c>
      <c r="AA915" t="s">
        <v>246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Y916">
        <v>2</v>
      </c>
      <c r="Z916" s="57">
        <v>44236</v>
      </c>
      <c r="AA916" t="s">
        <v>265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5">
      <c r="Y917">
        <v>5</v>
      </c>
      <c r="Z917" s="57">
        <v>44341</v>
      </c>
      <c r="AA917" t="s">
        <v>317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Y918">
        <v>10</v>
      </c>
      <c r="Z918" s="57">
        <v>44480</v>
      </c>
      <c r="AA918" t="s">
        <v>410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5">
      <c r="Y919">
        <v>12</v>
      </c>
      <c r="Z919" s="57">
        <v>44540</v>
      </c>
      <c r="AA919" t="s">
        <v>502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5">
      <c r="X920">
        <v>2023</v>
      </c>
      <c r="Y920">
        <v>5</v>
      </c>
      <c r="Z920" s="57">
        <v>45063</v>
      </c>
      <c r="AA920" t="s">
        <v>1551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5">
      <c r="Z921" t="s">
        <v>1552</v>
      </c>
      <c r="AA921" t="s">
        <v>1551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5">
      <c r="Y922">
        <v>6</v>
      </c>
      <c r="Z922" t="s">
        <v>1636</v>
      </c>
      <c r="AA922" t="s">
        <v>1635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5">
      <c r="Z923" t="s">
        <v>1640</v>
      </c>
      <c r="AA923" t="s">
        <v>1635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Z924" s="57">
        <v>45103</v>
      </c>
      <c r="AA924" t="s">
        <v>1652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3:34" x14ac:dyDescent="0.35">
      <c r="Y925">
        <v>7</v>
      </c>
      <c r="Z925" s="57">
        <v>45138</v>
      </c>
      <c r="AA925" t="s">
        <v>1747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Y926">
        <v>9</v>
      </c>
      <c r="Z926" t="s">
        <v>1878</v>
      </c>
      <c r="AA926" t="s">
        <v>1880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5">
      <c r="Z927" s="57">
        <v>45188</v>
      </c>
      <c r="AA927" t="s">
        <v>1909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5">
      <c r="Y928">
        <v>10</v>
      </c>
      <c r="Z928" s="57">
        <v>45202</v>
      </c>
      <c r="AA928" t="s">
        <v>1990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5">
      <c r="Y929">
        <v>11</v>
      </c>
      <c r="Z929" s="57">
        <v>45231</v>
      </c>
      <c r="AA929" t="s">
        <v>2091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5">
      <c r="Y930">
        <v>4</v>
      </c>
      <c r="Z930" t="s">
        <v>1455</v>
      </c>
      <c r="AA930" t="s">
        <v>1454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5">
      <c r="X931">
        <v>2025</v>
      </c>
      <c r="Y931">
        <v>3</v>
      </c>
      <c r="Z931" s="57">
        <v>45720</v>
      </c>
      <c r="AA931" t="s">
        <v>3505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5">
      <c r="Z932" s="57">
        <v>45730</v>
      </c>
      <c r="AA932" t="s">
        <v>3528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5">
      <c r="W933" s="36" t="s">
        <v>1528</v>
      </c>
      <c r="X933" s="36"/>
      <c r="Y933" s="36"/>
      <c r="Z933" s="36"/>
      <c r="AA933" s="36"/>
      <c r="AB933" s="37">
        <v>0</v>
      </c>
      <c r="AC933" s="37"/>
      <c r="AD933" s="37"/>
      <c r="AE933" s="37"/>
      <c r="AF933" s="37"/>
      <c r="AG933" s="37"/>
      <c r="AH933" s="37">
        <v>0</v>
      </c>
    </row>
    <row r="934" spans="23:34" x14ac:dyDescent="0.35">
      <c r="W934" t="s">
        <v>1697</v>
      </c>
      <c r="X934">
        <v>2021</v>
      </c>
      <c r="Y934">
        <v>9</v>
      </c>
      <c r="Z934" s="57">
        <v>44440</v>
      </c>
      <c r="AA934" t="s">
        <v>363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5">
      <c r="W935" s="36" t="s">
        <v>1789</v>
      </c>
      <c r="X935" s="36"/>
      <c r="Y935" s="36"/>
      <c r="Z935" s="36"/>
      <c r="AA935" s="36"/>
      <c r="AB935" s="37">
        <v>0</v>
      </c>
      <c r="AC935" s="37"/>
      <c r="AD935" s="37"/>
      <c r="AE935" s="37"/>
      <c r="AF935" s="37"/>
      <c r="AG935" s="37"/>
      <c r="AH935" s="37">
        <v>0</v>
      </c>
    </row>
    <row r="936" spans="23:34" x14ac:dyDescent="0.35">
      <c r="W936" t="s">
        <v>1620</v>
      </c>
      <c r="X936">
        <v>2023</v>
      </c>
      <c r="Y936">
        <v>6</v>
      </c>
      <c r="Z936" s="57">
        <v>45085</v>
      </c>
      <c r="AA936" t="s">
        <v>1618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Y937">
        <v>8</v>
      </c>
      <c r="Z937" s="57">
        <v>45153</v>
      </c>
      <c r="AA937" t="s">
        <v>1811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X938">
        <v>2025</v>
      </c>
      <c r="Y938">
        <v>4</v>
      </c>
      <c r="Z938" t="s">
        <v>3657</v>
      </c>
      <c r="AA938" t="s">
        <v>3659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5">
      <c r="W939" s="36" t="s">
        <v>1790</v>
      </c>
      <c r="X939" s="36"/>
      <c r="Y939" s="36"/>
      <c r="Z939" s="36"/>
      <c r="AA939" s="36"/>
      <c r="AB939" s="37">
        <v>0</v>
      </c>
      <c r="AC939" s="37"/>
      <c r="AD939" s="37"/>
      <c r="AE939" s="37"/>
      <c r="AF939" s="37"/>
      <c r="AG939" s="37"/>
      <c r="AH939" s="37">
        <v>0</v>
      </c>
    </row>
    <row r="940" spans="23:34" x14ac:dyDescent="0.35">
      <c r="W940" t="s">
        <v>1702</v>
      </c>
      <c r="X940">
        <v>2023</v>
      </c>
      <c r="Y940">
        <v>9</v>
      </c>
      <c r="Z940" s="57">
        <v>45178</v>
      </c>
      <c r="AA940" t="s">
        <v>1893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W941" s="36" t="s">
        <v>1986</v>
      </c>
      <c r="X941" s="36"/>
      <c r="Y941" s="36"/>
      <c r="Z941" s="36"/>
      <c r="AA941" s="36"/>
      <c r="AB941" s="37">
        <v>0</v>
      </c>
      <c r="AC941" s="37"/>
      <c r="AD941" s="37"/>
      <c r="AE941" s="37"/>
      <c r="AF941" s="37"/>
      <c r="AG941" s="37"/>
      <c r="AH941" s="37">
        <v>0</v>
      </c>
    </row>
    <row r="942" spans="23:34" x14ac:dyDescent="0.35">
      <c r="W942" t="s">
        <v>1704</v>
      </c>
      <c r="X942">
        <v>2023</v>
      </c>
      <c r="Y942">
        <v>9</v>
      </c>
      <c r="Z942" s="57">
        <v>45180</v>
      </c>
      <c r="AA942" t="s">
        <v>1896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Y943">
        <v>12</v>
      </c>
      <c r="Z943" s="57">
        <v>45261</v>
      </c>
      <c r="AA943" t="s">
        <v>2178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X944">
        <v>2024</v>
      </c>
      <c r="Y944">
        <v>10</v>
      </c>
      <c r="Z944" s="57">
        <v>45580</v>
      </c>
      <c r="AA944" t="s">
        <v>3015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3:34" x14ac:dyDescent="0.35">
      <c r="Y945">
        <v>11</v>
      </c>
      <c r="Z945" s="57">
        <v>45601</v>
      </c>
      <c r="AA945" t="s">
        <v>3107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5">
      <c r="Z946" s="57">
        <v>45622</v>
      </c>
      <c r="AA946" t="s">
        <v>3139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5">
      <c r="Y947">
        <v>4</v>
      </c>
      <c r="Z947" s="57">
        <v>45411</v>
      </c>
      <c r="AA947" t="s">
        <v>2522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5">
      <c r="X948">
        <v>2025</v>
      </c>
      <c r="Y948">
        <v>2</v>
      </c>
      <c r="Z948" s="57">
        <v>45700</v>
      </c>
      <c r="AA948" t="s">
        <v>3451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5">
      <c r="Y949">
        <v>6</v>
      </c>
      <c r="Z949" t="s">
        <v>3861</v>
      </c>
      <c r="AA949" t="s">
        <v>3863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5">
      <c r="W950" s="36" t="s">
        <v>1987</v>
      </c>
      <c r="X950" s="36"/>
      <c r="Y950" s="36"/>
      <c r="Z950" s="36"/>
      <c r="AA950" s="36"/>
      <c r="AB950" s="37">
        <v>0</v>
      </c>
      <c r="AC950" s="37"/>
      <c r="AD950" s="37"/>
      <c r="AE950" s="37"/>
      <c r="AF950" s="37"/>
      <c r="AG950" s="37"/>
      <c r="AH950" s="37">
        <v>0</v>
      </c>
    </row>
    <row r="951" spans="23:34" x14ac:dyDescent="0.35">
      <c r="W951" t="s">
        <v>2012</v>
      </c>
      <c r="X951">
        <v>2023</v>
      </c>
      <c r="Y951">
        <v>10</v>
      </c>
      <c r="Z951" s="57">
        <v>45216</v>
      </c>
      <c r="AA951" t="s">
        <v>2013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5">
      <c r="AA952" t="s">
        <v>2014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5">
      <c r="Z953" t="s">
        <v>2018</v>
      </c>
      <c r="AA953" t="s">
        <v>2017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5">
      <c r="Z954" s="57">
        <v>45224</v>
      </c>
      <c r="AA954" t="s">
        <v>2020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3:34" x14ac:dyDescent="0.35">
      <c r="AA955" t="s">
        <v>2021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5">
      <c r="Z956" s="57">
        <v>45225</v>
      </c>
      <c r="AA956" t="s">
        <v>2031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3:34" x14ac:dyDescent="0.35">
      <c r="Z957" s="57">
        <v>45227</v>
      </c>
      <c r="AA957" t="s">
        <v>2034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5">
      <c r="AA958" t="s">
        <v>2035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5">
      <c r="Z959" s="57">
        <v>45229</v>
      </c>
      <c r="AA959" t="s">
        <v>2090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5">
      <c r="Y960">
        <v>11</v>
      </c>
      <c r="Z960" s="57">
        <v>45236</v>
      </c>
      <c r="AA960" t="s">
        <v>2151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5">
      <c r="AA961" t="s">
        <v>2152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5">
      <c r="Z962" s="57">
        <v>45240</v>
      </c>
      <c r="AA962" t="s">
        <v>2155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5">
      <c r="AA963" t="s">
        <v>2156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5">
      <c r="Z964" s="57">
        <v>45245</v>
      </c>
      <c r="AA964" t="s">
        <v>2157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5">
      <c r="Z965" s="57">
        <v>45247</v>
      </c>
      <c r="AA965" t="s">
        <v>2162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5">
      <c r="AA966" t="s">
        <v>2163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5">
      <c r="Z967" s="57">
        <v>45251</v>
      </c>
      <c r="AA967" t="s">
        <v>2165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5">
      <c r="AA968" t="s">
        <v>2166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5">
      <c r="Z969" s="57">
        <v>45254</v>
      </c>
      <c r="AA969" t="s">
        <v>2168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5">
      <c r="AA970" t="s">
        <v>2169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5">
      <c r="Z971" s="57">
        <v>45258</v>
      </c>
      <c r="AA971" t="s">
        <v>2172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5">
      <c r="AA972" t="s">
        <v>2173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5">
      <c r="Y973">
        <v>12</v>
      </c>
      <c r="Z973" s="57">
        <v>45261</v>
      </c>
      <c r="AA973" t="s">
        <v>2176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5">
      <c r="AA974" t="s">
        <v>2177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5">
      <c r="Z975" s="57">
        <v>45264</v>
      </c>
      <c r="AA975" t="s">
        <v>2181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5">
      <c r="AA976" t="s">
        <v>2182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4:34" x14ac:dyDescent="0.35">
      <c r="Z977" s="57">
        <v>45269</v>
      </c>
      <c r="AA977" t="s">
        <v>2187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4:34" x14ac:dyDescent="0.35">
      <c r="AA978" t="s">
        <v>2188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4:34" x14ac:dyDescent="0.35">
      <c r="Z979" s="57">
        <v>45274</v>
      </c>
      <c r="AA979" t="s">
        <v>2190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4:34" x14ac:dyDescent="0.35">
      <c r="Z980" s="57">
        <v>45275</v>
      </c>
      <c r="AA980" t="s">
        <v>2191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4:34" x14ac:dyDescent="0.35">
      <c r="Z981" s="57">
        <v>45276</v>
      </c>
      <c r="AA981" t="s">
        <v>2196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4:34" x14ac:dyDescent="0.35">
      <c r="AA982" t="s">
        <v>2197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4:34" x14ac:dyDescent="0.35">
      <c r="Z983" s="57">
        <v>45281</v>
      </c>
      <c r="AA983" t="s">
        <v>2203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4:34" x14ac:dyDescent="0.35">
      <c r="AA984" t="s">
        <v>2204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4:34" x14ac:dyDescent="0.35">
      <c r="Z985" s="57">
        <v>45287</v>
      </c>
      <c r="AA985" t="s">
        <v>2209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4:34" x14ac:dyDescent="0.35">
      <c r="AA986" t="s">
        <v>2210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4:34" x14ac:dyDescent="0.35">
      <c r="Z987" s="57">
        <v>45290</v>
      </c>
      <c r="AA987" t="s">
        <v>2211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4:34" x14ac:dyDescent="0.35">
      <c r="AA988" t="s">
        <v>2212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4:34" x14ac:dyDescent="0.35">
      <c r="X989">
        <v>2024</v>
      </c>
      <c r="Y989">
        <v>1</v>
      </c>
      <c r="Z989" s="57">
        <v>45301</v>
      </c>
      <c r="AA989" t="s">
        <v>2277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4:34" x14ac:dyDescent="0.35">
      <c r="AA990" t="s">
        <v>2278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4:34" x14ac:dyDescent="0.35">
      <c r="Z991" s="57">
        <v>45311</v>
      </c>
      <c r="AA991" t="s">
        <v>2287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4:34" x14ac:dyDescent="0.35">
      <c r="AA992" t="s">
        <v>2288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5">
      <c r="Z993" s="57">
        <v>45320</v>
      </c>
      <c r="AA993" t="s">
        <v>2298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5">
      <c r="AA994" t="s">
        <v>2299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5">
      <c r="Z995" s="57">
        <v>45322</v>
      </c>
      <c r="AA995" t="s">
        <v>2300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5">
      <c r="AA996" t="s">
        <v>2301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5">
      <c r="Y997">
        <v>2</v>
      </c>
      <c r="Z997" s="57">
        <v>45325</v>
      </c>
      <c r="AA997" t="s">
        <v>2345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5">
      <c r="AA998" t="s">
        <v>2346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5">
      <c r="AA999" t="s">
        <v>2347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5">
      <c r="Z1000" s="57">
        <v>45328</v>
      </c>
      <c r="AA1000" t="s">
        <v>2349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5">
      <c r="AA1001" t="s">
        <v>2350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5">
      <c r="Z1002" s="57">
        <v>45341</v>
      </c>
      <c r="AA1002" t="s">
        <v>2357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5">
      <c r="Z1003" s="57">
        <v>45342</v>
      </c>
      <c r="AA1003" t="s">
        <v>2358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5">
      <c r="Z1004" s="57">
        <v>45348</v>
      </c>
      <c r="AA1004" t="s">
        <v>2368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5">
      <c r="AA1005" t="s">
        <v>2369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5">
      <c r="Z1006" s="57">
        <v>45350</v>
      </c>
      <c r="AA1006" t="s">
        <v>2372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5">
      <c r="Y1007">
        <v>3</v>
      </c>
      <c r="Z1007" s="57">
        <v>45356</v>
      </c>
      <c r="AA1007" t="s">
        <v>2426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5">
      <c r="AA1008" t="s">
        <v>2427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5">
      <c r="Z1009" s="57">
        <v>45364</v>
      </c>
      <c r="AA1009" t="s">
        <v>2435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5">
      <c r="AA1010" t="s">
        <v>2436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5">
      <c r="Z1011" s="57">
        <v>45367</v>
      </c>
      <c r="AA1011" t="s">
        <v>2443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5">
      <c r="AA1012" t="s">
        <v>2444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5">
      <c r="Z1013" s="57">
        <v>45370</v>
      </c>
      <c r="AA1013" t="s">
        <v>2445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5">
      <c r="AA1014" t="s">
        <v>2446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5">
      <c r="Z1015" s="57">
        <v>45380</v>
      </c>
      <c r="AA1015" t="s">
        <v>2453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5">
      <c r="AA1016" t="s">
        <v>2454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5">
      <c r="Y1017">
        <v>5</v>
      </c>
      <c r="Z1017" s="57">
        <v>45416</v>
      </c>
      <c r="AA1017" t="s">
        <v>2550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5">
      <c r="AA1018" t="s">
        <v>2551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5">
      <c r="Z1019" s="57">
        <v>45421</v>
      </c>
      <c r="AA1019" t="s">
        <v>2559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5">
      <c r="AA1020" t="s">
        <v>2560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5">
      <c r="Z1021" s="57">
        <v>45426</v>
      </c>
      <c r="AA1021" t="s">
        <v>2563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5">
      <c r="Z1022" s="57">
        <v>45429</v>
      </c>
      <c r="AA1022" t="s">
        <v>2564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5">
      <c r="AA1023" t="s">
        <v>2565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5">
      <c r="Z1024" s="57">
        <v>45441</v>
      </c>
      <c r="AA1024" t="s">
        <v>2576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5">
      <c r="AA1025" t="s">
        <v>2577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5">
      <c r="Y1026">
        <v>6</v>
      </c>
      <c r="Z1026" s="57">
        <v>45449</v>
      </c>
      <c r="AA1026" t="s">
        <v>2640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5">
      <c r="AA1027" t="s">
        <v>2641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5">
      <c r="Z1028" s="57">
        <v>45455</v>
      </c>
      <c r="AA1028" t="s">
        <v>2645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5">
      <c r="AA1029" t="s">
        <v>2647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5">
      <c r="Z1030" s="57">
        <v>45457</v>
      </c>
      <c r="AA1030" t="s">
        <v>2648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5">
      <c r="AA1031" t="s">
        <v>2649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5">
      <c r="Z1032" s="57">
        <v>45471</v>
      </c>
      <c r="AA1032" t="s">
        <v>2664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5">
      <c r="AA1033" t="s">
        <v>2665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5">
      <c r="Y1034">
        <v>7</v>
      </c>
      <c r="Z1034" s="57">
        <v>45482</v>
      </c>
      <c r="AA1034" t="s">
        <v>2757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5">
      <c r="AA1035" t="s">
        <v>2758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5">
      <c r="Z1036" s="57">
        <v>45498</v>
      </c>
      <c r="AA1036" t="s">
        <v>2768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5">
      <c r="AA1037" t="s">
        <v>2769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5">
      <c r="Z1038" s="57">
        <v>45500</v>
      </c>
      <c r="AA1038" t="s">
        <v>2772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5">
      <c r="Y1039">
        <v>8</v>
      </c>
      <c r="Z1039" s="57">
        <v>45509</v>
      </c>
      <c r="AA1039" t="s">
        <v>2841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5">
      <c r="Z1040" s="57">
        <v>45511</v>
      </c>
      <c r="AA1040" t="s">
        <v>2851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5">
      <c r="AA1041" t="s">
        <v>2852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5">
      <c r="Z1042" s="57">
        <v>45516</v>
      </c>
      <c r="AA1042" t="s">
        <v>2857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5">
      <c r="Z1043" s="57">
        <v>45521</v>
      </c>
      <c r="AA1043" t="s">
        <v>2862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5">
      <c r="AA1044" t="s">
        <v>2863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5">
      <c r="Z1045" s="57">
        <v>45525</v>
      </c>
      <c r="AA1045" t="s">
        <v>2865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5">
      <c r="AA1046" t="s">
        <v>2866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5">
      <c r="Z1047" s="57">
        <v>45532</v>
      </c>
      <c r="AA1047" t="s">
        <v>2873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5">
      <c r="AA1048" t="s">
        <v>2874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5">
      <c r="Y1049">
        <v>9</v>
      </c>
      <c r="Z1049" s="57">
        <v>45537</v>
      </c>
      <c r="AA1049" t="s">
        <v>2935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5">
      <c r="AA1050" t="s">
        <v>2936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5">
      <c r="Z1051" s="57">
        <v>45541</v>
      </c>
      <c r="AA1051" t="s">
        <v>2941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5">
      <c r="AA1052" t="s">
        <v>2942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5">
      <c r="Z1053" s="57">
        <v>45549</v>
      </c>
      <c r="AA1053" t="s">
        <v>2947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5">
      <c r="AA1054" t="s">
        <v>2948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5">
      <c r="Z1055" s="57">
        <v>45556</v>
      </c>
      <c r="AA1055" t="s">
        <v>2949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5">
      <c r="AA1056" t="s">
        <v>2950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5">
      <c r="Z1057" s="57">
        <v>45558</v>
      </c>
      <c r="AA1057" t="s">
        <v>2952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5">
      <c r="AA1058" t="s">
        <v>2953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5">
      <c r="Z1059" s="57">
        <v>45563</v>
      </c>
      <c r="AA1059" t="s">
        <v>2957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5">
      <c r="AA1060" t="s">
        <v>2958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5">
      <c r="Y1061">
        <v>10</v>
      </c>
      <c r="Z1061" s="57">
        <v>45569</v>
      </c>
      <c r="AA1061" t="s">
        <v>3007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5">
      <c r="Z1062" s="57">
        <v>45574</v>
      </c>
      <c r="AA1062" t="s">
        <v>3009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5">
      <c r="AA1063" t="s">
        <v>3010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5">
      <c r="Z1064" s="57">
        <v>45577</v>
      </c>
      <c r="AA1064" t="s">
        <v>3012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5">
      <c r="AA1065" t="s">
        <v>3013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5">
      <c r="Z1066" s="57">
        <v>45580</v>
      </c>
      <c r="AA1066" t="s">
        <v>3016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5">
      <c r="AA1067" t="s">
        <v>3017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5">
      <c r="Z1068" s="57">
        <v>45587</v>
      </c>
      <c r="AA1068" t="s">
        <v>3024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5:34" x14ac:dyDescent="0.35">
      <c r="AA1069" t="s">
        <v>3025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5:34" x14ac:dyDescent="0.35">
      <c r="Z1070" s="57">
        <v>45591</v>
      </c>
      <c r="AA1070" t="s">
        <v>3029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5:34" x14ac:dyDescent="0.35">
      <c r="AA1071" t="s">
        <v>3030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5:34" x14ac:dyDescent="0.35">
      <c r="Y1072">
        <v>11</v>
      </c>
      <c r="Z1072" s="57">
        <v>45597</v>
      </c>
      <c r="AA1072" t="s">
        <v>3104</v>
      </c>
      <c r="AB1072" s="18">
        <v>0</v>
      </c>
      <c r="AC1072" s="18"/>
      <c r="AD1072" s="18"/>
      <c r="AE1072" s="18"/>
      <c r="AF1072" s="18"/>
      <c r="AG1072" s="18"/>
      <c r="AH1072" s="18">
        <v>0</v>
      </c>
    </row>
    <row r="1073" spans="25:34" x14ac:dyDescent="0.35">
      <c r="Z1073" s="57">
        <v>45598</v>
      </c>
      <c r="AA1073" t="s">
        <v>3103</v>
      </c>
      <c r="AB1073" s="18">
        <v>0</v>
      </c>
      <c r="AC1073" s="18"/>
      <c r="AD1073" s="18"/>
      <c r="AE1073" s="18"/>
      <c r="AF1073" s="18"/>
      <c r="AG1073" s="18"/>
      <c r="AH1073" s="18">
        <v>0</v>
      </c>
    </row>
    <row r="1074" spans="25:34" x14ac:dyDescent="0.35">
      <c r="Z1074" s="57">
        <v>45601</v>
      </c>
      <c r="AA1074" t="s">
        <v>3110</v>
      </c>
      <c r="AB1074" s="18">
        <v>0</v>
      </c>
      <c r="AC1074" s="18"/>
      <c r="AD1074" s="18"/>
      <c r="AE1074" s="18"/>
      <c r="AF1074" s="18"/>
      <c r="AG1074" s="18"/>
      <c r="AH1074" s="18">
        <v>0</v>
      </c>
    </row>
    <row r="1075" spans="25:34" x14ac:dyDescent="0.35">
      <c r="Z1075" s="57">
        <v>45603</v>
      </c>
      <c r="AA1075" t="s">
        <v>3111</v>
      </c>
      <c r="AB1075" s="18">
        <v>0</v>
      </c>
      <c r="AC1075" s="18"/>
      <c r="AD1075" s="18"/>
      <c r="AE1075" s="18"/>
      <c r="AF1075" s="18"/>
      <c r="AG1075" s="18"/>
      <c r="AH1075" s="18">
        <v>0</v>
      </c>
    </row>
    <row r="1076" spans="25:34" x14ac:dyDescent="0.35">
      <c r="AA1076" t="s">
        <v>3112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5:34" x14ac:dyDescent="0.35">
      <c r="Z1077" s="57">
        <v>45612</v>
      </c>
      <c r="AA1077" t="s">
        <v>3127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5:34" x14ac:dyDescent="0.35">
      <c r="AA1078" t="s">
        <v>3128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5:34" x14ac:dyDescent="0.35">
      <c r="Z1079" s="57">
        <v>45616</v>
      </c>
      <c r="AA1079" t="s">
        <v>3130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5:34" x14ac:dyDescent="0.35">
      <c r="AA1080" t="s">
        <v>3131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5:34" x14ac:dyDescent="0.35">
      <c r="Z1081" s="57">
        <v>45623</v>
      </c>
      <c r="AA1081" t="s">
        <v>3142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5:34" x14ac:dyDescent="0.35">
      <c r="AA1082" t="s">
        <v>3143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5:34" x14ac:dyDescent="0.35">
      <c r="Y1083">
        <v>12</v>
      </c>
      <c r="Z1083" s="57">
        <v>45628</v>
      </c>
      <c r="AA1083" t="s">
        <v>3210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5:34" x14ac:dyDescent="0.35">
      <c r="AA1084" t="s">
        <v>3211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5:34" x14ac:dyDescent="0.35">
      <c r="Z1085" s="57">
        <v>45631</v>
      </c>
      <c r="AA1085" t="s">
        <v>3215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5:34" x14ac:dyDescent="0.35">
      <c r="AA1086" t="s">
        <v>3216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5:34" x14ac:dyDescent="0.35">
      <c r="Z1087" s="57">
        <v>45633</v>
      </c>
      <c r="AA1087" t="s">
        <v>3222</v>
      </c>
      <c r="AB1087" s="18">
        <v>0</v>
      </c>
      <c r="AC1087" s="18"/>
      <c r="AD1087" s="18"/>
      <c r="AE1087" s="18"/>
      <c r="AF1087" s="18"/>
      <c r="AG1087" s="18"/>
      <c r="AH1087" s="18">
        <v>0</v>
      </c>
    </row>
    <row r="1088" spans="25:34" x14ac:dyDescent="0.35">
      <c r="Z1088" t="s">
        <v>3223</v>
      </c>
      <c r="AA1088" t="s">
        <v>3227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4:34" x14ac:dyDescent="0.35">
      <c r="AA1089" t="s">
        <v>3228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4:34" x14ac:dyDescent="0.35">
      <c r="Z1090" t="s">
        <v>3240</v>
      </c>
      <c r="AA1090" t="s">
        <v>3241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4:34" x14ac:dyDescent="0.35">
      <c r="AA1091" t="s">
        <v>3242</v>
      </c>
      <c r="AB1091" s="18">
        <v>0</v>
      </c>
      <c r="AC1091" s="18"/>
      <c r="AD1091" s="18"/>
      <c r="AE1091" s="18"/>
      <c r="AF1091" s="18"/>
      <c r="AG1091" s="18"/>
      <c r="AH1091" s="18">
        <v>0</v>
      </c>
    </row>
    <row r="1092" spans="24:34" x14ac:dyDescent="0.35">
      <c r="Z1092" t="s">
        <v>3247</v>
      </c>
      <c r="AA1092" t="s">
        <v>3249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4:34" x14ac:dyDescent="0.35">
      <c r="AA1093" t="s">
        <v>3250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4:34" x14ac:dyDescent="0.35">
      <c r="Z1094" t="s">
        <v>3262</v>
      </c>
      <c r="AA1094" t="s">
        <v>3263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4:34" x14ac:dyDescent="0.35">
      <c r="AA1095" t="s">
        <v>3264</v>
      </c>
      <c r="AB1095" s="18">
        <v>0</v>
      </c>
      <c r="AC1095" s="18"/>
      <c r="AD1095" s="18"/>
      <c r="AE1095" s="18"/>
      <c r="AF1095" s="18"/>
      <c r="AG1095" s="18"/>
      <c r="AH1095" s="18">
        <v>0</v>
      </c>
    </row>
    <row r="1096" spans="24:34" x14ac:dyDescent="0.35">
      <c r="Z1096" t="s">
        <v>3271</v>
      </c>
      <c r="AA1096" t="s">
        <v>3273</v>
      </c>
      <c r="AB1096" s="18">
        <v>0</v>
      </c>
      <c r="AC1096" s="18"/>
      <c r="AD1096" s="18"/>
      <c r="AE1096" s="18"/>
      <c r="AF1096" s="18"/>
      <c r="AG1096" s="18"/>
      <c r="AH1096" s="18">
        <v>0</v>
      </c>
    </row>
    <row r="1097" spans="24:34" x14ac:dyDescent="0.35">
      <c r="Y1097">
        <v>4</v>
      </c>
      <c r="Z1097" s="57">
        <v>45388</v>
      </c>
      <c r="AA1097" t="s">
        <v>2511</v>
      </c>
      <c r="AB1097" s="18">
        <v>0</v>
      </c>
      <c r="AC1097" s="18"/>
      <c r="AD1097" s="18"/>
      <c r="AE1097" s="18"/>
      <c r="AF1097" s="18"/>
      <c r="AG1097" s="18"/>
      <c r="AH1097" s="18">
        <v>0</v>
      </c>
    </row>
    <row r="1098" spans="24:34" x14ac:dyDescent="0.35">
      <c r="Z1098" s="57">
        <v>45394</v>
      </c>
      <c r="AA1098" t="s">
        <v>2513</v>
      </c>
      <c r="AB1098" s="18">
        <v>0</v>
      </c>
      <c r="AC1098" s="18"/>
      <c r="AD1098" s="18"/>
      <c r="AE1098" s="18"/>
      <c r="AF1098" s="18"/>
      <c r="AG1098" s="18"/>
      <c r="AH1098" s="18">
        <v>0</v>
      </c>
    </row>
    <row r="1099" spans="24:34" x14ac:dyDescent="0.35">
      <c r="AA1099" t="s">
        <v>2514</v>
      </c>
      <c r="AB1099" s="18">
        <v>0</v>
      </c>
      <c r="AC1099" s="18"/>
      <c r="AD1099" s="18"/>
      <c r="AE1099" s="18"/>
      <c r="AF1099" s="18"/>
      <c r="AG1099" s="18"/>
      <c r="AH1099" s="18">
        <v>0</v>
      </c>
    </row>
    <row r="1100" spans="24:34" x14ac:dyDescent="0.35">
      <c r="Z1100" s="57">
        <v>45411</v>
      </c>
      <c r="AA1100" t="s">
        <v>2526</v>
      </c>
      <c r="AB1100" s="18">
        <v>0</v>
      </c>
      <c r="AC1100" s="18"/>
      <c r="AD1100" s="18"/>
      <c r="AE1100" s="18"/>
      <c r="AF1100" s="18"/>
      <c r="AG1100" s="18"/>
      <c r="AH1100" s="18">
        <v>0</v>
      </c>
    </row>
    <row r="1101" spans="24:34" x14ac:dyDescent="0.35">
      <c r="AA1101" t="s">
        <v>2528</v>
      </c>
      <c r="AB1101" s="18">
        <v>0</v>
      </c>
      <c r="AC1101" s="18"/>
      <c r="AD1101" s="18"/>
      <c r="AE1101" s="18"/>
      <c r="AF1101" s="18"/>
      <c r="AG1101" s="18"/>
      <c r="AH1101" s="18">
        <v>0</v>
      </c>
    </row>
    <row r="1102" spans="24:34" x14ac:dyDescent="0.35">
      <c r="X1102">
        <v>2025</v>
      </c>
      <c r="Y1102">
        <v>1</v>
      </c>
      <c r="Z1102" s="57">
        <v>45660</v>
      </c>
      <c r="AA1102" t="s">
        <v>3336</v>
      </c>
      <c r="AB1102" s="18">
        <v>0</v>
      </c>
      <c r="AC1102" s="18"/>
      <c r="AD1102" s="18"/>
      <c r="AE1102" s="18"/>
      <c r="AF1102" s="18"/>
      <c r="AG1102" s="18"/>
      <c r="AH1102" s="18">
        <v>0</v>
      </c>
    </row>
    <row r="1103" spans="24:34" x14ac:dyDescent="0.35">
      <c r="AA1103" t="s">
        <v>3337</v>
      </c>
      <c r="AB1103" s="18">
        <v>0</v>
      </c>
      <c r="AC1103" s="18"/>
      <c r="AD1103" s="18"/>
      <c r="AE1103" s="18"/>
      <c r="AF1103" s="18"/>
      <c r="AG1103" s="18"/>
      <c r="AH1103" s="18">
        <v>0</v>
      </c>
    </row>
    <row r="1104" spans="24:34" x14ac:dyDescent="0.35">
      <c r="Z1104" s="57">
        <v>45665</v>
      </c>
      <c r="AA1104" t="s">
        <v>3341</v>
      </c>
      <c r="AB1104" s="18">
        <v>0</v>
      </c>
      <c r="AC1104" s="18"/>
      <c r="AD1104" s="18"/>
      <c r="AE1104" s="18"/>
      <c r="AF1104" s="18"/>
      <c r="AG1104" s="18"/>
      <c r="AH1104" s="18">
        <v>0</v>
      </c>
    </row>
    <row r="1105" spans="25:34" x14ac:dyDescent="0.35">
      <c r="AA1105" t="s">
        <v>3342</v>
      </c>
      <c r="AB1105" s="18">
        <v>0</v>
      </c>
      <c r="AC1105" s="18"/>
      <c r="AD1105" s="18"/>
      <c r="AE1105" s="18"/>
      <c r="AF1105" s="18"/>
      <c r="AG1105" s="18"/>
      <c r="AH1105" s="18">
        <v>0</v>
      </c>
    </row>
    <row r="1106" spans="25:34" x14ac:dyDescent="0.35">
      <c r="Z1106" s="57">
        <v>45667</v>
      </c>
      <c r="AA1106" t="s">
        <v>3343</v>
      </c>
      <c r="AB1106" s="18">
        <v>0</v>
      </c>
      <c r="AC1106" s="18"/>
      <c r="AD1106" s="18"/>
      <c r="AE1106" s="18"/>
      <c r="AF1106" s="18"/>
      <c r="AG1106" s="18"/>
      <c r="AH1106" s="18">
        <v>0</v>
      </c>
    </row>
    <row r="1107" spans="25:34" x14ac:dyDescent="0.35">
      <c r="AA1107" t="s">
        <v>3344</v>
      </c>
      <c r="AB1107" s="18">
        <v>0</v>
      </c>
      <c r="AC1107" s="18"/>
      <c r="AD1107" s="18"/>
      <c r="AE1107" s="18"/>
      <c r="AF1107" s="18"/>
      <c r="AG1107" s="18"/>
      <c r="AH1107" s="18">
        <v>0</v>
      </c>
    </row>
    <row r="1108" spans="25:34" x14ac:dyDescent="0.35">
      <c r="Z1108" s="57">
        <v>45671</v>
      </c>
      <c r="AA1108" t="s">
        <v>3346</v>
      </c>
      <c r="AB1108" s="18">
        <v>0</v>
      </c>
      <c r="AC1108" s="18"/>
      <c r="AD1108" s="18"/>
      <c r="AE1108" s="18"/>
      <c r="AF1108" s="18"/>
      <c r="AG1108" s="18"/>
      <c r="AH1108" s="18">
        <v>0</v>
      </c>
    </row>
    <row r="1109" spans="25:34" x14ac:dyDescent="0.35">
      <c r="AA1109" t="s">
        <v>3347</v>
      </c>
      <c r="AB1109" s="18">
        <v>0</v>
      </c>
      <c r="AC1109" s="18"/>
      <c r="AD1109" s="18"/>
      <c r="AE1109" s="18"/>
      <c r="AF1109" s="18"/>
      <c r="AG1109" s="18"/>
      <c r="AH1109" s="18">
        <v>0</v>
      </c>
    </row>
    <row r="1110" spans="25:34" x14ac:dyDescent="0.35">
      <c r="Z1110" s="57">
        <v>45673</v>
      </c>
      <c r="AA1110" t="s">
        <v>3350</v>
      </c>
      <c r="AB1110" s="18">
        <v>0</v>
      </c>
      <c r="AC1110" s="18"/>
      <c r="AD1110" s="18"/>
      <c r="AE1110" s="18"/>
      <c r="AF1110" s="18"/>
      <c r="AG1110" s="18"/>
      <c r="AH1110" s="18">
        <v>0</v>
      </c>
    </row>
    <row r="1111" spans="25:34" x14ac:dyDescent="0.35">
      <c r="Z1111" s="57">
        <v>45674</v>
      </c>
      <c r="AA1111" t="s">
        <v>3351</v>
      </c>
      <c r="AB1111" s="18">
        <v>0</v>
      </c>
      <c r="AC1111" s="18"/>
      <c r="AD1111" s="18"/>
      <c r="AE1111" s="18"/>
      <c r="AF1111" s="18"/>
      <c r="AG1111" s="18"/>
      <c r="AH1111" s="18">
        <v>0</v>
      </c>
    </row>
    <row r="1112" spans="25:34" x14ac:dyDescent="0.35">
      <c r="AA1112" t="s">
        <v>3352</v>
      </c>
      <c r="AB1112" s="18">
        <v>0</v>
      </c>
      <c r="AC1112" s="18"/>
      <c r="AD1112" s="18"/>
      <c r="AE1112" s="18"/>
      <c r="AF1112" s="18"/>
      <c r="AG1112" s="18"/>
      <c r="AH1112" s="18">
        <v>0</v>
      </c>
    </row>
    <row r="1113" spans="25:34" x14ac:dyDescent="0.35">
      <c r="Z1113" s="57">
        <v>45678</v>
      </c>
      <c r="AA1113" t="s">
        <v>3355</v>
      </c>
      <c r="AB1113" s="18">
        <v>0</v>
      </c>
      <c r="AC1113" s="18"/>
      <c r="AD1113" s="18"/>
      <c r="AE1113" s="18"/>
      <c r="AF1113" s="18"/>
      <c r="AG1113" s="18"/>
      <c r="AH1113" s="18">
        <v>0</v>
      </c>
    </row>
    <row r="1114" spans="25:34" x14ac:dyDescent="0.35">
      <c r="AA1114" t="s">
        <v>3356</v>
      </c>
      <c r="AB1114" s="18">
        <v>0</v>
      </c>
      <c r="AC1114" s="18"/>
      <c r="AD1114" s="18"/>
      <c r="AE1114" s="18"/>
      <c r="AF1114" s="18"/>
      <c r="AG1114" s="18"/>
      <c r="AH1114" s="18">
        <v>0</v>
      </c>
    </row>
    <row r="1115" spans="25:34" x14ac:dyDescent="0.35">
      <c r="Z1115" s="57">
        <v>45684</v>
      </c>
      <c r="AA1115" t="s">
        <v>3362</v>
      </c>
      <c r="AB1115" s="18">
        <v>0</v>
      </c>
      <c r="AC1115" s="18"/>
      <c r="AD1115" s="18"/>
      <c r="AE1115" s="18"/>
      <c r="AF1115" s="18"/>
      <c r="AG1115" s="18"/>
      <c r="AH1115" s="18">
        <v>0</v>
      </c>
    </row>
    <row r="1116" spans="25:34" x14ac:dyDescent="0.35">
      <c r="AA1116" t="s">
        <v>3363</v>
      </c>
      <c r="AB1116" s="18">
        <v>0</v>
      </c>
      <c r="AC1116" s="18"/>
      <c r="AD1116" s="18"/>
      <c r="AE1116" s="18"/>
      <c r="AF1116" s="18"/>
      <c r="AG1116" s="18"/>
      <c r="AH1116" s="18">
        <v>0</v>
      </c>
    </row>
    <row r="1117" spans="25:34" x14ac:dyDescent="0.35">
      <c r="Y1117">
        <v>2</v>
      </c>
      <c r="Z1117" s="57">
        <v>45691</v>
      </c>
      <c r="AA1117" t="s">
        <v>3443</v>
      </c>
      <c r="AB1117" s="18">
        <v>0</v>
      </c>
      <c r="AC1117" s="18"/>
      <c r="AD1117" s="18"/>
      <c r="AE1117" s="18"/>
      <c r="AF1117" s="18"/>
      <c r="AG1117" s="18"/>
      <c r="AH1117" s="18">
        <v>0</v>
      </c>
    </row>
    <row r="1118" spans="25:34" x14ac:dyDescent="0.35">
      <c r="AA1118" t="s">
        <v>3444</v>
      </c>
      <c r="AB1118" s="18">
        <v>0</v>
      </c>
      <c r="AC1118" s="18"/>
      <c r="AD1118" s="18"/>
      <c r="AE1118" s="18"/>
      <c r="AF1118" s="18"/>
      <c r="AG1118" s="18"/>
      <c r="AH1118" s="18">
        <v>0</v>
      </c>
    </row>
    <row r="1119" spans="25:34" x14ac:dyDescent="0.35">
      <c r="Z1119" s="57">
        <v>45693</v>
      </c>
      <c r="AA1119" t="s">
        <v>3445</v>
      </c>
      <c r="AB1119" s="18">
        <v>0</v>
      </c>
      <c r="AC1119" s="18"/>
      <c r="AD1119" s="18"/>
      <c r="AE1119" s="18"/>
      <c r="AF1119" s="18"/>
      <c r="AG1119" s="18"/>
      <c r="AH1119" s="18">
        <v>0</v>
      </c>
    </row>
    <row r="1120" spans="25:34" x14ac:dyDescent="0.35">
      <c r="AA1120" t="s">
        <v>3446</v>
      </c>
      <c r="AB1120" s="18">
        <v>0</v>
      </c>
      <c r="AC1120" s="18"/>
      <c r="AD1120" s="18"/>
      <c r="AE1120" s="18"/>
      <c r="AF1120" s="18"/>
      <c r="AG1120" s="18"/>
      <c r="AH1120" s="18">
        <v>0</v>
      </c>
    </row>
    <row r="1121" spans="25:34" x14ac:dyDescent="0.35">
      <c r="Z1121" s="57">
        <v>45699</v>
      </c>
      <c r="AA1121" t="s">
        <v>3449</v>
      </c>
      <c r="AB1121" s="18">
        <v>0</v>
      </c>
      <c r="AC1121" s="18"/>
      <c r="AD1121" s="18"/>
      <c r="AE1121" s="18"/>
      <c r="AF1121" s="18"/>
      <c r="AG1121" s="18"/>
      <c r="AH1121" s="18">
        <v>0</v>
      </c>
    </row>
    <row r="1122" spans="25:34" x14ac:dyDescent="0.35">
      <c r="AA1122" t="s">
        <v>3450</v>
      </c>
      <c r="AB1122" s="18">
        <v>0</v>
      </c>
      <c r="AC1122" s="18"/>
      <c r="AD1122" s="18"/>
      <c r="AE1122" s="18"/>
      <c r="AF1122" s="18"/>
      <c r="AG1122" s="18"/>
      <c r="AH1122" s="18">
        <v>0</v>
      </c>
    </row>
    <row r="1123" spans="25:34" x14ac:dyDescent="0.35">
      <c r="Z1123" s="57">
        <v>45705</v>
      </c>
      <c r="AA1123" t="s">
        <v>3458</v>
      </c>
      <c r="AB1123" s="18">
        <v>0</v>
      </c>
      <c r="AC1123" s="18"/>
      <c r="AD1123" s="18"/>
      <c r="AE1123" s="18"/>
      <c r="AF1123" s="18"/>
      <c r="AG1123" s="18"/>
      <c r="AH1123" s="18">
        <v>0</v>
      </c>
    </row>
    <row r="1124" spans="25:34" x14ac:dyDescent="0.35">
      <c r="AA1124" t="s">
        <v>3459</v>
      </c>
      <c r="AB1124" s="18">
        <v>0</v>
      </c>
      <c r="AC1124" s="18"/>
      <c r="AD1124" s="18"/>
      <c r="AE1124" s="18"/>
      <c r="AF1124" s="18"/>
      <c r="AG1124" s="18"/>
      <c r="AH1124" s="18">
        <v>0</v>
      </c>
    </row>
    <row r="1125" spans="25:34" x14ac:dyDescent="0.35">
      <c r="Z1125" s="57">
        <v>45707</v>
      </c>
      <c r="AA1125" t="s">
        <v>3464</v>
      </c>
      <c r="AB1125" s="18">
        <v>0</v>
      </c>
      <c r="AC1125" s="18"/>
      <c r="AD1125" s="18"/>
      <c r="AE1125" s="18"/>
      <c r="AF1125" s="18"/>
      <c r="AG1125" s="18"/>
      <c r="AH1125" s="18">
        <v>0</v>
      </c>
    </row>
    <row r="1126" spans="25:34" x14ac:dyDescent="0.35">
      <c r="AA1126" t="s">
        <v>3465</v>
      </c>
      <c r="AB1126" s="18">
        <v>0</v>
      </c>
      <c r="AC1126" s="18"/>
      <c r="AD1126" s="18"/>
      <c r="AE1126" s="18"/>
      <c r="AF1126" s="18"/>
      <c r="AG1126" s="18"/>
      <c r="AH1126" s="18">
        <v>0</v>
      </c>
    </row>
    <row r="1127" spans="25:34" x14ac:dyDescent="0.35">
      <c r="Z1127" s="57">
        <v>45712</v>
      </c>
      <c r="AA1127" t="s">
        <v>3466</v>
      </c>
      <c r="AB1127" s="18">
        <v>0</v>
      </c>
      <c r="AC1127" s="18"/>
      <c r="AD1127" s="18"/>
      <c r="AE1127" s="18"/>
      <c r="AF1127" s="18"/>
      <c r="AG1127" s="18"/>
      <c r="AH1127" s="18">
        <v>0</v>
      </c>
    </row>
    <row r="1128" spans="25:34" x14ac:dyDescent="0.35">
      <c r="AA1128" t="s">
        <v>3467</v>
      </c>
      <c r="AB1128" s="18">
        <v>0</v>
      </c>
      <c r="AC1128" s="18"/>
      <c r="AD1128" s="18"/>
      <c r="AE1128" s="18"/>
      <c r="AF1128" s="18"/>
      <c r="AG1128" s="18"/>
      <c r="AH1128" s="18">
        <v>0</v>
      </c>
    </row>
    <row r="1129" spans="25:34" x14ac:dyDescent="0.35">
      <c r="Y1129">
        <v>3</v>
      </c>
      <c r="Z1129" s="57">
        <v>45720</v>
      </c>
      <c r="AA1129" t="s">
        <v>3516</v>
      </c>
      <c r="AB1129" s="18">
        <v>0</v>
      </c>
      <c r="AC1129" s="18"/>
      <c r="AD1129" s="18"/>
      <c r="AE1129" s="18"/>
      <c r="AF1129" s="18"/>
      <c r="AG1129" s="18"/>
      <c r="AH1129" s="18">
        <v>0</v>
      </c>
    </row>
    <row r="1130" spans="25:34" x14ac:dyDescent="0.35">
      <c r="AA1130" t="s">
        <v>3517</v>
      </c>
      <c r="AB1130" s="18">
        <v>0</v>
      </c>
      <c r="AC1130" s="18"/>
      <c r="AD1130" s="18"/>
      <c r="AE1130" s="18"/>
      <c r="AF1130" s="18"/>
      <c r="AG1130" s="18"/>
      <c r="AH1130" s="18">
        <v>0</v>
      </c>
    </row>
    <row r="1131" spans="25:34" x14ac:dyDescent="0.35">
      <c r="Z1131" s="57">
        <v>45723</v>
      </c>
      <c r="AA1131" t="s">
        <v>3521</v>
      </c>
      <c r="AB1131" s="18">
        <v>0</v>
      </c>
      <c r="AC1131" s="18"/>
      <c r="AD1131" s="18"/>
      <c r="AE1131" s="18"/>
      <c r="AF1131" s="18"/>
      <c r="AG1131" s="18"/>
      <c r="AH1131" s="18">
        <v>0</v>
      </c>
    </row>
    <row r="1132" spans="25:34" x14ac:dyDescent="0.35">
      <c r="Z1132" s="57">
        <v>45726</v>
      </c>
      <c r="AA1132" t="s">
        <v>3522</v>
      </c>
      <c r="AB1132" s="18">
        <v>0</v>
      </c>
      <c r="AC1132" s="18"/>
      <c r="AD1132" s="18"/>
      <c r="AE1132" s="18"/>
      <c r="AF1132" s="18"/>
      <c r="AG1132" s="18"/>
      <c r="AH1132" s="18">
        <v>0</v>
      </c>
    </row>
    <row r="1133" spans="25:34" x14ac:dyDescent="0.35">
      <c r="AA1133" t="s">
        <v>3523</v>
      </c>
      <c r="AB1133" s="18">
        <v>0</v>
      </c>
      <c r="AC1133" s="18"/>
      <c r="AD1133" s="18"/>
      <c r="AE1133" s="18"/>
      <c r="AF1133" s="18"/>
      <c r="AG1133" s="18"/>
      <c r="AH1133" s="18">
        <v>0</v>
      </c>
    </row>
    <row r="1134" spans="25:34" x14ac:dyDescent="0.35">
      <c r="Z1134" s="57">
        <v>45731</v>
      </c>
      <c r="AA1134" t="s">
        <v>3534</v>
      </c>
      <c r="AB1134" s="18">
        <v>0</v>
      </c>
      <c r="AC1134" s="18"/>
      <c r="AD1134" s="18"/>
      <c r="AE1134" s="18"/>
      <c r="AF1134" s="18"/>
      <c r="AG1134" s="18"/>
      <c r="AH1134" s="18">
        <v>0</v>
      </c>
    </row>
    <row r="1135" spans="25:34" x14ac:dyDescent="0.35">
      <c r="AA1135" t="s">
        <v>3535</v>
      </c>
      <c r="AB1135" s="18">
        <v>0</v>
      </c>
      <c r="AC1135" s="18"/>
      <c r="AD1135" s="18"/>
      <c r="AE1135" s="18"/>
      <c r="AF1135" s="18"/>
      <c r="AG1135" s="18"/>
      <c r="AH1135" s="18">
        <v>0</v>
      </c>
    </row>
    <row r="1136" spans="25:34" x14ac:dyDescent="0.35">
      <c r="Z1136" s="57">
        <v>45736</v>
      </c>
      <c r="AA1136" t="s">
        <v>3542</v>
      </c>
      <c r="AB1136" s="18">
        <v>0</v>
      </c>
      <c r="AC1136" s="18"/>
      <c r="AD1136" s="18"/>
      <c r="AE1136" s="18"/>
      <c r="AF1136" s="18"/>
      <c r="AG1136" s="18"/>
      <c r="AH1136" s="18">
        <v>0</v>
      </c>
    </row>
    <row r="1137" spans="25:34" x14ac:dyDescent="0.35">
      <c r="AA1137" t="s">
        <v>3543</v>
      </c>
      <c r="AB1137" s="18">
        <v>0</v>
      </c>
      <c r="AC1137" s="18"/>
      <c r="AD1137" s="18"/>
      <c r="AE1137" s="18"/>
      <c r="AF1137" s="18"/>
      <c r="AG1137" s="18"/>
      <c r="AH1137" s="18">
        <v>0</v>
      </c>
    </row>
    <row r="1138" spans="25:34" x14ac:dyDescent="0.35">
      <c r="Z1138" s="57">
        <v>45738</v>
      </c>
      <c r="AA1138" t="s">
        <v>3544</v>
      </c>
      <c r="AB1138" s="18">
        <v>0</v>
      </c>
      <c r="AC1138" s="18"/>
      <c r="AD1138" s="18"/>
      <c r="AE1138" s="18"/>
      <c r="AF1138" s="18"/>
      <c r="AG1138" s="18"/>
      <c r="AH1138" s="18">
        <v>0</v>
      </c>
    </row>
    <row r="1139" spans="25:34" x14ac:dyDescent="0.35">
      <c r="Z1139" s="57">
        <v>45740</v>
      </c>
      <c r="AA1139" t="s">
        <v>3546</v>
      </c>
      <c r="AB1139" s="18">
        <v>0</v>
      </c>
      <c r="AC1139" s="18"/>
      <c r="AD1139" s="18"/>
      <c r="AE1139" s="18"/>
      <c r="AF1139" s="18"/>
      <c r="AG1139" s="18"/>
      <c r="AH1139" s="18">
        <v>0</v>
      </c>
    </row>
    <row r="1140" spans="25:34" x14ac:dyDescent="0.35">
      <c r="AA1140" t="s">
        <v>3547</v>
      </c>
      <c r="AB1140" s="18">
        <v>29097.200000000001</v>
      </c>
      <c r="AC1140" s="18"/>
      <c r="AD1140" s="18"/>
      <c r="AE1140" s="18"/>
      <c r="AF1140" s="18"/>
      <c r="AG1140" s="18"/>
      <c r="AH1140" s="18">
        <v>29097.200000000001</v>
      </c>
    </row>
    <row r="1141" spans="25:34" x14ac:dyDescent="0.35">
      <c r="Z1141" s="57">
        <v>45744</v>
      </c>
      <c r="AA1141" t="s">
        <v>3550</v>
      </c>
      <c r="AB1141" s="18">
        <v>375</v>
      </c>
      <c r="AC1141" s="18"/>
      <c r="AD1141" s="18"/>
      <c r="AE1141" s="18"/>
      <c r="AF1141" s="18"/>
      <c r="AG1141" s="18"/>
      <c r="AH1141" s="18">
        <v>375</v>
      </c>
    </row>
    <row r="1142" spans="25:34" x14ac:dyDescent="0.35">
      <c r="AA1142" t="s">
        <v>3551</v>
      </c>
      <c r="AB1142" s="18">
        <v>35195.599999999999</v>
      </c>
      <c r="AC1142" s="18"/>
      <c r="AD1142" s="18"/>
      <c r="AE1142" s="18"/>
      <c r="AF1142" s="18"/>
      <c r="AG1142" s="18"/>
      <c r="AH1142" s="18">
        <v>35195.599999999999</v>
      </c>
    </row>
    <row r="1143" spans="25:34" x14ac:dyDescent="0.35">
      <c r="Y1143">
        <v>5</v>
      </c>
      <c r="Z1143" t="s">
        <v>3700</v>
      </c>
      <c r="AA1143" t="s">
        <v>3704</v>
      </c>
      <c r="AB1143" s="18">
        <v>187.5</v>
      </c>
      <c r="AC1143" s="18"/>
      <c r="AD1143" s="18"/>
      <c r="AE1143" s="18"/>
      <c r="AF1143" s="18"/>
      <c r="AG1143" s="18"/>
      <c r="AH1143" s="18">
        <v>187.5</v>
      </c>
    </row>
    <row r="1144" spans="25:34" x14ac:dyDescent="0.35">
      <c r="AA1144" t="s">
        <v>3705</v>
      </c>
      <c r="AB1144" s="18">
        <v>14095.5</v>
      </c>
      <c r="AC1144" s="18"/>
      <c r="AD1144" s="18"/>
      <c r="AE1144" s="18"/>
      <c r="AF1144" s="18"/>
      <c r="AG1144" s="18"/>
      <c r="AH1144" s="18">
        <v>14095.5</v>
      </c>
    </row>
    <row r="1145" spans="25:34" x14ac:dyDescent="0.35">
      <c r="Z1145" t="s">
        <v>3709</v>
      </c>
      <c r="AA1145" t="s">
        <v>3710</v>
      </c>
      <c r="AB1145" s="18">
        <v>187.5</v>
      </c>
      <c r="AC1145" s="18"/>
      <c r="AD1145" s="18"/>
      <c r="AE1145" s="18"/>
      <c r="AF1145" s="18"/>
      <c r="AG1145" s="18"/>
      <c r="AH1145" s="18">
        <v>187.5</v>
      </c>
    </row>
    <row r="1146" spans="25:34" x14ac:dyDescent="0.35">
      <c r="AA1146" t="s">
        <v>3711</v>
      </c>
      <c r="AB1146" s="18">
        <v>16434.5</v>
      </c>
      <c r="AC1146" s="18"/>
      <c r="AD1146" s="18"/>
      <c r="AE1146" s="18"/>
      <c r="AF1146" s="18"/>
      <c r="AG1146" s="18"/>
      <c r="AH1146" s="18">
        <v>16434.5</v>
      </c>
    </row>
    <row r="1147" spans="25:34" x14ac:dyDescent="0.35">
      <c r="Z1147" t="s">
        <v>3713</v>
      </c>
      <c r="AA1147" t="s">
        <v>3714</v>
      </c>
      <c r="AB1147" s="18">
        <v>125</v>
      </c>
      <c r="AC1147" s="18"/>
      <c r="AD1147" s="18"/>
      <c r="AE1147" s="18"/>
      <c r="AF1147" s="18"/>
      <c r="AG1147" s="18"/>
      <c r="AH1147" s="18">
        <v>125</v>
      </c>
    </row>
    <row r="1148" spans="25:34" x14ac:dyDescent="0.35">
      <c r="AA1148" t="s">
        <v>3715</v>
      </c>
      <c r="AB1148" s="18">
        <v>15506.5</v>
      </c>
      <c r="AC1148" s="18"/>
      <c r="AD1148" s="18"/>
      <c r="AE1148" s="18"/>
      <c r="AF1148" s="18"/>
      <c r="AG1148" s="18"/>
      <c r="AH1148" s="18">
        <v>15506.5</v>
      </c>
    </row>
    <row r="1149" spans="25:34" x14ac:dyDescent="0.35">
      <c r="Z1149" t="s">
        <v>3716</v>
      </c>
      <c r="AA1149" t="s">
        <v>3717</v>
      </c>
      <c r="AB1149" s="18">
        <v>125</v>
      </c>
      <c r="AC1149" s="18"/>
      <c r="AD1149" s="18"/>
      <c r="AE1149" s="18"/>
      <c r="AF1149" s="18"/>
      <c r="AG1149" s="18"/>
      <c r="AH1149" s="18">
        <v>125</v>
      </c>
    </row>
    <row r="1150" spans="25:34" x14ac:dyDescent="0.35">
      <c r="AA1150" t="s">
        <v>3718</v>
      </c>
      <c r="AB1150" s="18">
        <v>7417.2</v>
      </c>
      <c r="AC1150" s="18"/>
      <c r="AD1150" s="18"/>
      <c r="AE1150" s="18"/>
      <c r="AF1150" s="18"/>
      <c r="AG1150" s="18"/>
      <c r="AH1150" s="18">
        <v>7417.2</v>
      </c>
    </row>
    <row r="1151" spans="25:34" x14ac:dyDescent="0.35">
      <c r="Z1151" t="s">
        <v>3719</v>
      </c>
      <c r="AA1151" t="s">
        <v>3722</v>
      </c>
      <c r="AB1151" s="18">
        <v>4389.8999999999996</v>
      </c>
      <c r="AC1151" s="18"/>
      <c r="AD1151" s="18"/>
      <c r="AE1151" s="18"/>
      <c r="AF1151" s="18"/>
      <c r="AG1151" s="18"/>
      <c r="AH1151" s="18">
        <v>4389.8999999999996</v>
      </c>
    </row>
    <row r="1152" spans="25:34" x14ac:dyDescent="0.35">
      <c r="Z1152" t="s">
        <v>3726</v>
      </c>
      <c r="AA1152" t="s">
        <v>3727</v>
      </c>
      <c r="AB1152" s="18">
        <v>62.5</v>
      </c>
      <c r="AC1152" s="18"/>
      <c r="AD1152" s="18"/>
      <c r="AE1152" s="18"/>
      <c r="AF1152" s="18"/>
      <c r="AG1152" s="18"/>
      <c r="AH1152" s="18">
        <v>62.5</v>
      </c>
    </row>
    <row r="1153" spans="25:34" x14ac:dyDescent="0.35">
      <c r="AA1153" t="s">
        <v>3728</v>
      </c>
      <c r="AB1153" s="18">
        <v>4204.8999999999996</v>
      </c>
      <c r="AC1153" s="18"/>
      <c r="AD1153" s="18"/>
      <c r="AE1153" s="18"/>
      <c r="AF1153" s="18"/>
      <c r="AG1153" s="18"/>
      <c r="AH1153" s="18">
        <v>4204.8999999999996</v>
      </c>
    </row>
    <row r="1154" spans="25:34" x14ac:dyDescent="0.35">
      <c r="Z1154" t="s">
        <v>3729</v>
      </c>
      <c r="AA1154" t="s">
        <v>3730</v>
      </c>
      <c r="AB1154" s="18">
        <v>187.5</v>
      </c>
      <c r="AC1154" s="18"/>
      <c r="AD1154" s="18"/>
      <c r="AE1154" s="18"/>
      <c r="AF1154" s="18"/>
      <c r="AG1154" s="18"/>
      <c r="AH1154" s="18">
        <v>187.5</v>
      </c>
    </row>
    <row r="1155" spans="25:34" x14ac:dyDescent="0.35">
      <c r="AA1155" t="s">
        <v>3731</v>
      </c>
      <c r="AB1155" s="18">
        <v>16133.5</v>
      </c>
      <c r="AC1155" s="18"/>
      <c r="AD1155" s="18"/>
      <c r="AE1155" s="18"/>
      <c r="AF1155" s="18"/>
      <c r="AG1155" s="18"/>
      <c r="AH1155" s="18">
        <v>16133.5</v>
      </c>
    </row>
    <row r="1156" spans="25:34" x14ac:dyDescent="0.35">
      <c r="Z1156" t="s">
        <v>3732</v>
      </c>
      <c r="AA1156" t="s">
        <v>3733</v>
      </c>
      <c r="AB1156" s="18">
        <v>4195</v>
      </c>
      <c r="AC1156" s="18"/>
      <c r="AD1156" s="18"/>
      <c r="AE1156" s="18"/>
      <c r="AF1156" s="18"/>
      <c r="AG1156" s="18"/>
      <c r="AH1156" s="18">
        <v>4195</v>
      </c>
    </row>
    <row r="1157" spans="25:34" x14ac:dyDescent="0.35">
      <c r="Z1157" t="s">
        <v>3734</v>
      </c>
      <c r="AA1157" t="s">
        <v>3735</v>
      </c>
      <c r="AB1157" s="18">
        <v>7159.8</v>
      </c>
      <c r="AC1157" s="18"/>
      <c r="AD1157" s="18"/>
      <c r="AE1157" s="18"/>
      <c r="AF1157" s="18"/>
      <c r="AG1157" s="18"/>
      <c r="AH1157" s="18">
        <v>7159.8</v>
      </c>
    </row>
    <row r="1158" spans="25:34" x14ac:dyDescent="0.35">
      <c r="Z1158" t="s">
        <v>3736</v>
      </c>
      <c r="AA1158" t="s">
        <v>3737</v>
      </c>
      <c r="AB1158" s="18">
        <v>125</v>
      </c>
      <c r="AC1158" s="18"/>
      <c r="AD1158" s="18"/>
      <c r="AE1158" s="18"/>
      <c r="AF1158" s="18"/>
      <c r="AG1158" s="18"/>
      <c r="AH1158" s="18">
        <v>125</v>
      </c>
    </row>
    <row r="1159" spans="25:34" x14ac:dyDescent="0.35">
      <c r="AA1159" t="s">
        <v>3738</v>
      </c>
      <c r="AB1159" s="18">
        <v>9522.2000000000007</v>
      </c>
      <c r="AC1159" s="18"/>
      <c r="AD1159" s="18"/>
      <c r="AE1159" s="18"/>
      <c r="AF1159" s="18"/>
      <c r="AG1159" s="18"/>
      <c r="AH1159" s="18">
        <v>9522.2000000000007</v>
      </c>
    </row>
    <row r="1160" spans="25:34" x14ac:dyDescent="0.35">
      <c r="Z1160" t="s">
        <v>3742</v>
      </c>
      <c r="AA1160" t="s">
        <v>3744</v>
      </c>
      <c r="AB1160" s="18">
        <v>125</v>
      </c>
      <c r="AC1160" s="18"/>
      <c r="AD1160" s="18"/>
      <c r="AE1160" s="18"/>
      <c r="AF1160" s="18"/>
      <c r="AG1160" s="18"/>
      <c r="AH1160" s="18">
        <v>125</v>
      </c>
    </row>
    <row r="1161" spans="25:34" x14ac:dyDescent="0.35">
      <c r="AA1161" t="s">
        <v>3745</v>
      </c>
      <c r="AB1161" s="18">
        <v>7814.7</v>
      </c>
      <c r="AC1161" s="18"/>
      <c r="AD1161" s="18"/>
      <c r="AE1161" s="18"/>
      <c r="AF1161" s="18"/>
      <c r="AG1161" s="18"/>
      <c r="AH1161" s="18">
        <v>7814.7</v>
      </c>
    </row>
    <row r="1162" spans="25:34" x14ac:dyDescent="0.35">
      <c r="Z1162" t="s">
        <v>3746</v>
      </c>
      <c r="AA1162" t="s">
        <v>3747</v>
      </c>
      <c r="AB1162" s="18">
        <v>125</v>
      </c>
      <c r="AC1162" s="18"/>
      <c r="AD1162" s="18"/>
      <c r="AE1162" s="18"/>
      <c r="AF1162" s="18"/>
      <c r="AG1162" s="18"/>
      <c r="AH1162" s="18">
        <v>125</v>
      </c>
    </row>
    <row r="1163" spans="25:34" x14ac:dyDescent="0.35">
      <c r="AA1163" t="s">
        <v>3748</v>
      </c>
      <c r="AB1163" s="18">
        <v>12577.3</v>
      </c>
      <c r="AC1163" s="18"/>
      <c r="AD1163" s="18"/>
      <c r="AE1163" s="18"/>
      <c r="AF1163" s="18"/>
      <c r="AG1163" s="18"/>
      <c r="AH1163" s="18">
        <v>12577.3</v>
      </c>
    </row>
    <row r="1164" spans="25:34" x14ac:dyDescent="0.35">
      <c r="Y1164">
        <v>6</v>
      </c>
      <c r="Z1164" t="s">
        <v>3832</v>
      </c>
      <c r="AA1164" t="s">
        <v>3833</v>
      </c>
      <c r="AB1164" s="18">
        <v>187.5</v>
      </c>
      <c r="AC1164" s="18"/>
      <c r="AD1164" s="18"/>
      <c r="AE1164" s="18"/>
      <c r="AF1164" s="18"/>
      <c r="AG1164" s="18"/>
      <c r="AH1164" s="18">
        <v>187.5</v>
      </c>
    </row>
    <row r="1165" spans="25:34" x14ac:dyDescent="0.35">
      <c r="AA1165" t="s">
        <v>3834</v>
      </c>
      <c r="AB1165" s="18">
        <v>14082</v>
      </c>
      <c r="AC1165" s="18"/>
      <c r="AD1165" s="18"/>
      <c r="AE1165" s="18"/>
      <c r="AF1165" s="18"/>
      <c r="AG1165" s="18"/>
      <c r="AH1165" s="18">
        <v>14082</v>
      </c>
    </row>
    <row r="1166" spans="25:34" x14ac:dyDescent="0.35">
      <c r="Z1166" t="s">
        <v>3843</v>
      </c>
      <c r="AA1166" t="s">
        <v>3844</v>
      </c>
      <c r="AB1166" s="18">
        <v>62.5</v>
      </c>
      <c r="AC1166" s="18"/>
      <c r="AD1166" s="18"/>
      <c r="AE1166" s="18"/>
      <c r="AF1166" s="18"/>
      <c r="AG1166" s="18"/>
      <c r="AH1166" s="18">
        <v>62.5</v>
      </c>
    </row>
    <row r="1167" spans="25:34" x14ac:dyDescent="0.35">
      <c r="AA1167" t="s">
        <v>3845</v>
      </c>
      <c r="AB1167" s="18">
        <v>9894.7000000000007</v>
      </c>
      <c r="AC1167" s="18"/>
      <c r="AD1167" s="18"/>
      <c r="AE1167" s="18"/>
      <c r="AF1167" s="18"/>
      <c r="AG1167" s="18"/>
      <c r="AH1167" s="18">
        <v>9894.7000000000007</v>
      </c>
    </row>
    <row r="1168" spans="25:34" x14ac:dyDescent="0.35">
      <c r="Z1168" t="s">
        <v>3846</v>
      </c>
      <c r="AA1168" t="s">
        <v>3847</v>
      </c>
      <c r="AB1168" s="18">
        <v>62.5</v>
      </c>
      <c r="AC1168" s="18"/>
      <c r="AD1168" s="18"/>
      <c r="AE1168" s="18"/>
      <c r="AF1168" s="18"/>
      <c r="AG1168" s="18"/>
      <c r="AH1168" s="18">
        <v>62.5</v>
      </c>
    </row>
    <row r="1169" spans="25:34" x14ac:dyDescent="0.35">
      <c r="AA1169" t="s">
        <v>3848</v>
      </c>
      <c r="AB1169" s="18">
        <v>6292.3</v>
      </c>
      <c r="AC1169" s="18"/>
      <c r="AD1169" s="18"/>
      <c r="AE1169" s="18"/>
      <c r="AF1169" s="18"/>
      <c r="AG1169" s="18"/>
      <c r="AH1169" s="18">
        <v>6292.3</v>
      </c>
    </row>
    <row r="1170" spans="25:34" x14ac:dyDescent="0.35">
      <c r="Z1170" t="s">
        <v>3855</v>
      </c>
      <c r="AA1170" t="s">
        <v>3856</v>
      </c>
      <c r="AB1170" s="18">
        <v>125</v>
      </c>
      <c r="AC1170" s="18"/>
      <c r="AD1170" s="18"/>
      <c r="AE1170" s="18"/>
      <c r="AF1170" s="18"/>
      <c r="AG1170" s="18"/>
      <c r="AH1170" s="18">
        <v>125</v>
      </c>
    </row>
    <row r="1171" spans="25:34" x14ac:dyDescent="0.35">
      <c r="AA1171" t="s">
        <v>3857</v>
      </c>
      <c r="AB1171" s="18">
        <v>15194.5</v>
      </c>
      <c r="AC1171" s="18"/>
      <c r="AD1171" s="18"/>
      <c r="AE1171" s="18"/>
      <c r="AF1171" s="18"/>
      <c r="AG1171" s="18"/>
      <c r="AH1171" s="18">
        <v>15194.5</v>
      </c>
    </row>
    <row r="1172" spans="25:34" x14ac:dyDescent="0.35">
      <c r="Z1172" t="s">
        <v>3858</v>
      </c>
      <c r="AA1172" t="s">
        <v>3859</v>
      </c>
      <c r="AB1172" s="18">
        <v>250</v>
      </c>
      <c r="AC1172" s="18"/>
      <c r="AD1172" s="18"/>
      <c r="AE1172" s="18"/>
      <c r="AF1172" s="18"/>
      <c r="AG1172" s="18"/>
      <c r="AH1172" s="18">
        <v>250</v>
      </c>
    </row>
    <row r="1173" spans="25:34" x14ac:dyDescent="0.35">
      <c r="AA1173" t="s">
        <v>3860</v>
      </c>
      <c r="AB1173" s="18">
        <v>18796.5</v>
      </c>
      <c r="AC1173" s="18"/>
      <c r="AD1173" s="18"/>
      <c r="AE1173" s="18"/>
      <c r="AF1173" s="18"/>
      <c r="AG1173" s="18"/>
      <c r="AH1173" s="18">
        <v>18796.5</v>
      </c>
    </row>
    <row r="1174" spans="25:34" x14ac:dyDescent="0.35">
      <c r="Z1174" t="s">
        <v>3865</v>
      </c>
      <c r="AA1174" t="s">
        <v>3871</v>
      </c>
      <c r="AB1174" s="18">
        <v>125</v>
      </c>
      <c r="AC1174" s="18"/>
      <c r="AD1174" s="18"/>
      <c r="AE1174" s="18"/>
      <c r="AF1174" s="18"/>
      <c r="AG1174" s="18"/>
      <c r="AH1174" s="18">
        <v>125</v>
      </c>
    </row>
    <row r="1175" spans="25:34" x14ac:dyDescent="0.35">
      <c r="AA1175" t="s">
        <v>3872</v>
      </c>
      <c r="AB1175" s="18">
        <v>14115</v>
      </c>
      <c r="AC1175" s="18"/>
      <c r="AD1175" s="18"/>
      <c r="AE1175" s="18"/>
      <c r="AF1175" s="18"/>
      <c r="AG1175" s="18"/>
      <c r="AH1175" s="18">
        <v>14115</v>
      </c>
    </row>
    <row r="1176" spans="25:34" x14ac:dyDescent="0.35">
      <c r="Z1176" t="s">
        <v>3875</v>
      </c>
      <c r="AA1176" t="s">
        <v>3877</v>
      </c>
      <c r="AB1176" s="18">
        <v>62.5</v>
      </c>
      <c r="AC1176" s="18"/>
      <c r="AD1176" s="18"/>
      <c r="AE1176" s="18"/>
      <c r="AF1176" s="18"/>
      <c r="AG1176" s="18"/>
      <c r="AH1176" s="18">
        <v>62.5</v>
      </c>
    </row>
    <row r="1177" spans="25:34" x14ac:dyDescent="0.35">
      <c r="AA1177" t="s">
        <v>3878</v>
      </c>
      <c r="AB1177" s="18">
        <v>6177</v>
      </c>
      <c r="AC1177" s="18"/>
      <c r="AD1177" s="18"/>
      <c r="AE1177" s="18"/>
      <c r="AF1177" s="18"/>
      <c r="AG1177" s="18"/>
      <c r="AH1177" s="18">
        <v>6177</v>
      </c>
    </row>
    <row r="1178" spans="25:34" x14ac:dyDescent="0.35">
      <c r="Z1178" t="s">
        <v>3879</v>
      </c>
      <c r="AA1178" t="s">
        <v>3880</v>
      </c>
      <c r="AB1178" s="18">
        <v>187.5</v>
      </c>
      <c r="AC1178" s="18"/>
      <c r="AD1178" s="18"/>
      <c r="AE1178" s="18"/>
      <c r="AF1178" s="18"/>
      <c r="AG1178" s="18"/>
      <c r="AH1178" s="18">
        <v>187.5</v>
      </c>
    </row>
    <row r="1179" spans="25:34" x14ac:dyDescent="0.35">
      <c r="AA1179" t="s">
        <v>3881</v>
      </c>
      <c r="AB1179" s="18">
        <v>14115</v>
      </c>
      <c r="AC1179" s="18"/>
      <c r="AD1179" s="18"/>
      <c r="AE1179" s="18"/>
      <c r="AF1179" s="18"/>
      <c r="AG1179" s="18"/>
      <c r="AH1179" s="18">
        <v>14115</v>
      </c>
    </row>
    <row r="1180" spans="25:34" x14ac:dyDescent="0.35">
      <c r="Z1180" t="s">
        <v>3882</v>
      </c>
      <c r="AA1180" t="s">
        <v>3884</v>
      </c>
      <c r="AB1180" s="18">
        <v>187.5</v>
      </c>
      <c r="AC1180" s="18"/>
      <c r="AD1180" s="18"/>
      <c r="AE1180" s="18"/>
      <c r="AF1180" s="18"/>
      <c r="AG1180" s="18"/>
      <c r="AH1180" s="18">
        <v>187.5</v>
      </c>
    </row>
    <row r="1181" spans="25:34" x14ac:dyDescent="0.35">
      <c r="AA1181" t="s">
        <v>3885</v>
      </c>
      <c r="AB1181" s="18">
        <v>13391.5</v>
      </c>
      <c r="AC1181" s="18"/>
      <c r="AD1181" s="18"/>
      <c r="AE1181" s="18"/>
      <c r="AF1181" s="18"/>
      <c r="AG1181" s="18"/>
      <c r="AH1181" s="18">
        <v>13391.5</v>
      </c>
    </row>
    <row r="1182" spans="25:34" x14ac:dyDescent="0.35">
      <c r="Y1182">
        <v>7</v>
      </c>
      <c r="Z1182" t="s">
        <v>3997</v>
      </c>
      <c r="AA1182" t="s">
        <v>3998</v>
      </c>
      <c r="AB1182" s="18">
        <v>62.5</v>
      </c>
      <c r="AC1182" s="18"/>
      <c r="AD1182" s="18"/>
      <c r="AE1182" s="18"/>
      <c r="AF1182" s="18"/>
      <c r="AG1182" s="18"/>
      <c r="AH1182" s="18">
        <v>62.5</v>
      </c>
    </row>
    <row r="1183" spans="25:34" x14ac:dyDescent="0.35">
      <c r="AA1183" t="s">
        <v>3999</v>
      </c>
      <c r="AB1183" s="18">
        <v>5044.5</v>
      </c>
      <c r="AC1183" s="18"/>
      <c r="AD1183" s="18"/>
      <c r="AE1183" s="18"/>
      <c r="AF1183" s="18"/>
      <c r="AG1183" s="18"/>
      <c r="AH1183" s="18">
        <v>5044.5</v>
      </c>
    </row>
    <row r="1184" spans="25:34" x14ac:dyDescent="0.35">
      <c r="Z1184" t="s">
        <v>4001</v>
      </c>
      <c r="AA1184" t="s">
        <v>4002</v>
      </c>
      <c r="AB1184" s="18">
        <v>125</v>
      </c>
      <c r="AC1184" s="18"/>
      <c r="AD1184" s="18"/>
      <c r="AE1184" s="18"/>
      <c r="AF1184" s="18"/>
      <c r="AG1184" s="18"/>
      <c r="AH1184" s="18">
        <v>125</v>
      </c>
    </row>
    <row r="1185" spans="25:34" x14ac:dyDescent="0.35">
      <c r="AA1185" t="s">
        <v>4003</v>
      </c>
      <c r="AB1185" s="18">
        <v>8443</v>
      </c>
      <c r="AC1185" s="18"/>
      <c r="AD1185" s="18"/>
      <c r="AE1185" s="18"/>
      <c r="AF1185" s="18"/>
      <c r="AG1185" s="18"/>
      <c r="AH1185" s="18">
        <v>8443</v>
      </c>
    </row>
    <row r="1186" spans="25:34" x14ac:dyDescent="0.35">
      <c r="Z1186" t="s">
        <v>4008</v>
      </c>
      <c r="AA1186" t="s">
        <v>4009</v>
      </c>
      <c r="AB1186" s="18">
        <v>187.5</v>
      </c>
      <c r="AC1186" s="18"/>
      <c r="AD1186" s="18"/>
      <c r="AE1186" s="18"/>
      <c r="AF1186" s="18"/>
      <c r="AG1186" s="18"/>
      <c r="AH1186" s="18">
        <v>187.5</v>
      </c>
    </row>
    <row r="1187" spans="25:34" x14ac:dyDescent="0.35">
      <c r="AA1187" t="s">
        <v>4010</v>
      </c>
      <c r="AB1187" s="18">
        <v>13462.5</v>
      </c>
      <c r="AC1187" s="18"/>
      <c r="AD1187" s="18"/>
      <c r="AE1187" s="18"/>
      <c r="AF1187" s="18"/>
      <c r="AG1187" s="18"/>
      <c r="AH1187" s="18">
        <v>13462.5</v>
      </c>
    </row>
    <row r="1188" spans="25:34" x14ac:dyDescent="0.35">
      <c r="Z1188" t="s">
        <v>4011</v>
      </c>
      <c r="AA1188" t="s">
        <v>4012</v>
      </c>
      <c r="AB1188" s="18">
        <v>187.5</v>
      </c>
      <c r="AC1188" s="18"/>
      <c r="AD1188" s="18"/>
      <c r="AE1188" s="18"/>
      <c r="AF1188" s="18"/>
      <c r="AG1188" s="18"/>
      <c r="AH1188" s="18">
        <v>187.5</v>
      </c>
    </row>
    <row r="1189" spans="25:34" x14ac:dyDescent="0.35">
      <c r="AA1189" t="s">
        <v>4013</v>
      </c>
      <c r="AB1189" s="18">
        <v>16321</v>
      </c>
      <c r="AC1189" s="18"/>
      <c r="AD1189" s="18"/>
      <c r="AE1189" s="18"/>
      <c r="AF1189" s="18"/>
      <c r="AG1189" s="18"/>
      <c r="AH1189" s="18">
        <v>16321</v>
      </c>
    </row>
    <row r="1190" spans="25:34" x14ac:dyDescent="0.35">
      <c r="Z1190" t="s">
        <v>4014</v>
      </c>
      <c r="AA1190" t="s">
        <v>4015</v>
      </c>
      <c r="AB1190" s="18">
        <v>125</v>
      </c>
      <c r="AC1190" s="18"/>
      <c r="AD1190" s="18"/>
      <c r="AE1190" s="18"/>
      <c r="AF1190" s="18"/>
      <c r="AG1190" s="18"/>
      <c r="AH1190" s="18">
        <v>125</v>
      </c>
    </row>
    <row r="1191" spans="25:34" x14ac:dyDescent="0.35">
      <c r="AA1191" t="s">
        <v>4016</v>
      </c>
      <c r="AB1191" s="18">
        <v>14849.5</v>
      </c>
      <c r="AC1191" s="18"/>
      <c r="AD1191" s="18"/>
      <c r="AE1191" s="18"/>
      <c r="AF1191" s="18"/>
      <c r="AG1191" s="18"/>
      <c r="AH1191" s="18">
        <v>14849.5</v>
      </c>
    </row>
    <row r="1192" spans="25:34" x14ac:dyDescent="0.35">
      <c r="Z1192" t="s">
        <v>4019</v>
      </c>
      <c r="AA1192" t="s">
        <v>4020</v>
      </c>
      <c r="AB1192" s="18">
        <v>125</v>
      </c>
      <c r="AC1192" s="18"/>
      <c r="AD1192" s="18"/>
      <c r="AE1192" s="18"/>
      <c r="AF1192" s="18"/>
      <c r="AG1192" s="18"/>
      <c r="AH1192" s="18">
        <v>125</v>
      </c>
    </row>
    <row r="1193" spans="25:34" x14ac:dyDescent="0.35">
      <c r="AA1193" t="s">
        <v>4021</v>
      </c>
      <c r="AB1193" s="18">
        <v>16568.5</v>
      </c>
      <c r="AC1193" s="18"/>
      <c r="AD1193" s="18"/>
      <c r="AE1193" s="18"/>
      <c r="AF1193" s="18"/>
      <c r="AG1193" s="18"/>
      <c r="AH1193" s="18">
        <v>16568.5</v>
      </c>
    </row>
    <row r="1194" spans="25:34" x14ac:dyDescent="0.35">
      <c r="Z1194" t="s">
        <v>4026</v>
      </c>
      <c r="AA1194" t="s">
        <v>4027</v>
      </c>
      <c r="AB1194" s="18">
        <v>187.5</v>
      </c>
      <c r="AC1194" s="18"/>
      <c r="AD1194" s="18"/>
      <c r="AE1194" s="18"/>
      <c r="AF1194" s="18"/>
      <c r="AG1194" s="18"/>
      <c r="AH1194" s="18">
        <v>187.5</v>
      </c>
    </row>
    <row r="1195" spans="25:34" x14ac:dyDescent="0.35">
      <c r="AA1195" t="s">
        <v>4028</v>
      </c>
      <c r="AB1195" s="18">
        <v>14496.5</v>
      </c>
      <c r="AC1195" s="18"/>
      <c r="AD1195" s="18"/>
      <c r="AE1195" s="18"/>
      <c r="AF1195" s="18"/>
      <c r="AG1195" s="18"/>
      <c r="AH1195" s="18">
        <v>14496.5</v>
      </c>
    </row>
    <row r="1196" spans="25:34" x14ac:dyDescent="0.35">
      <c r="Z1196" t="s">
        <v>4032</v>
      </c>
      <c r="AA1196" t="s">
        <v>4033</v>
      </c>
      <c r="AB1196" s="18">
        <v>250</v>
      </c>
      <c r="AC1196" s="18"/>
      <c r="AD1196" s="18"/>
      <c r="AE1196" s="18"/>
      <c r="AF1196" s="18"/>
      <c r="AG1196" s="18"/>
      <c r="AH1196" s="18">
        <v>250</v>
      </c>
    </row>
    <row r="1197" spans="25:34" x14ac:dyDescent="0.35">
      <c r="AA1197" t="s">
        <v>4034</v>
      </c>
      <c r="AB1197" s="18">
        <v>21638</v>
      </c>
      <c r="AC1197" s="18"/>
      <c r="AD1197" s="18"/>
      <c r="AE1197" s="18"/>
      <c r="AF1197" s="18"/>
      <c r="AG1197" s="18"/>
      <c r="AH1197" s="18">
        <v>21638</v>
      </c>
    </row>
    <row r="1198" spans="25:34" x14ac:dyDescent="0.35">
      <c r="Z1198" t="s">
        <v>4037</v>
      </c>
      <c r="AA1198" t="s">
        <v>4039</v>
      </c>
      <c r="AB1198" s="18">
        <v>125</v>
      </c>
      <c r="AC1198" s="18"/>
      <c r="AD1198" s="18"/>
      <c r="AE1198" s="18"/>
      <c r="AF1198" s="18"/>
      <c r="AG1198" s="18"/>
      <c r="AH1198" s="18">
        <v>125</v>
      </c>
    </row>
    <row r="1199" spans="25:34" x14ac:dyDescent="0.35">
      <c r="AA1199" t="s">
        <v>4040</v>
      </c>
      <c r="AB1199" s="18">
        <v>7310</v>
      </c>
      <c r="AC1199" s="18"/>
      <c r="AD1199" s="18"/>
      <c r="AE1199" s="18"/>
      <c r="AF1199" s="18"/>
      <c r="AG1199" s="18"/>
      <c r="AH1199" s="18">
        <v>7310</v>
      </c>
    </row>
    <row r="1200" spans="25:34" x14ac:dyDescent="0.35">
      <c r="Y1200">
        <v>4</v>
      </c>
      <c r="Z1200" t="s">
        <v>3616</v>
      </c>
      <c r="AA1200" t="s">
        <v>3617</v>
      </c>
      <c r="AB1200" s="18">
        <v>625</v>
      </c>
      <c r="AC1200" s="18"/>
      <c r="AD1200" s="18"/>
      <c r="AE1200" s="18"/>
      <c r="AF1200" s="18"/>
      <c r="AG1200" s="18"/>
      <c r="AH1200" s="18">
        <v>625</v>
      </c>
    </row>
    <row r="1201" spans="23:34" x14ac:dyDescent="0.35">
      <c r="AA1201" t="s">
        <v>3618</v>
      </c>
      <c r="AB1201" s="18">
        <v>20855</v>
      </c>
      <c r="AC1201" s="18"/>
      <c r="AD1201" s="18"/>
      <c r="AE1201" s="18"/>
      <c r="AF1201" s="18"/>
      <c r="AG1201" s="18"/>
      <c r="AH1201" s="18">
        <v>20855</v>
      </c>
    </row>
    <row r="1202" spans="23:34" x14ac:dyDescent="0.35">
      <c r="Z1202" t="s">
        <v>3625</v>
      </c>
      <c r="AA1202" t="s">
        <v>3626</v>
      </c>
      <c r="AB1202" s="18">
        <v>23118.5</v>
      </c>
      <c r="AC1202" s="18"/>
      <c r="AD1202" s="18"/>
      <c r="AE1202" s="18"/>
      <c r="AF1202" s="18"/>
      <c r="AG1202" s="18"/>
      <c r="AH1202" s="18">
        <v>23118.5</v>
      </c>
    </row>
    <row r="1203" spans="23:34" x14ac:dyDescent="0.35">
      <c r="Z1203" t="s">
        <v>3635</v>
      </c>
      <c r="AA1203" t="s">
        <v>3636</v>
      </c>
      <c r="AB1203" s="18">
        <v>460</v>
      </c>
      <c r="AC1203" s="18"/>
      <c r="AD1203" s="18"/>
      <c r="AE1203" s="18"/>
      <c r="AF1203" s="18"/>
      <c r="AG1203" s="18"/>
      <c r="AH1203" s="18">
        <v>460</v>
      </c>
    </row>
    <row r="1204" spans="23:34" x14ac:dyDescent="0.35">
      <c r="Z1204" t="s">
        <v>3640</v>
      </c>
      <c r="AA1204" t="s">
        <v>3641</v>
      </c>
      <c r="AB1204" s="18">
        <v>62.5</v>
      </c>
      <c r="AC1204" s="18"/>
      <c r="AD1204" s="18"/>
      <c r="AE1204" s="18"/>
      <c r="AF1204" s="18"/>
      <c r="AG1204" s="18"/>
      <c r="AH1204" s="18">
        <v>62.5</v>
      </c>
    </row>
    <row r="1205" spans="23:34" x14ac:dyDescent="0.35">
      <c r="AA1205" t="s">
        <v>3642</v>
      </c>
      <c r="AB1205" s="18">
        <v>6781.6</v>
      </c>
      <c r="AC1205" s="18"/>
      <c r="AD1205" s="18"/>
      <c r="AE1205" s="18"/>
      <c r="AF1205" s="18"/>
      <c r="AG1205" s="18"/>
      <c r="AH1205" s="18">
        <v>6781.6</v>
      </c>
    </row>
    <row r="1206" spans="23:34" x14ac:dyDescent="0.35">
      <c r="Z1206" t="s">
        <v>3646</v>
      </c>
      <c r="AA1206" t="s">
        <v>3647</v>
      </c>
      <c r="AB1206" s="18">
        <v>312.5</v>
      </c>
      <c r="AC1206" s="18"/>
      <c r="AD1206" s="18"/>
      <c r="AE1206" s="18"/>
      <c r="AF1206" s="18"/>
      <c r="AG1206" s="18"/>
      <c r="AH1206" s="18">
        <v>312.5</v>
      </c>
    </row>
    <row r="1207" spans="23:34" x14ac:dyDescent="0.35">
      <c r="AA1207" t="s">
        <v>3648</v>
      </c>
      <c r="AB1207" s="18">
        <v>18996</v>
      </c>
      <c r="AC1207" s="18"/>
      <c r="AD1207" s="18"/>
      <c r="AE1207" s="18"/>
      <c r="AF1207" s="18"/>
      <c r="AG1207" s="18"/>
      <c r="AH1207" s="18">
        <v>18996</v>
      </c>
    </row>
    <row r="1208" spans="23:34" x14ac:dyDescent="0.35">
      <c r="Z1208" t="s">
        <v>3649</v>
      </c>
      <c r="AA1208" t="s">
        <v>3650</v>
      </c>
      <c r="AB1208" s="18">
        <v>7255.8</v>
      </c>
      <c r="AC1208" s="18"/>
      <c r="AD1208" s="18"/>
      <c r="AE1208" s="18"/>
      <c r="AF1208" s="18"/>
      <c r="AG1208" s="18"/>
      <c r="AH1208" s="18">
        <v>7255.8</v>
      </c>
    </row>
    <row r="1209" spans="23:34" x14ac:dyDescent="0.35">
      <c r="Z1209" t="s">
        <v>3654</v>
      </c>
      <c r="AA1209" t="s">
        <v>3655</v>
      </c>
      <c r="AB1209" s="18">
        <v>312.5</v>
      </c>
      <c r="AC1209" s="18"/>
      <c r="AD1209" s="18"/>
      <c r="AE1209" s="18"/>
      <c r="AF1209" s="18"/>
      <c r="AG1209" s="18"/>
      <c r="AH1209" s="18">
        <v>312.5</v>
      </c>
    </row>
    <row r="1210" spans="23:34" x14ac:dyDescent="0.35">
      <c r="AA1210" t="s">
        <v>3656</v>
      </c>
      <c r="AB1210" s="18">
        <v>25374.1</v>
      </c>
      <c r="AC1210" s="18"/>
      <c r="AD1210" s="18"/>
      <c r="AE1210" s="18"/>
      <c r="AF1210" s="18"/>
      <c r="AG1210" s="18"/>
      <c r="AH1210" s="18">
        <v>25374.1</v>
      </c>
    </row>
    <row r="1211" spans="23:34" x14ac:dyDescent="0.35">
      <c r="W1211" s="36" t="s">
        <v>2037</v>
      </c>
      <c r="X1211" s="36"/>
      <c r="Y1211" s="36"/>
      <c r="Z1211" s="36"/>
      <c r="AA1211" s="36"/>
      <c r="AB1211" s="37">
        <v>522339.29999999993</v>
      </c>
      <c r="AC1211" s="37"/>
      <c r="AD1211" s="37"/>
      <c r="AE1211" s="37"/>
      <c r="AF1211" s="37"/>
      <c r="AG1211" s="37"/>
      <c r="AH1211" s="37">
        <v>522339.29999999993</v>
      </c>
    </row>
    <row r="1212" spans="23:34" x14ac:dyDescent="0.35">
      <c r="W1212" t="s">
        <v>2134</v>
      </c>
      <c r="X1212">
        <v>2023</v>
      </c>
      <c r="Y1212">
        <v>12</v>
      </c>
      <c r="Z1212" s="57">
        <v>45275</v>
      </c>
      <c r="AA1212" t="s">
        <v>2193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5">
      <c r="AA1213" t="s">
        <v>2263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5">
      <c r="Z1214" s="57">
        <v>45281</v>
      </c>
      <c r="AA1214" t="s">
        <v>2206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5">
      <c r="X1215">
        <v>2024</v>
      </c>
      <c r="Y1215">
        <v>1</v>
      </c>
      <c r="Z1215" s="57">
        <v>45297</v>
      </c>
      <c r="AA1215" t="s">
        <v>2273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3:34" x14ac:dyDescent="0.35">
      <c r="Y1216">
        <v>3</v>
      </c>
      <c r="Z1216" s="57">
        <v>45353</v>
      </c>
      <c r="AA1216" t="s">
        <v>2425</v>
      </c>
      <c r="AB1216" s="18">
        <v>0</v>
      </c>
      <c r="AC1216" s="18"/>
      <c r="AD1216" s="18"/>
      <c r="AE1216" s="18"/>
      <c r="AF1216" s="18"/>
      <c r="AG1216" s="18"/>
      <c r="AH1216" s="18">
        <v>0</v>
      </c>
    </row>
    <row r="1217" spans="23:34" x14ac:dyDescent="0.35">
      <c r="W1217" s="36" t="s">
        <v>2148</v>
      </c>
      <c r="X1217" s="36"/>
      <c r="Y1217" s="36"/>
      <c r="Z1217" s="36"/>
      <c r="AA1217" s="36"/>
      <c r="AB1217" s="37">
        <v>0</v>
      </c>
      <c r="AC1217" s="37"/>
      <c r="AD1217" s="37"/>
      <c r="AE1217" s="37"/>
      <c r="AF1217" s="37"/>
      <c r="AG1217" s="37"/>
      <c r="AH1217" s="37">
        <v>0</v>
      </c>
    </row>
    <row r="1218" spans="23:34" x14ac:dyDescent="0.35">
      <c r="W1218" t="s">
        <v>2271</v>
      </c>
      <c r="X1218">
        <v>2024</v>
      </c>
      <c r="Y1218">
        <v>1</v>
      </c>
      <c r="Z1218" s="57">
        <v>45295</v>
      </c>
      <c r="AA1218" t="s">
        <v>2270</v>
      </c>
      <c r="AB1218" s="18">
        <v>0</v>
      </c>
      <c r="AC1218" s="18"/>
      <c r="AD1218" s="18"/>
      <c r="AE1218" s="18"/>
      <c r="AF1218" s="18"/>
      <c r="AG1218" s="18"/>
      <c r="AH1218" s="18">
        <v>0</v>
      </c>
    </row>
    <row r="1219" spans="23:34" x14ac:dyDescent="0.35">
      <c r="X1219">
        <v>2025</v>
      </c>
      <c r="Y1219">
        <v>3</v>
      </c>
      <c r="Z1219" s="57">
        <v>45729</v>
      </c>
      <c r="AA1219" t="s">
        <v>3527</v>
      </c>
      <c r="AB1219" s="18">
        <v>0</v>
      </c>
      <c r="AC1219" s="18"/>
      <c r="AD1219" s="18"/>
      <c r="AE1219" s="18"/>
      <c r="AF1219" s="18"/>
      <c r="AG1219" s="18"/>
      <c r="AH1219" s="18">
        <v>0</v>
      </c>
    </row>
    <row r="1220" spans="23:34" x14ac:dyDescent="0.35">
      <c r="W1220" s="36" t="s">
        <v>2340</v>
      </c>
      <c r="X1220" s="36"/>
      <c r="Y1220" s="36"/>
      <c r="Z1220" s="36"/>
      <c r="AA1220" s="36"/>
      <c r="AB1220" s="37">
        <v>0</v>
      </c>
      <c r="AC1220" s="37"/>
      <c r="AD1220" s="37"/>
      <c r="AE1220" s="37"/>
      <c r="AF1220" s="37"/>
      <c r="AG1220" s="37"/>
      <c r="AH1220" s="37">
        <v>0</v>
      </c>
    </row>
    <row r="1221" spans="23:34" x14ac:dyDescent="0.35">
      <c r="W1221" t="s">
        <v>2284</v>
      </c>
      <c r="X1221">
        <v>2024</v>
      </c>
      <c r="Y1221">
        <v>1</v>
      </c>
      <c r="Z1221" s="57">
        <v>45311</v>
      </c>
      <c r="AA1221" t="s">
        <v>2283</v>
      </c>
      <c r="AB1221" s="18">
        <v>0</v>
      </c>
      <c r="AC1221" s="18"/>
      <c r="AD1221" s="18"/>
      <c r="AE1221" s="18"/>
      <c r="AF1221" s="18"/>
      <c r="AG1221" s="18"/>
      <c r="AH1221" s="18">
        <v>0</v>
      </c>
    </row>
    <row r="1222" spans="23:34" x14ac:dyDescent="0.35">
      <c r="Z1222" s="57">
        <v>45313</v>
      </c>
      <c r="AA1222" t="s">
        <v>2289</v>
      </c>
      <c r="AB1222" s="18">
        <v>0</v>
      </c>
      <c r="AC1222" s="18"/>
      <c r="AD1222" s="18"/>
      <c r="AE1222" s="18"/>
      <c r="AF1222" s="18"/>
      <c r="AG1222" s="18"/>
      <c r="AH1222" s="18">
        <v>0</v>
      </c>
    </row>
    <row r="1223" spans="23:34" x14ac:dyDescent="0.35">
      <c r="Z1223" s="57">
        <v>45315</v>
      </c>
      <c r="AA1223" t="s">
        <v>2297</v>
      </c>
      <c r="AB1223" s="18">
        <v>0</v>
      </c>
      <c r="AC1223" s="18"/>
      <c r="AD1223" s="18"/>
      <c r="AE1223" s="18"/>
      <c r="AF1223" s="18"/>
      <c r="AG1223" s="18"/>
      <c r="AH1223" s="18">
        <v>0</v>
      </c>
    </row>
    <row r="1224" spans="23:34" x14ac:dyDescent="0.35">
      <c r="Y1224">
        <v>2</v>
      </c>
      <c r="Z1224" s="57">
        <v>45324</v>
      </c>
      <c r="AA1224" t="s">
        <v>2344</v>
      </c>
      <c r="AB1224" s="18">
        <v>0</v>
      </c>
      <c r="AC1224" s="18"/>
      <c r="AD1224" s="18"/>
      <c r="AE1224" s="18"/>
      <c r="AF1224" s="18"/>
      <c r="AG1224" s="18"/>
      <c r="AH1224" s="18">
        <v>0</v>
      </c>
    </row>
    <row r="1225" spans="23:34" x14ac:dyDescent="0.35">
      <c r="Z1225" s="57">
        <v>45330</v>
      </c>
      <c r="AA1225" t="s">
        <v>2352</v>
      </c>
      <c r="AB1225" s="18">
        <v>0</v>
      </c>
      <c r="AC1225" s="18"/>
      <c r="AD1225" s="18"/>
      <c r="AE1225" s="18"/>
      <c r="AF1225" s="18"/>
      <c r="AG1225" s="18"/>
      <c r="AH1225" s="18">
        <v>0</v>
      </c>
    </row>
    <row r="1226" spans="23:34" x14ac:dyDescent="0.35">
      <c r="Y1226">
        <v>5</v>
      </c>
      <c r="Z1226" s="57">
        <v>45441</v>
      </c>
      <c r="AA1226" t="s">
        <v>2572</v>
      </c>
      <c r="AB1226" s="18">
        <v>0</v>
      </c>
      <c r="AC1226" s="18"/>
      <c r="AD1226" s="18"/>
      <c r="AE1226" s="18"/>
      <c r="AF1226" s="18"/>
      <c r="AG1226" s="18"/>
      <c r="AH1226" s="18">
        <v>0</v>
      </c>
    </row>
    <row r="1227" spans="23:34" x14ac:dyDescent="0.35">
      <c r="Y1227">
        <v>6</v>
      </c>
      <c r="Z1227" s="57">
        <v>45448</v>
      </c>
      <c r="AA1227" t="s">
        <v>2639</v>
      </c>
      <c r="AB1227" s="18">
        <v>0</v>
      </c>
      <c r="AC1227" s="18"/>
      <c r="AD1227" s="18"/>
      <c r="AE1227" s="18"/>
      <c r="AF1227" s="18"/>
      <c r="AG1227" s="18"/>
      <c r="AH1227" s="18">
        <v>0</v>
      </c>
    </row>
    <row r="1228" spans="23:34" x14ac:dyDescent="0.35">
      <c r="W1228" s="36" t="s">
        <v>2341</v>
      </c>
      <c r="X1228" s="36"/>
      <c r="Y1228" s="36"/>
      <c r="Z1228" s="36"/>
      <c r="AA1228" s="36"/>
      <c r="AB1228" s="37">
        <v>0</v>
      </c>
      <c r="AC1228" s="37"/>
      <c r="AD1228" s="37"/>
      <c r="AE1228" s="37"/>
      <c r="AF1228" s="37"/>
      <c r="AG1228" s="37"/>
      <c r="AH1228" s="37">
        <v>0</v>
      </c>
    </row>
    <row r="1229" spans="23:34" x14ac:dyDescent="0.35">
      <c r="W1229" t="s">
        <v>2362</v>
      </c>
      <c r="X1229">
        <v>2024</v>
      </c>
      <c r="Y1229">
        <v>2</v>
      </c>
      <c r="Z1229" s="57">
        <v>45342</v>
      </c>
      <c r="AA1229" t="s">
        <v>2360</v>
      </c>
      <c r="AB1229" s="18">
        <v>0</v>
      </c>
      <c r="AC1229" s="18"/>
      <c r="AD1229" s="18"/>
      <c r="AE1229" s="18"/>
      <c r="AF1229" s="18"/>
      <c r="AG1229" s="18"/>
      <c r="AH1229" s="18">
        <v>0</v>
      </c>
    </row>
    <row r="1230" spans="23:34" x14ac:dyDescent="0.35">
      <c r="W1230" s="36" t="s">
        <v>2504</v>
      </c>
      <c r="X1230" s="36"/>
      <c r="Y1230" s="36"/>
      <c r="Z1230" s="36"/>
      <c r="AA1230" s="36"/>
      <c r="AB1230" s="37">
        <v>0</v>
      </c>
      <c r="AC1230" s="37"/>
      <c r="AD1230" s="37"/>
      <c r="AE1230" s="37"/>
      <c r="AF1230" s="37"/>
      <c r="AG1230" s="37"/>
      <c r="AH1230" s="37">
        <v>0</v>
      </c>
    </row>
    <row r="1231" spans="23:34" x14ac:dyDescent="0.35">
      <c r="W1231" t="s">
        <v>2440</v>
      </c>
      <c r="X1231">
        <v>2024</v>
      </c>
      <c r="Y1231">
        <v>3</v>
      </c>
      <c r="Z1231" s="57">
        <v>45367</v>
      </c>
      <c r="AA1231" t="s">
        <v>2439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5">
      <c r="W1232" s="36" t="s">
        <v>2505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5">
      <c r="W1233" t="s">
        <v>2656</v>
      </c>
      <c r="X1233">
        <v>2024</v>
      </c>
      <c r="Y1233">
        <v>6</v>
      </c>
      <c r="Z1233" s="57">
        <v>45464</v>
      </c>
      <c r="AA1233" t="s">
        <v>2654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5">
      <c r="Y1234">
        <v>7</v>
      </c>
      <c r="Z1234" s="57">
        <v>45485</v>
      </c>
      <c r="AA1234" t="s">
        <v>2760</v>
      </c>
      <c r="AB1234" s="18">
        <v>0</v>
      </c>
      <c r="AC1234" s="18"/>
      <c r="AD1234" s="18"/>
      <c r="AE1234" s="18"/>
      <c r="AF1234" s="18"/>
      <c r="AG1234" s="18"/>
      <c r="AH1234" s="18">
        <v>0</v>
      </c>
    </row>
    <row r="1235" spans="23:34" x14ac:dyDescent="0.35">
      <c r="Z1235" s="57">
        <v>45493</v>
      </c>
      <c r="AA1235" t="s">
        <v>2765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5">
      <c r="Z1236" s="57">
        <v>45503</v>
      </c>
      <c r="AA1236" t="s">
        <v>2774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5">
      <c r="Y1237">
        <v>8</v>
      </c>
      <c r="Z1237" s="57">
        <v>45510</v>
      </c>
      <c r="AA1237" t="s">
        <v>2845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5">
      <c r="Y1238">
        <v>9</v>
      </c>
      <c r="Z1238" s="57">
        <v>45538</v>
      </c>
      <c r="AA1238" t="s">
        <v>2940</v>
      </c>
      <c r="AB1238" s="18">
        <v>0</v>
      </c>
      <c r="AC1238" s="18"/>
      <c r="AD1238" s="18"/>
      <c r="AE1238" s="18"/>
      <c r="AF1238" s="18"/>
      <c r="AG1238" s="18"/>
      <c r="AH1238" s="18">
        <v>0</v>
      </c>
    </row>
    <row r="1239" spans="23:34" x14ac:dyDescent="0.35">
      <c r="Y1239">
        <v>10</v>
      </c>
      <c r="Z1239" s="57">
        <v>45573</v>
      </c>
      <c r="AA1239" t="s">
        <v>3008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5">
      <c r="Z1240" s="57">
        <v>45582</v>
      </c>
      <c r="AA1240" t="s">
        <v>3020</v>
      </c>
      <c r="AB1240" s="18">
        <v>0</v>
      </c>
      <c r="AC1240" s="18"/>
      <c r="AD1240" s="18"/>
      <c r="AE1240" s="18"/>
      <c r="AF1240" s="18"/>
      <c r="AG1240" s="18"/>
      <c r="AH1240" s="18">
        <v>0</v>
      </c>
    </row>
    <row r="1241" spans="23:34" x14ac:dyDescent="0.35">
      <c r="Y1241">
        <v>11</v>
      </c>
      <c r="Z1241" s="57">
        <v>45597</v>
      </c>
      <c r="AA1241" t="s">
        <v>3102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5">
      <c r="Z1242" s="57">
        <v>45604</v>
      </c>
      <c r="AA1242" t="s">
        <v>3114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5">
      <c r="Z1243" s="57">
        <v>45610</v>
      </c>
      <c r="AA1243" t="s">
        <v>3121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5">
      <c r="Z1244" s="57">
        <v>45618</v>
      </c>
      <c r="AA1244" t="s">
        <v>3134</v>
      </c>
      <c r="AB1244" s="18">
        <v>0</v>
      </c>
      <c r="AC1244" s="18"/>
      <c r="AD1244" s="18"/>
      <c r="AE1244" s="18"/>
      <c r="AF1244" s="18"/>
      <c r="AG1244" s="18"/>
      <c r="AH1244" s="18">
        <v>0</v>
      </c>
    </row>
    <row r="1245" spans="23:34" x14ac:dyDescent="0.35">
      <c r="Z1245" s="57">
        <v>45624</v>
      </c>
      <c r="AA1245" t="s">
        <v>3145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5">
      <c r="Y1246">
        <v>12</v>
      </c>
      <c r="Z1246" s="57">
        <v>45629</v>
      </c>
      <c r="AA1246" t="s">
        <v>3213</v>
      </c>
      <c r="AB1246" s="18">
        <v>0</v>
      </c>
      <c r="AC1246" s="18"/>
      <c r="AD1246" s="18"/>
      <c r="AE1246" s="18"/>
      <c r="AF1246" s="18"/>
      <c r="AG1246" s="18"/>
      <c r="AH1246" s="18">
        <v>0</v>
      </c>
    </row>
    <row r="1247" spans="23:34" x14ac:dyDescent="0.35">
      <c r="Z1247" s="57">
        <v>45633</v>
      </c>
      <c r="AA1247" t="s">
        <v>3221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5">
      <c r="Z1248" t="s">
        <v>3235</v>
      </c>
      <c r="AA1248" t="s">
        <v>3236</v>
      </c>
      <c r="AB1248" s="18">
        <v>0</v>
      </c>
      <c r="AC1248" s="18"/>
      <c r="AD1248" s="18"/>
      <c r="AE1248" s="18"/>
      <c r="AF1248" s="18"/>
      <c r="AG1248" s="18"/>
      <c r="AH1248" s="18">
        <v>0</v>
      </c>
    </row>
    <row r="1249" spans="23:34" x14ac:dyDescent="0.35">
      <c r="Z1249" t="s">
        <v>3247</v>
      </c>
      <c r="AA1249" t="s">
        <v>3248</v>
      </c>
      <c r="AB1249" s="18">
        <v>0</v>
      </c>
      <c r="AC1249" s="18"/>
      <c r="AD1249" s="18"/>
      <c r="AE1249" s="18"/>
      <c r="AF1249" s="18"/>
      <c r="AG1249" s="18"/>
      <c r="AH1249" s="18">
        <v>0</v>
      </c>
    </row>
    <row r="1250" spans="23:34" x14ac:dyDescent="0.35">
      <c r="Z1250" t="s">
        <v>3259</v>
      </c>
      <c r="AA1250" t="s">
        <v>3260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3:34" x14ac:dyDescent="0.35">
      <c r="Z1251" t="s">
        <v>3274</v>
      </c>
      <c r="AA1251" t="s">
        <v>3275</v>
      </c>
      <c r="AB1251" s="18">
        <v>0</v>
      </c>
      <c r="AC1251" s="18"/>
      <c r="AD1251" s="18"/>
      <c r="AE1251" s="18"/>
      <c r="AF1251" s="18"/>
      <c r="AG1251" s="18"/>
      <c r="AH1251" s="18">
        <v>0</v>
      </c>
    </row>
    <row r="1252" spans="23:34" x14ac:dyDescent="0.35">
      <c r="X1252">
        <v>2025</v>
      </c>
      <c r="Y1252">
        <v>2</v>
      </c>
      <c r="Z1252" s="57">
        <v>45705</v>
      </c>
      <c r="AA1252" t="s">
        <v>3456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3:34" x14ac:dyDescent="0.35">
      <c r="Y1253">
        <v>3</v>
      </c>
      <c r="Z1253" s="57">
        <v>45717</v>
      </c>
      <c r="AA1253" t="s">
        <v>3504</v>
      </c>
      <c r="AB1253" s="18">
        <v>0</v>
      </c>
      <c r="AC1253" s="18"/>
      <c r="AD1253" s="18"/>
      <c r="AE1253" s="18"/>
      <c r="AF1253" s="18"/>
      <c r="AG1253" s="18"/>
      <c r="AH1253" s="18">
        <v>0</v>
      </c>
    </row>
    <row r="1254" spans="23:34" x14ac:dyDescent="0.35">
      <c r="Z1254" s="57">
        <v>45729</v>
      </c>
      <c r="AA1254" t="s">
        <v>3526</v>
      </c>
      <c r="AB1254" s="18">
        <v>0</v>
      </c>
      <c r="AC1254" s="18"/>
      <c r="AD1254" s="18"/>
      <c r="AE1254" s="18"/>
      <c r="AF1254" s="18"/>
      <c r="AG1254" s="18"/>
      <c r="AH1254" s="18">
        <v>0</v>
      </c>
    </row>
    <row r="1255" spans="23:34" x14ac:dyDescent="0.35">
      <c r="Y1255">
        <v>5</v>
      </c>
      <c r="Z1255" t="s">
        <v>3700</v>
      </c>
      <c r="AA1255" t="s">
        <v>3701</v>
      </c>
      <c r="AB1255" s="18">
        <v>0</v>
      </c>
      <c r="AC1255" s="18"/>
      <c r="AD1255" s="18"/>
      <c r="AE1255" s="18"/>
      <c r="AF1255" s="18"/>
      <c r="AG1255" s="18"/>
      <c r="AH1255" s="18">
        <v>0</v>
      </c>
    </row>
    <row r="1256" spans="23:34" x14ac:dyDescent="0.35">
      <c r="Z1256" t="s">
        <v>3719</v>
      </c>
      <c r="AA1256" t="s">
        <v>3721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3:34" x14ac:dyDescent="0.35">
      <c r="Y1257">
        <v>6</v>
      </c>
      <c r="Z1257" t="s">
        <v>3869</v>
      </c>
      <c r="AA1257" t="s">
        <v>3870</v>
      </c>
      <c r="AB1257" s="18">
        <v>2360</v>
      </c>
      <c r="AC1257" s="18"/>
      <c r="AD1257" s="18"/>
      <c r="AE1257" s="18"/>
      <c r="AF1257" s="18"/>
      <c r="AG1257" s="18"/>
      <c r="AH1257" s="18">
        <v>2360</v>
      </c>
    </row>
    <row r="1258" spans="23:34" x14ac:dyDescent="0.35">
      <c r="Y1258">
        <v>4</v>
      </c>
      <c r="Z1258" t="s">
        <v>3613</v>
      </c>
      <c r="AA1258" t="s">
        <v>3614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3:34" x14ac:dyDescent="0.35">
      <c r="Z1259" t="s">
        <v>3630</v>
      </c>
      <c r="AA1259" t="s">
        <v>3631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3:34" x14ac:dyDescent="0.35">
      <c r="W1260" s="36" t="s">
        <v>2667</v>
      </c>
      <c r="X1260" s="36"/>
      <c r="Y1260" s="36"/>
      <c r="Z1260" s="36"/>
      <c r="AA1260" s="36"/>
      <c r="AB1260" s="37">
        <v>2360</v>
      </c>
      <c r="AC1260" s="37"/>
      <c r="AD1260" s="37"/>
      <c r="AE1260" s="37"/>
      <c r="AF1260" s="37"/>
      <c r="AG1260" s="37"/>
      <c r="AH1260" s="37">
        <v>2360</v>
      </c>
    </row>
    <row r="1261" spans="23:34" x14ac:dyDescent="0.35">
      <c r="W1261" t="s">
        <v>2728</v>
      </c>
      <c r="X1261">
        <v>2024</v>
      </c>
      <c r="Y1261">
        <v>6</v>
      </c>
      <c r="Z1261" s="57">
        <v>45463</v>
      </c>
      <c r="AA1261" t="s">
        <v>2650</v>
      </c>
      <c r="AB1261" s="18">
        <v>0</v>
      </c>
      <c r="AC1261" s="18"/>
      <c r="AD1261" s="18"/>
      <c r="AE1261" s="18"/>
      <c r="AF1261" s="18"/>
      <c r="AG1261" s="18"/>
      <c r="AH1261" s="18">
        <v>0</v>
      </c>
    </row>
    <row r="1262" spans="23:34" x14ac:dyDescent="0.35">
      <c r="Y1262">
        <v>7</v>
      </c>
      <c r="Z1262" s="57">
        <v>45476</v>
      </c>
      <c r="AA1262" t="s">
        <v>2752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3:34" x14ac:dyDescent="0.35">
      <c r="Z1263" s="57">
        <v>45479</v>
      </c>
      <c r="AA1263" t="s">
        <v>2756</v>
      </c>
      <c r="AB1263" s="18">
        <v>0</v>
      </c>
      <c r="AC1263" s="18"/>
      <c r="AD1263" s="18"/>
      <c r="AE1263" s="18"/>
      <c r="AF1263" s="18"/>
      <c r="AG1263" s="18"/>
      <c r="AH1263" s="18">
        <v>0</v>
      </c>
    </row>
    <row r="1264" spans="23:34" x14ac:dyDescent="0.35">
      <c r="Z1264" s="57">
        <v>45500</v>
      </c>
      <c r="AA1264" t="s">
        <v>2770</v>
      </c>
      <c r="AB1264" s="18">
        <v>2545</v>
      </c>
      <c r="AC1264" s="18"/>
      <c r="AD1264" s="18"/>
      <c r="AE1264" s="18"/>
      <c r="AF1264" s="18"/>
      <c r="AG1264" s="18"/>
      <c r="AH1264" s="18">
        <v>2545</v>
      </c>
    </row>
    <row r="1265" spans="23:34" x14ac:dyDescent="0.35">
      <c r="Z1265" s="57">
        <v>45502</v>
      </c>
      <c r="AA1265" t="s">
        <v>2773</v>
      </c>
      <c r="AB1265" s="18">
        <v>225</v>
      </c>
      <c r="AC1265" s="18"/>
      <c r="AD1265" s="18"/>
      <c r="AE1265" s="18"/>
      <c r="AF1265" s="18"/>
      <c r="AG1265" s="18"/>
      <c r="AH1265" s="18">
        <v>225</v>
      </c>
    </row>
    <row r="1266" spans="23:34" x14ac:dyDescent="0.35">
      <c r="Y1266">
        <v>8</v>
      </c>
      <c r="Z1266" s="57">
        <v>45511</v>
      </c>
      <c r="AA1266" t="s">
        <v>2850</v>
      </c>
      <c r="AB1266" s="18">
        <v>6210</v>
      </c>
      <c r="AC1266" s="18"/>
      <c r="AD1266" s="18"/>
      <c r="AE1266" s="18"/>
      <c r="AF1266" s="18"/>
      <c r="AG1266" s="18"/>
      <c r="AH1266" s="18">
        <v>6210</v>
      </c>
    </row>
    <row r="1267" spans="23:34" x14ac:dyDescent="0.35">
      <c r="Z1267" s="57">
        <v>45516</v>
      </c>
      <c r="AA1267" t="s">
        <v>2855</v>
      </c>
      <c r="AB1267" s="18">
        <v>4195</v>
      </c>
      <c r="AC1267" s="18"/>
      <c r="AD1267" s="18"/>
      <c r="AE1267" s="18"/>
      <c r="AF1267" s="18"/>
      <c r="AG1267" s="18"/>
      <c r="AH1267" s="18">
        <v>4195</v>
      </c>
    </row>
    <row r="1268" spans="23:34" x14ac:dyDescent="0.35">
      <c r="Z1268" s="57">
        <v>45517</v>
      </c>
      <c r="AA1268" t="s">
        <v>2856</v>
      </c>
      <c r="AB1268" s="18">
        <v>110</v>
      </c>
      <c r="AC1268" s="18"/>
      <c r="AD1268" s="18"/>
      <c r="AE1268" s="18"/>
      <c r="AF1268" s="18"/>
      <c r="AG1268" s="18"/>
      <c r="AH1268" s="18">
        <v>110</v>
      </c>
    </row>
    <row r="1269" spans="23:34" x14ac:dyDescent="0.35">
      <c r="Z1269" s="57">
        <v>45519</v>
      </c>
      <c r="AA1269" t="s">
        <v>2858</v>
      </c>
      <c r="AB1269" s="18">
        <v>250</v>
      </c>
      <c r="AC1269" s="18"/>
      <c r="AD1269" s="18"/>
      <c r="AE1269" s="18"/>
      <c r="AF1269" s="18"/>
      <c r="AG1269" s="18"/>
      <c r="AH1269" s="18">
        <v>250</v>
      </c>
    </row>
    <row r="1270" spans="23:34" x14ac:dyDescent="0.35">
      <c r="Z1270" s="57">
        <v>45520</v>
      </c>
      <c r="AA1270" t="s">
        <v>2861</v>
      </c>
      <c r="AB1270" s="18">
        <v>180</v>
      </c>
      <c r="AC1270" s="18"/>
      <c r="AD1270" s="18"/>
      <c r="AE1270" s="18"/>
      <c r="AF1270" s="18"/>
      <c r="AG1270" s="18"/>
      <c r="AH1270" s="18">
        <v>180</v>
      </c>
    </row>
    <row r="1271" spans="23:34" x14ac:dyDescent="0.35">
      <c r="Z1271" s="57">
        <v>45521</v>
      </c>
      <c r="AA1271" t="s">
        <v>2864</v>
      </c>
      <c r="AB1271" s="18">
        <v>175</v>
      </c>
      <c r="AC1271" s="18"/>
      <c r="AD1271" s="18"/>
      <c r="AE1271" s="18"/>
      <c r="AF1271" s="18"/>
      <c r="AG1271" s="18"/>
      <c r="AH1271" s="18">
        <v>175</v>
      </c>
    </row>
    <row r="1272" spans="23:34" x14ac:dyDescent="0.35">
      <c r="Y1272">
        <v>11</v>
      </c>
      <c r="Z1272" s="57">
        <v>45615</v>
      </c>
      <c r="AA1272" t="s">
        <v>3129</v>
      </c>
      <c r="AB1272" s="18">
        <v>295</v>
      </c>
      <c r="AC1272" s="18"/>
      <c r="AD1272" s="18"/>
      <c r="AE1272" s="18"/>
      <c r="AF1272" s="18"/>
      <c r="AG1272" s="18"/>
      <c r="AH1272" s="18">
        <v>295</v>
      </c>
    </row>
    <row r="1273" spans="23:34" x14ac:dyDescent="0.35">
      <c r="Z1273" s="57">
        <v>45618</v>
      </c>
      <c r="AA1273" t="s">
        <v>3135</v>
      </c>
      <c r="AB1273" s="18">
        <v>2432.5</v>
      </c>
      <c r="AC1273" s="18"/>
      <c r="AD1273" s="18"/>
      <c r="AE1273" s="18"/>
      <c r="AF1273" s="18"/>
      <c r="AG1273" s="18"/>
      <c r="AH1273" s="18">
        <v>2432.5</v>
      </c>
    </row>
    <row r="1274" spans="23:34" x14ac:dyDescent="0.35">
      <c r="Z1274" s="57">
        <v>45621</v>
      </c>
      <c r="AA1274" t="s">
        <v>3136</v>
      </c>
      <c r="AB1274" s="18">
        <v>40</v>
      </c>
      <c r="AC1274" s="18"/>
      <c r="AD1274" s="18"/>
      <c r="AE1274" s="18"/>
      <c r="AF1274" s="18"/>
      <c r="AG1274" s="18"/>
      <c r="AH1274" s="18">
        <v>40</v>
      </c>
    </row>
    <row r="1275" spans="23:34" x14ac:dyDescent="0.35">
      <c r="Z1275" s="57">
        <v>45626</v>
      </c>
      <c r="AA1275" t="s">
        <v>3146</v>
      </c>
      <c r="AB1275" s="18">
        <v>180</v>
      </c>
      <c r="AC1275" s="18"/>
      <c r="AD1275" s="18"/>
      <c r="AE1275" s="18"/>
      <c r="AF1275" s="18"/>
      <c r="AG1275" s="18"/>
      <c r="AH1275" s="18">
        <v>180</v>
      </c>
    </row>
    <row r="1276" spans="23:34" x14ac:dyDescent="0.35">
      <c r="Y1276">
        <v>12</v>
      </c>
      <c r="Z1276" s="57">
        <v>45628</v>
      </c>
      <c r="AA1276" t="s">
        <v>3212</v>
      </c>
      <c r="AB1276" s="18">
        <v>1980</v>
      </c>
      <c r="AC1276" s="18"/>
      <c r="AD1276" s="18"/>
      <c r="AE1276" s="18"/>
      <c r="AF1276" s="18"/>
      <c r="AG1276" s="18"/>
      <c r="AH1276" s="18">
        <v>1980</v>
      </c>
    </row>
    <row r="1277" spans="23:34" x14ac:dyDescent="0.35">
      <c r="Z1277" s="57">
        <v>45629</v>
      </c>
      <c r="AA1277" t="s">
        <v>3214</v>
      </c>
      <c r="AB1277" s="18">
        <v>115</v>
      </c>
      <c r="AC1277" s="18"/>
      <c r="AD1277" s="18"/>
      <c r="AE1277" s="18"/>
      <c r="AF1277" s="18"/>
      <c r="AG1277" s="18"/>
      <c r="AH1277" s="18">
        <v>115</v>
      </c>
    </row>
    <row r="1278" spans="23:34" x14ac:dyDescent="0.35">
      <c r="Z1278" t="s">
        <v>3262</v>
      </c>
      <c r="AA1278" t="s">
        <v>3265</v>
      </c>
      <c r="AB1278" s="18">
        <v>40</v>
      </c>
      <c r="AC1278" s="18"/>
      <c r="AD1278" s="18"/>
      <c r="AE1278" s="18"/>
      <c r="AF1278" s="18"/>
      <c r="AG1278" s="18"/>
      <c r="AH1278" s="18">
        <v>40</v>
      </c>
    </row>
    <row r="1279" spans="23:34" x14ac:dyDescent="0.35">
      <c r="W1279" s="36" t="s">
        <v>2733</v>
      </c>
      <c r="X1279" s="36"/>
      <c r="Y1279" s="36"/>
      <c r="Z1279" s="36"/>
      <c r="AA1279" s="36"/>
      <c r="AB1279" s="37">
        <v>18972.5</v>
      </c>
      <c r="AC1279" s="37"/>
      <c r="AD1279" s="37"/>
      <c r="AE1279" s="37"/>
      <c r="AF1279" s="37"/>
      <c r="AG1279" s="37"/>
      <c r="AH1279" s="37">
        <v>18972.5</v>
      </c>
    </row>
    <row r="1280" spans="23:34" x14ac:dyDescent="0.35">
      <c r="W1280" t="s">
        <v>2734</v>
      </c>
      <c r="X1280">
        <v>2024</v>
      </c>
      <c r="Y1280">
        <v>7</v>
      </c>
      <c r="Z1280" s="57">
        <v>45475</v>
      </c>
      <c r="AA1280" t="s">
        <v>2746</v>
      </c>
      <c r="AB1280" s="18">
        <v>0</v>
      </c>
      <c r="AC1280" s="18"/>
      <c r="AD1280" s="18"/>
      <c r="AE1280" s="18"/>
      <c r="AF1280" s="18"/>
      <c r="AG1280" s="18"/>
      <c r="AH1280" s="18">
        <v>0</v>
      </c>
    </row>
    <row r="1281" spans="23:34" x14ac:dyDescent="0.35">
      <c r="W1281" s="36" t="s">
        <v>2838</v>
      </c>
      <c r="X1281" s="36"/>
      <c r="Y1281" s="36"/>
      <c r="Z1281" s="36"/>
      <c r="AA1281" s="36"/>
      <c r="AB1281" s="37">
        <v>0</v>
      </c>
      <c r="AC1281" s="37"/>
      <c r="AD1281" s="37"/>
      <c r="AE1281" s="37"/>
      <c r="AF1281" s="37"/>
      <c r="AG1281" s="37"/>
      <c r="AH1281" s="37">
        <v>0</v>
      </c>
    </row>
    <row r="1282" spans="23:34" x14ac:dyDescent="0.35">
      <c r="W1282" t="s">
        <v>2740</v>
      </c>
      <c r="X1282">
        <v>2024</v>
      </c>
      <c r="Y1282">
        <v>7</v>
      </c>
      <c r="Z1282" s="57">
        <v>45489</v>
      </c>
      <c r="AA1282" t="s">
        <v>2761</v>
      </c>
      <c r="AB1282" s="18">
        <v>0</v>
      </c>
      <c r="AC1282" s="18"/>
      <c r="AD1282" s="18"/>
      <c r="AE1282" s="18"/>
      <c r="AF1282" s="18"/>
      <c r="AG1282" s="18"/>
      <c r="AH1282" s="18">
        <v>0</v>
      </c>
    </row>
    <row r="1283" spans="23:34" x14ac:dyDescent="0.35">
      <c r="W1283" s="36" t="s">
        <v>2839</v>
      </c>
      <c r="X1283" s="36"/>
      <c r="Y1283" s="36"/>
      <c r="Z1283" s="36"/>
      <c r="AA1283" s="36"/>
      <c r="AB1283" s="37">
        <v>0</v>
      </c>
      <c r="AC1283" s="37"/>
      <c r="AD1283" s="37"/>
      <c r="AE1283" s="37"/>
      <c r="AF1283" s="37"/>
      <c r="AG1283" s="37"/>
      <c r="AH1283" s="37">
        <v>0</v>
      </c>
    </row>
    <row r="1284" spans="23:34" x14ac:dyDescent="0.35">
      <c r="W1284" t="s">
        <v>2928</v>
      </c>
      <c r="X1284">
        <v>2023</v>
      </c>
      <c r="Y1284">
        <v>10</v>
      </c>
      <c r="Z1284" s="57">
        <v>45224</v>
      </c>
      <c r="AA1284" t="s">
        <v>2027</v>
      </c>
      <c r="AB1284" s="18">
        <v>0</v>
      </c>
      <c r="AC1284" s="18"/>
      <c r="AD1284" s="18"/>
      <c r="AE1284" s="18"/>
      <c r="AF1284" s="18"/>
      <c r="AG1284" s="18"/>
      <c r="AH1284" s="18">
        <v>0</v>
      </c>
    </row>
    <row r="1285" spans="23:34" x14ac:dyDescent="0.35">
      <c r="Y1285">
        <v>11</v>
      </c>
      <c r="Z1285" s="57">
        <v>45233</v>
      </c>
      <c r="AA1285" t="s">
        <v>2092</v>
      </c>
      <c r="AB1285" s="18">
        <v>0</v>
      </c>
      <c r="AC1285" s="18"/>
      <c r="AD1285" s="18"/>
      <c r="AE1285" s="18"/>
      <c r="AF1285" s="18"/>
      <c r="AG1285" s="18"/>
      <c r="AH1285" s="18">
        <v>0</v>
      </c>
    </row>
    <row r="1286" spans="23:34" x14ac:dyDescent="0.35">
      <c r="X1286">
        <v>2024</v>
      </c>
      <c r="Y1286">
        <v>8</v>
      </c>
      <c r="Z1286" s="57">
        <v>45510</v>
      </c>
      <c r="AA1286" t="s">
        <v>2848</v>
      </c>
      <c r="AB1286" s="18">
        <v>0</v>
      </c>
      <c r="AC1286" s="18"/>
      <c r="AD1286" s="18"/>
      <c r="AE1286" s="18"/>
      <c r="AF1286" s="18"/>
      <c r="AG1286" s="18"/>
      <c r="AH1286" s="18">
        <v>0</v>
      </c>
    </row>
    <row r="1287" spans="23:34" x14ac:dyDescent="0.35">
      <c r="W1287" s="36" t="s">
        <v>2930</v>
      </c>
      <c r="X1287" s="36"/>
      <c r="Y1287" s="36"/>
      <c r="Z1287" s="36"/>
      <c r="AA1287" s="36"/>
      <c r="AB1287" s="37">
        <v>0</v>
      </c>
      <c r="AC1287" s="37"/>
      <c r="AD1287" s="37"/>
      <c r="AE1287" s="37"/>
      <c r="AF1287" s="37"/>
      <c r="AG1287" s="37"/>
      <c r="AH1287" s="37">
        <v>0</v>
      </c>
    </row>
    <row r="1288" spans="23:34" x14ac:dyDescent="0.35">
      <c r="W1288" t="s">
        <v>2929</v>
      </c>
      <c r="X1288">
        <v>2023</v>
      </c>
      <c r="Y1288">
        <v>12</v>
      </c>
      <c r="Z1288" s="57">
        <v>45276</v>
      </c>
      <c r="AA1288" t="s">
        <v>2195</v>
      </c>
      <c r="AB1288" s="18">
        <v>0</v>
      </c>
      <c r="AC1288" s="18"/>
      <c r="AD1288" s="18"/>
      <c r="AE1288" s="18"/>
      <c r="AF1288" s="18"/>
      <c r="AG1288" s="18"/>
      <c r="AH1288" s="18">
        <v>0</v>
      </c>
    </row>
    <row r="1289" spans="23:34" x14ac:dyDescent="0.35">
      <c r="X1289">
        <v>2024</v>
      </c>
      <c r="Y1289">
        <v>1</v>
      </c>
      <c r="Z1289" s="57">
        <v>45300</v>
      </c>
      <c r="AA1289" t="s">
        <v>2275</v>
      </c>
      <c r="AB1289" s="18">
        <v>0</v>
      </c>
      <c r="AC1289" s="18"/>
      <c r="AD1289" s="18"/>
      <c r="AE1289" s="18"/>
      <c r="AF1289" s="18"/>
      <c r="AG1289" s="18"/>
      <c r="AH1289" s="18">
        <v>0</v>
      </c>
    </row>
    <row r="1290" spans="23:34" x14ac:dyDescent="0.35">
      <c r="Z1290" s="57">
        <v>45314</v>
      </c>
      <c r="AA1290" t="s">
        <v>2290</v>
      </c>
      <c r="AB1290" s="18">
        <v>0</v>
      </c>
      <c r="AC1290" s="18"/>
      <c r="AD1290" s="18"/>
      <c r="AE1290" s="18"/>
      <c r="AF1290" s="18"/>
      <c r="AG1290" s="18"/>
      <c r="AH1290" s="18">
        <v>0</v>
      </c>
    </row>
    <row r="1291" spans="23:34" x14ac:dyDescent="0.35">
      <c r="Y1291">
        <v>2</v>
      </c>
      <c r="Z1291" s="57">
        <v>45343</v>
      </c>
      <c r="AA1291" t="s">
        <v>2364</v>
      </c>
      <c r="AB1291" s="18">
        <v>0</v>
      </c>
      <c r="AC1291" s="18"/>
      <c r="AD1291" s="18"/>
      <c r="AE1291" s="18"/>
      <c r="AF1291" s="18"/>
      <c r="AG1291" s="18"/>
      <c r="AH1291" s="18">
        <v>0</v>
      </c>
    </row>
    <row r="1292" spans="23:34" x14ac:dyDescent="0.35">
      <c r="Y1292">
        <v>3</v>
      </c>
      <c r="Z1292" s="57">
        <v>45356</v>
      </c>
      <c r="AA1292" t="s">
        <v>2429</v>
      </c>
      <c r="AB1292" s="18">
        <v>0</v>
      </c>
      <c r="AC1292" s="18"/>
      <c r="AD1292" s="18"/>
      <c r="AE1292" s="18"/>
      <c r="AF1292" s="18"/>
      <c r="AG1292" s="18"/>
      <c r="AH1292" s="18">
        <v>0</v>
      </c>
    </row>
    <row r="1293" spans="23:34" x14ac:dyDescent="0.35">
      <c r="Z1293" s="57">
        <v>45373</v>
      </c>
      <c r="AA1293" t="s">
        <v>2451</v>
      </c>
      <c r="AB1293" s="18">
        <v>0</v>
      </c>
      <c r="AC1293" s="18"/>
      <c r="AD1293" s="18"/>
      <c r="AE1293" s="18"/>
      <c r="AF1293" s="18"/>
      <c r="AG1293" s="18"/>
      <c r="AH1293" s="18">
        <v>0</v>
      </c>
    </row>
    <row r="1294" spans="23:34" x14ac:dyDescent="0.35">
      <c r="Y1294">
        <v>5</v>
      </c>
      <c r="Z1294" s="57">
        <v>45441</v>
      </c>
      <c r="AA1294" t="s">
        <v>2575</v>
      </c>
      <c r="AB1294" s="18">
        <v>0</v>
      </c>
      <c r="AC1294" s="18"/>
      <c r="AD1294" s="18"/>
      <c r="AE1294" s="18"/>
      <c r="AF1294" s="18"/>
      <c r="AG1294" s="18"/>
      <c r="AH1294" s="18">
        <v>0</v>
      </c>
    </row>
    <row r="1295" spans="23:34" x14ac:dyDescent="0.35">
      <c r="Y1295">
        <v>7</v>
      </c>
      <c r="Z1295" s="57">
        <v>45475</v>
      </c>
      <c r="AA1295" t="s">
        <v>2749</v>
      </c>
      <c r="AB1295" s="18">
        <v>0</v>
      </c>
      <c r="AC1295" s="18"/>
      <c r="AD1295" s="18"/>
      <c r="AE1295" s="18"/>
      <c r="AF1295" s="18"/>
      <c r="AG1295" s="18"/>
      <c r="AH1295" s="18">
        <v>0</v>
      </c>
    </row>
    <row r="1296" spans="23:34" x14ac:dyDescent="0.35">
      <c r="Z1296" s="57">
        <v>45479</v>
      </c>
      <c r="AA1296" t="s">
        <v>2755</v>
      </c>
      <c r="AB1296" s="18">
        <v>0</v>
      </c>
      <c r="AC1296" s="18"/>
      <c r="AD1296" s="18"/>
      <c r="AE1296" s="18"/>
      <c r="AF1296" s="18"/>
      <c r="AG1296" s="18"/>
      <c r="AH1296" s="18">
        <v>0</v>
      </c>
    </row>
    <row r="1297" spans="24:34" x14ac:dyDescent="0.35">
      <c r="Y1297">
        <v>8</v>
      </c>
      <c r="Z1297" s="57">
        <v>45509</v>
      </c>
      <c r="AA1297" t="s">
        <v>2844</v>
      </c>
      <c r="AB1297" s="18">
        <v>0</v>
      </c>
      <c r="AC1297" s="18"/>
      <c r="AD1297" s="18"/>
      <c r="AE1297" s="18"/>
      <c r="AF1297" s="18"/>
      <c r="AG1297" s="18"/>
      <c r="AH1297" s="18">
        <v>0</v>
      </c>
    </row>
    <row r="1298" spans="24:34" x14ac:dyDescent="0.35">
      <c r="Y1298">
        <v>9</v>
      </c>
      <c r="Z1298" s="57">
        <v>45542</v>
      </c>
      <c r="AA1298" t="s">
        <v>2943</v>
      </c>
      <c r="AB1298" s="18">
        <v>0</v>
      </c>
      <c r="AC1298" s="18"/>
      <c r="AD1298" s="18"/>
      <c r="AE1298" s="18"/>
      <c r="AF1298" s="18"/>
      <c r="AG1298" s="18"/>
      <c r="AH1298" s="18">
        <v>0</v>
      </c>
    </row>
    <row r="1299" spans="24:34" x14ac:dyDescent="0.35">
      <c r="Z1299" s="57">
        <v>45560</v>
      </c>
      <c r="AA1299" t="s">
        <v>2954</v>
      </c>
      <c r="AB1299" s="18">
        <v>0</v>
      </c>
      <c r="AC1299" s="18"/>
      <c r="AD1299" s="18"/>
      <c r="AE1299" s="18"/>
      <c r="AF1299" s="18"/>
      <c r="AG1299" s="18"/>
      <c r="AH1299" s="18">
        <v>0</v>
      </c>
    </row>
    <row r="1300" spans="24:34" x14ac:dyDescent="0.35">
      <c r="Z1300" s="57">
        <v>45565</v>
      </c>
      <c r="AA1300" t="s">
        <v>2959</v>
      </c>
      <c r="AB1300" s="18">
        <v>0</v>
      </c>
      <c r="AC1300" s="18"/>
      <c r="AD1300" s="18"/>
      <c r="AE1300" s="18"/>
      <c r="AF1300" s="18"/>
      <c r="AG1300" s="18"/>
      <c r="AH1300" s="18">
        <v>0</v>
      </c>
    </row>
    <row r="1301" spans="24:34" x14ac:dyDescent="0.35">
      <c r="Y1301">
        <v>10</v>
      </c>
      <c r="Z1301" s="57">
        <v>45586</v>
      </c>
      <c r="AA1301" t="s">
        <v>3023</v>
      </c>
      <c r="AB1301" s="18">
        <v>0</v>
      </c>
      <c r="AC1301" s="18"/>
      <c r="AD1301" s="18"/>
      <c r="AE1301" s="18"/>
      <c r="AF1301" s="18"/>
      <c r="AG1301" s="18"/>
      <c r="AH1301" s="18">
        <v>0</v>
      </c>
    </row>
    <row r="1302" spans="24:34" x14ac:dyDescent="0.35">
      <c r="Z1302" s="57">
        <v>45594</v>
      </c>
      <c r="AA1302" t="s">
        <v>3031</v>
      </c>
      <c r="AB1302" s="18">
        <v>0</v>
      </c>
      <c r="AC1302" s="18"/>
      <c r="AD1302" s="18"/>
      <c r="AE1302" s="18"/>
      <c r="AF1302" s="18"/>
      <c r="AG1302" s="18"/>
      <c r="AH1302" s="18">
        <v>0</v>
      </c>
    </row>
    <row r="1303" spans="24:34" x14ac:dyDescent="0.35">
      <c r="AA1303" t="s">
        <v>3033</v>
      </c>
      <c r="AB1303" s="18">
        <v>0</v>
      </c>
      <c r="AC1303" s="18"/>
      <c r="AD1303" s="18"/>
      <c r="AE1303" s="18"/>
      <c r="AF1303" s="18"/>
      <c r="AG1303" s="18"/>
      <c r="AH1303" s="18">
        <v>0</v>
      </c>
    </row>
    <row r="1304" spans="24:34" x14ac:dyDescent="0.35">
      <c r="AA1304" t="s">
        <v>3034</v>
      </c>
      <c r="AB1304" s="18">
        <v>0</v>
      </c>
      <c r="AC1304" s="18"/>
      <c r="AD1304" s="18"/>
      <c r="AE1304" s="18"/>
      <c r="AF1304" s="18"/>
      <c r="AG1304" s="18"/>
      <c r="AH1304" s="18">
        <v>0</v>
      </c>
    </row>
    <row r="1305" spans="24:34" x14ac:dyDescent="0.35">
      <c r="Y1305">
        <v>11</v>
      </c>
      <c r="Z1305" s="57">
        <v>45602</v>
      </c>
      <c r="AA1305" t="s">
        <v>3108</v>
      </c>
      <c r="AB1305" s="18">
        <v>0</v>
      </c>
      <c r="AC1305" s="18"/>
      <c r="AD1305" s="18"/>
      <c r="AE1305" s="18"/>
      <c r="AF1305" s="18"/>
      <c r="AG1305" s="18"/>
      <c r="AH1305" s="18">
        <v>0</v>
      </c>
    </row>
    <row r="1306" spans="24:34" x14ac:dyDescent="0.35">
      <c r="Z1306" s="57">
        <v>45619</v>
      </c>
      <c r="AA1306" t="s">
        <v>3133</v>
      </c>
      <c r="AB1306" s="18">
        <v>0</v>
      </c>
      <c r="AC1306" s="18"/>
      <c r="AD1306" s="18"/>
      <c r="AE1306" s="18"/>
      <c r="AF1306" s="18"/>
      <c r="AG1306" s="18"/>
      <c r="AH1306" s="18">
        <v>0</v>
      </c>
    </row>
    <row r="1307" spans="24:34" x14ac:dyDescent="0.35">
      <c r="Y1307">
        <v>12</v>
      </c>
      <c r="Z1307" t="s">
        <v>3235</v>
      </c>
      <c r="AA1307" t="s">
        <v>3238</v>
      </c>
      <c r="AB1307" s="18">
        <v>0</v>
      </c>
      <c r="AC1307" s="18"/>
      <c r="AD1307" s="18"/>
      <c r="AE1307" s="18"/>
      <c r="AF1307" s="18"/>
      <c r="AG1307" s="18"/>
      <c r="AH1307" s="18">
        <v>0</v>
      </c>
    </row>
    <row r="1308" spans="24:34" x14ac:dyDescent="0.35">
      <c r="Z1308" t="s">
        <v>3253</v>
      </c>
      <c r="AA1308" t="s">
        <v>3254</v>
      </c>
      <c r="AB1308" s="18">
        <v>0</v>
      </c>
      <c r="AC1308" s="18"/>
      <c r="AD1308" s="18"/>
      <c r="AE1308" s="18"/>
      <c r="AF1308" s="18"/>
      <c r="AG1308" s="18"/>
      <c r="AH1308" s="18">
        <v>0</v>
      </c>
    </row>
    <row r="1309" spans="24:34" x14ac:dyDescent="0.35">
      <c r="Z1309" t="s">
        <v>3271</v>
      </c>
      <c r="AA1309" t="s">
        <v>3272</v>
      </c>
      <c r="AB1309" s="18">
        <v>0</v>
      </c>
      <c r="AC1309" s="18"/>
      <c r="AD1309" s="18"/>
      <c r="AE1309" s="18"/>
      <c r="AF1309" s="18"/>
      <c r="AG1309" s="18"/>
      <c r="AH1309" s="18">
        <v>0</v>
      </c>
    </row>
    <row r="1310" spans="24:34" x14ac:dyDescent="0.35">
      <c r="Y1310">
        <v>4</v>
      </c>
      <c r="Z1310" s="57">
        <v>45386</v>
      </c>
      <c r="AA1310" t="s">
        <v>2506</v>
      </c>
      <c r="AB1310" s="18">
        <v>0</v>
      </c>
      <c r="AC1310" s="18"/>
      <c r="AD1310" s="18"/>
      <c r="AE1310" s="18"/>
      <c r="AF1310" s="18"/>
      <c r="AG1310" s="18"/>
      <c r="AH1310" s="18">
        <v>0</v>
      </c>
    </row>
    <row r="1311" spans="24:34" x14ac:dyDescent="0.35">
      <c r="Z1311" s="57">
        <v>45408</v>
      </c>
      <c r="AA1311" t="s">
        <v>2520</v>
      </c>
      <c r="AB1311" s="18">
        <v>0</v>
      </c>
      <c r="AC1311" s="18"/>
      <c r="AD1311" s="18"/>
      <c r="AE1311" s="18"/>
      <c r="AF1311" s="18"/>
      <c r="AG1311" s="18"/>
      <c r="AH1311" s="18">
        <v>0</v>
      </c>
    </row>
    <row r="1312" spans="24:34" x14ac:dyDescent="0.35">
      <c r="X1312">
        <v>2025</v>
      </c>
      <c r="Y1312">
        <v>1</v>
      </c>
      <c r="Z1312" s="57">
        <v>45673</v>
      </c>
      <c r="AA1312" t="s">
        <v>3349</v>
      </c>
      <c r="AB1312" s="18">
        <v>0</v>
      </c>
      <c r="AC1312" s="18"/>
      <c r="AD1312" s="18"/>
      <c r="AE1312" s="18"/>
      <c r="AF1312" s="18"/>
      <c r="AG1312" s="18"/>
      <c r="AH1312" s="18">
        <v>0</v>
      </c>
    </row>
    <row r="1313" spans="23:34" x14ac:dyDescent="0.35">
      <c r="Z1313" s="57">
        <v>45682</v>
      </c>
      <c r="AA1313" t="s">
        <v>3361</v>
      </c>
      <c r="AB1313" s="18">
        <v>0</v>
      </c>
      <c r="AC1313" s="18"/>
      <c r="AD1313" s="18"/>
      <c r="AE1313" s="18"/>
      <c r="AF1313" s="18"/>
      <c r="AG1313" s="18"/>
      <c r="AH1313" s="18">
        <v>0</v>
      </c>
    </row>
    <row r="1314" spans="23:34" x14ac:dyDescent="0.35">
      <c r="Y1314">
        <v>2</v>
      </c>
      <c r="Z1314" s="57">
        <v>45700</v>
      </c>
      <c r="AA1314" t="s">
        <v>3452</v>
      </c>
      <c r="AB1314" s="18">
        <v>0</v>
      </c>
      <c r="AC1314" s="18"/>
      <c r="AD1314" s="18"/>
      <c r="AE1314" s="18"/>
      <c r="AF1314" s="18"/>
      <c r="AG1314" s="18"/>
      <c r="AH1314" s="18">
        <v>0</v>
      </c>
    </row>
    <row r="1315" spans="23:34" x14ac:dyDescent="0.35">
      <c r="Z1315" s="57">
        <v>45702</v>
      </c>
      <c r="AA1315" t="s">
        <v>3454</v>
      </c>
      <c r="AB1315" s="18">
        <v>0</v>
      </c>
      <c r="AC1315" s="18"/>
      <c r="AD1315" s="18"/>
      <c r="AE1315" s="18"/>
      <c r="AF1315" s="18"/>
      <c r="AG1315" s="18"/>
      <c r="AH1315" s="18">
        <v>0</v>
      </c>
    </row>
    <row r="1316" spans="23:34" x14ac:dyDescent="0.35">
      <c r="Z1316" s="57">
        <v>45713</v>
      </c>
      <c r="AA1316" t="s">
        <v>3469</v>
      </c>
      <c r="AB1316" s="18">
        <v>0.5</v>
      </c>
      <c r="AC1316" s="18"/>
      <c r="AD1316" s="18"/>
      <c r="AE1316" s="18"/>
      <c r="AF1316" s="18"/>
      <c r="AG1316" s="18"/>
      <c r="AH1316" s="18">
        <v>0.5</v>
      </c>
    </row>
    <row r="1317" spans="23:34" x14ac:dyDescent="0.35">
      <c r="Y1317">
        <v>5</v>
      </c>
      <c r="Z1317" t="s">
        <v>3707</v>
      </c>
      <c r="AA1317" t="s">
        <v>3708</v>
      </c>
      <c r="AB1317" s="18">
        <v>0</v>
      </c>
      <c r="AC1317" s="18"/>
      <c r="AD1317" s="18"/>
      <c r="AE1317" s="18"/>
      <c r="AF1317" s="18"/>
      <c r="AG1317" s="18"/>
      <c r="AH1317" s="18">
        <v>0</v>
      </c>
    </row>
    <row r="1318" spans="23:34" x14ac:dyDescent="0.35">
      <c r="Z1318" t="s">
        <v>3739</v>
      </c>
      <c r="AA1318" t="s">
        <v>3740</v>
      </c>
      <c r="AB1318" s="18">
        <v>0</v>
      </c>
      <c r="AC1318" s="18"/>
      <c r="AD1318" s="18"/>
      <c r="AE1318" s="18"/>
      <c r="AF1318" s="18"/>
      <c r="AG1318" s="18"/>
      <c r="AH1318" s="18">
        <v>0</v>
      </c>
    </row>
    <row r="1319" spans="23:34" x14ac:dyDescent="0.35">
      <c r="Y1319">
        <v>6</v>
      </c>
      <c r="Z1319" t="s">
        <v>3861</v>
      </c>
      <c r="AA1319" t="s">
        <v>3862</v>
      </c>
      <c r="AB1319" s="18">
        <v>0</v>
      </c>
      <c r="AC1319" s="18"/>
      <c r="AD1319" s="18"/>
      <c r="AE1319" s="18"/>
      <c r="AF1319" s="18"/>
      <c r="AG1319" s="18"/>
      <c r="AH1319" s="18">
        <v>0</v>
      </c>
    </row>
    <row r="1320" spans="23:34" x14ac:dyDescent="0.35">
      <c r="Z1320" t="s">
        <v>3888</v>
      </c>
      <c r="AA1320" t="s">
        <v>3889</v>
      </c>
      <c r="AB1320" s="18">
        <v>0</v>
      </c>
      <c r="AC1320" s="18"/>
      <c r="AD1320" s="18"/>
      <c r="AE1320" s="18"/>
      <c r="AF1320" s="18"/>
      <c r="AG1320" s="18"/>
      <c r="AH1320" s="18">
        <v>0</v>
      </c>
    </row>
    <row r="1321" spans="23:34" x14ac:dyDescent="0.35">
      <c r="Y1321">
        <v>7</v>
      </c>
      <c r="Z1321" t="s">
        <v>4004</v>
      </c>
      <c r="AA1321" t="s">
        <v>4005</v>
      </c>
      <c r="AB1321" s="18">
        <v>0</v>
      </c>
      <c r="AC1321" s="18"/>
      <c r="AD1321" s="18"/>
      <c r="AE1321" s="18"/>
      <c r="AF1321" s="18"/>
      <c r="AG1321" s="18"/>
      <c r="AH1321" s="18">
        <v>0</v>
      </c>
    </row>
    <row r="1322" spans="23:34" x14ac:dyDescent="0.35">
      <c r="Z1322" t="s">
        <v>4024</v>
      </c>
      <c r="AA1322" t="s">
        <v>4025</v>
      </c>
      <c r="AB1322" s="18">
        <v>0</v>
      </c>
      <c r="AC1322" s="18"/>
      <c r="AD1322" s="18"/>
      <c r="AE1322" s="18"/>
      <c r="AF1322" s="18"/>
      <c r="AG1322" s="18"/>
      <c r="AH1322" s="18">
        <v>0</v>
      </c>
    </row>
    <row r="1323" spans="23:34" x14ac:dyDescent="0.35">
      <c r="Z1323" t="s">
        <v>4037</v>
      </c>
      <c r="AA1323" t="s">
        <v>4038</v>
      </c>
      <c r="AB1323" s="18">
        <v>0</v>
      </c>
      <c r="AC1323" s="18"/>
      <c r="AD1323" s="18"/>
      <c r="AE1323" s="18"/>
      <c r="AF1323" s="18"/>
      <c r="AG1323" s="18"/>
      <c r="AH1323" s="18">
        <v>0</v>
      </c>
    </row>
    <row r="1324" spans="23:34" x14ac:dyDescent="0.35">
      <c r="Y1324">
        <v>4</v>
      </c>
      <c r="Z1324" t="s">
        <v>3619</v>
      </c>
      <c r="AA1324" t="s">
        <v>3620</v>
      </c>
      <c r="AB1324" s="18">
        <v>0</v>
      </c>
      <c r="AC1324" s="18"/>
      <c r="AD1324" s="18"/>
      <c r="AE1324" s="18"/>
      <c r="AF1324" s="18"/>
      <c r="AG1324" s="18"/>
      <c r="AH1324" s="18">
        <v>0</v>
      </c>
    </row>
    <row r="1325" spans="23:34" x14ac:dyDescent="0.35">
      <c r="Z1325" t="s">
        <v>3625</v>
      </c>
      <c r="AA1325" t="s">
        <v>3627</v>
      </c>
      <c r="AB1325" s="18">
        <v>0</v>
      </c>
      <c r="AC1325" s="18"/>
      <c r="AD1325" s="18"/>
      <c r="AE1325" s="18"/>
      <c r="AF1325" s="18"/>
      <c r="AG1325" s="18"/>
      <c r="AH1325" s="18">
        <v>0</v>
      </c>
    </row>
    <row r="1326" spans="23:34" x14ac:dyDescent="0.35">
      <c r="Z1326" t="s">
        <v>3657</v>
      </c>
      <c r="AA1326" t="s">
        <v>3658</v>
      </c>
      <c r="AB1326" s="18">
        <v>0</v>
      </c>
      <c r="AC1326" s="18"/>
      <c r="AD1326" s="18"/>
      <c r="AE1326" s="18"/>
      <c r="AF1326" s="18"/>
      <c r="AG1326" s="18"/>
      <c r="AH1326" s="18">
        <v>0</v>
      </c>
    </row>
    <row r="1327" spans="23:34" x14ac:dyDescent="0.35">
      <c r="W1327" s="36" t="s">
        <v>2931</v>
      </c>
      <c r="X1327" s="36"/>
      <c r="Y1327" s="36"/>
      <c r="Z1327" s="36"/>
      <c r="AA1327" s="36"/>
      <c r="AB1327" s="37">
        <v>0.5</v>
      </c>
      <c r="AC1327" s="37"/>
      <c r="AD1327" s="37"/>
      <c r="AE1327" s="37"/>
      <c r="AF1327" s="37"/>
      <c r="AG1327" s="37"/>
      <c r="AH1327" s="37">
        <v>0.5</v>
      </c>
    </row>
    <row r="1328" spans="23:34" x14ac:dyDescent="0.35">
      <c r="W1328" t="s">
        <v>2939</v>
      </c>
      <c r="X1328">
        <v>2024</v>
      </c>
      <c r="Y1328">
        <v>9</v>
      </c>
      <c r="Z1328" s="57">
        <v>45537</v>
      </c>
      <c r="AA1328" t="s">
        <v>2938</v>
      </c>
      <c r="AB1328" s="18">
        <v>-5</v>
      </c>
      <c r="AC1328" s="18"/>
      <c r="AD1328" s="18"/>
      <c r="AE1328" s="18"/>
      <c r="AF1328" s="18"/>
      <c r="AG1328" s="18"/>
      <c r="AH1328" s="18">
        <v>-5</v>
      </c>
    </row>
    <row r="1329" spans="23:34" x14ac:dyDescent="0.35">
      <c r="Y1329">
        <v>10</v>
      </c>
      <c r="Z1329" s="57">
        <v>45583</v>
      </c>
      <c r="AA1329" t="s">
        <v>3021</v>
      </c>
      <c r="AB1329" s="18">
        <v>-5</v>
      </c>
      <c r="AC1329" s="18"/>
      <c r="AD1329" s="18"/>
      <c r="AE1329" s="18"/>
      <c r="AF1329" s="18"/>
      <c r="AG1329" s="18"/>
      <c r="AH1329" s="18">
        <v>-5</v>
      </c>
    </row>
    <row r="1330" spans="23:34" x14ac:dyDescent="0.35">
      <c r="Y1330">
        <v>12</v>
      </c>
      <c r="Z1330" t="s">
        <v>3278</v>
      </c>
      <c r="AA1330" t="s">
        <v>3281</v>
      </c>
      <c r="AB1330" s="18">
        <v>0</v>
      </c>
      <c r="AC1330" s="18"/>
      <c r="AD1330" s="18"/>
      <c r="AE1330" s="18"/>
      <c r="AF1330" s="18"/>
      <c r="AG1330" s="18"/>
      <c r="AH1330" s="18">
        <v>0</v>
      </c>
    </row>
    <row r="1331" spans="23:34" x14ac:dyDescent="0.35">
      <c r="X1331">
        <v>2025</v>
      </c>
      <c r="Y1331">
        <v>2</v>
      </c>
      <c r="Z1331" s="57">
        <v>45695</v>
      </c>
      <c r="AA1331" t="s">
        <v>3447</v>
      </c>
      <c r="AB1331" s="18">
        <v>525</v>
      </c>
      <c r="AC1331" s="18"/>
      <c r="AD1331" s="18"/>
      <c r="AE1331" s="18"/>
      <c r="AF1331" s="18"/>
      <c r="AG1331" s="18"/>
      <c r="AH1331" s="18">
        <v>525</v>
      </c>
    </row>
    <row r="1332" spans="23:34" x14ac:dyDescent="0.35">
      <c r="W1332" s="36" t="s">
        <v>3006</v>
      </c>
      <c r="X1332" s="36"/>
      <c r="Y1332" s="36"/>
      <c r="Z1332" s="36"/>
      <c r="AA1332" s="36"/>
      <c r="AB1332" s="37">
        <v>515</v>
      </c>
      <c r="AC1332" s="37"/>
      <c r="AD1332" s="37"/>
      <c r="AE1332" s="37"/>
      <c r="AF1332" s="37"/>
      <c r="AG1332" s="37"/>
      <c r="AH1332" s="37">
        <v>515</v>
      </c>
    </row>
    <row r="1333" spans="23:34" x14ac:dyDescent="0.35">
      <c r="W1333" t="s">
        <v>3061</v>
      </c>
      <c r="X1333">
        <v>2024</v>
      </c>
      <c r="Y1333">
        <v>6</v>
      </c>
      <c r="Z1333" s="57">
        <v>45470</v>
      </c>
      <c r="AA1333" t="s">
        <v>2662</v>
      </c>
      <c r="AB1333" s="18">
        <v>0</v>
      </c>
      <c r="AC1333" s="18"/>
      <c r="AD1333" s="18"/>
      <c r="AE1333" s="18"/>
      <c r="AF1333" s="18"/>
      <c r="AG1333" s="18"/>
      <c r="AH1333" s="18">
        <v>0</v>
      </c>
    </row>
    <row r="1334" spans="23:34" x14ac:dyDescent="0.35">
      <c r="W1334" s="36" t="s">
        <v>3097</v>
      </c>
      <c r="X1334" s="36"/>
      <c r="Y1334" s="36"/>
      <c r="Z1334" s="36"/>
      <c r="AA1334" s="36"/>
      <c r="AB1334" s="37">
        <v>0</v>
      </c>
      <c r="AC1334" s="37"/>
      <c r="AD1334" s="37"/>
      <c r="AE1334" s="37"/>
      <c r="AF1334" s="37"/>
      <c r="AG1334" s="37"/>
      <c r="AH1334" s="37">
        <v>0</v>
      </c>
    </row>
    <row r="1335" spans="23:34" x14ac:dyDescent="0.35">
      <c r="W1335" t="s">
        <v>3063</v>
      </c>
      <c r="X1335">
        <v>2024</v>
      </c>
      <c r="Y1335">
        <v>10</v>
      </c>
      <c r="Z1335" s="57">
        <v>45587</v>
      </c>
      <c r="AA1335" t="s">
        <v>3026</v>
      </c>
      <c r="AB1335" s="18">
        <v>0</v>
      </c>
      <c r="AC1335" s="18"/>
      <c r="AD1335" s="18"/>
      <c r="AE1335" s="18"/>
      <c r="AF1335" s="18"/>
      <c r="AG1335" s="18"/>
      <c r="AH1335" s="18">
        <v>0</v>
      </c>
    </row>
    <row r="1336" spans="23:34" x14ac:dyDescent="0.35">
      <c r="W1336" s="36" t="s">
        <v>3098</v>
      </c>
      <c r="X1336" s="36"/>
      <c r="Y1336" s="36"/>
      <c r="Z1336" s="36"/>
      <c r="AA1336" s="36"/>
      <c r="AB1336" s="37">
        <v>0</v>
      </c>
      <c r="AC1336" s="37"/>
      <c r="AD1336" s="37"/>
      <c r="AE1336" s="37"/>
      <c r="AF1336" s="37"/>
      <c r="AG1336" s="37"/>
      <c r="AH1336" s="37">
        <v>0</v>
      </c>
    </row>
    <row r="1337" spans="23:34" x14ac:dyDescent="0.35">
      <c r="W1337" t="s">
        <v>3100</v>
      </c>
      <c r="X1337" t="s">
        <v>1763</v>
      </c>
      <c r="Y1337" t="s">
        <v>1763</v>
      </c>
      <c r="Z1337" s="57">
        <v>45597</v>
      </c>
      <c r="AA1337" t="s">
        <v>3099</v>
      </c>
      <c r="AB1337" s="18"/>
      <c r="AC1337" s="18"/>
      <c r="AD1337" s="18"/>
      <c r="AE1337" s="18"/>
      <c r="AF1337" s="18">
        <v>0</v>
      </c>
      <c r="AG1337" s="18"/>
      <c r="AH1337" s="18">
        <v>0</v>
      </c>
    </row>
    <row r="1338" spans="23:34" x14ac:dyDescent="0.35">
      <c r="W1338" s="36" t="s">
        <v>3206</v>
      </c>
      <c r="X1338" s="36"/>
      <c r="Y1338" s="36"/>
      <c r="Z1338" s="36"/>
      <c r="AA1338" s="36"/>
      <c r="AB1338" s="37"/>
      <c r="AC1338" s="37"/>
      <c r="AD1338" s="37"/>
      <c r="AE1338" s="37"/>
      <c r="AF1338" s="37">
        <v>0</v>
      </c>
      <c r="AG1338" s="37"/>
      <c r="AH1338" s="37">
        <v>0</v>
      </c>
    </row>
    <row r="1339" spans="23:34" x14ac:dyDescent="0.35">
      <c r="W1339" t="s">
        <v>3225</v>
      </c>
      <c r="X1339">
        <v>2024</v>
      </c>
      <c r="Y1339">
        <v>12</v>
      </c>
      <c r="Z1339" t="s">
        <v>3223</v>
      </c>
      <c r="AA1339" t="s">
        <v>3224</v>
      </c>
      <c r="AB1339" s="18">
        <v>0</v>
      </c>
      <c r="AC1339" s="18"/>
      <c r="AD1339" s="18"/>
      <c r="AE1339" s="18"/>
      <c r="AF1339" s="18"/>
      <c r="AG1339" s="18"/>
      <c r="AH1339" s="18">
        <v>0</v>
      </c>
    </row>
    <row r="1340" spans="23:34" x14ac:dyDescent="0.35">
      <c r="W1340" s="36" t="s">
        <v>3285</v>
      </c>
      <c r="X1340" s="36"/>
      <c r="Y1340" s="36"/>
      <c r="Z1340" s="36"/>
      <c r="AA1340" s="36"/>
      <c r="AB1340" s="37">
        <v>0</v>
      </c>
      <c r="AC1340" s="37"/>
      <c r="AD1340" s="37"/>
      <c r="AE1340" s="37"/>
      <c r="AF1340" s="37"/>
      <c r="AG1340" s="37"/>
      <c r="AH1340" s="37">
        <v>0</v>
      </c>
    </row>
    <row r="1341" spans="23:34" x14ac:dyDescent="0.35">
      <c r="W1341" t="s">
        <v>3230</v>
      </c>
      <c r="X1341">
        <v>2024</v>
      </c>
      <c r="Y1341">
        <v>12</v>
      </c>
      <c r="Z1341" t="s">
        <v>3223</v>
      </c>
      <c r="AA1341" t="s">
        <v>3229</v>
      </c>
      <c r="AB1341" s="18">
        <v>0</v>
      </c>
      <c r="AC1341" s="18"/>
      <c r="AD1341" s="18"/>
      <c r="AE1341" s="18"/>
      <c r="AF1341" s="18"/>
      <c r="AG1341" s="18"/>
      <c r="AH1341" s="18">
        <v>0</v>
      </c>
    </row>
    <row r="1342" spans="23:34" x14ac:dyDescent="0.35">
      <c r="Z1342" t="s">
        <v>3276</v>
      </c>
      <c r="AA1342" t="s">
        <v>3277</v>
      </c>
      <c r="AB1342" s="18">
        <v>0</v>
      </c>
      <c r="AC1342" s="18"/>
      <c r="AD1342" s="18"/>
      <c r="AE1342" s="18"/>
      <c r="AF1342" s="18"/>
      <c r="AG1342" s="18"/>
      <c r="AH1342" s="18">
        <v>0</v>
      </c>
    </row>
    <row r="1343" spans="23:34" x14ac:dyDescent="0.35">
      <c r="X1343">
        <v>2025</v>
      </c>
      <c r="Y1343">
        <v>1</v>
      </c>
      <c r="Z1343" s="57">
        <v>45659</v>
      </c>
      <c r="AA1343" t="s">
        <v>3334</v>
      </c>
      <c r="AB1343" s="18">
        <v>0</v>
      </c>
      <c r="AC1343" s="18"/>
      <c r="AD1343" s="18"/>
      <c r="AE1343" s="18"/>
      <c r="AF1343" s="18"/>
      <c r="AG1343" s="18"/>
      <c r="AH1343" s="18">
        <v>0</v>
      </c>
    </row>
    <row r="1344" spans="23:34" x14ac:dyDescent="0.35">
      <c r="W1344" s="36" t="s">
        <v>3286</v>
      </c>
      <c r="X1344" s="36"/>
      <c r="Y1344" s="36"/>
      <c r="Z1344" s="36"/>
      <c r="AA1344" s="36"/>
      <c r="AB1344" s="37">
        <v>0</v>
      </c>
      <c r="AC1344" s="37"/>
      <c r="AD1344" s="37"/>
      <c r="AE1344" s="37"/>
      <c r="AF1344" s="37"/>
      <c r="AG1344" s="37"/>
      <c r="AH1344" s="37">
        <v>0</v>
      </c>
    </row>
    <row r="1345" spans="23:34" x14ac:dyDescent="0.35">
      <c r="W1345" t="s">
        <v>3268</v>
      </c>
      <c r="X1345">
        <v>2024</v>
      </c>
      <c r="Y1345">
        <v>12</v>
      </c>
      <c r="Z1345" t="s">
        <v>3262</v>
      </c>
      <c r="AA1345" t="s">
        <v>3267</v>
      </c>
      <c r="AB1345" s="18">
        <v>0</v>
      </c>
      <c r="AC1345" s="18"/>
      <c r="AD1345" s="18"/>
      <c r="AE1345" s="18"/>
      <c r="AF1345" s="18"/>
      <c r="AG1345" s="18"/>
      <c r="AH1345" s="18">
        <v>0</v>
      </c>
    </row>
    <row r="1346" spans="23:34" x14ac:dyDescent="0.35">
      <c r="W1346" s="36" t="s">
        <v>3287</v>
      </c>
      <c r="X1346" s="36"/>
      <c r="Y1346" s="36"/>
      <c r="Z1346" s="36"/>
      <c r="AA1346" s="36"/>
      <c r="AB1346" s="37">
        <v>0</v>
      </c>
      <c r="AC1346" s="37"/>
      <c r="AD1346" s="37"/>
      <c r="AE1346" s="37"/>
      <c r="AF1346" s="37"/>
      <c r="AG1346" s="37"/>
      <c r="AH1346" s="37">
        <v>0</v>
      </c>
    </row>
    <row r="1347" spans="23:34" x14ac:dyDescent="0.35">
      <c r="W1347" t="s">
        <v>3330</v>
      </c>
      <c r="X1347">
        <v>2025</v>
      </c>
      <c r="Y1347">
        <v>1</v>
      </c>
      <c r="Z1347" s="57">
        <v>45682</v>
      </c>
      <c r="AA1347" t="s">
        <v>3360</v>
      </c>
      <c r="AB1347" s="18">
        <v>0</v>
      </c>
      <c r="AC1347" s="18"/>
      <c r="AD1347" s="18"/>
      <c r="AE1347" s="18"/>
      <c r="AF1347" s="18"/>
      <c r="AG1347" s="18"/>
      <c r="AH1347" s="18">
        <v>0</v>
      </c>
    </row>
    <row r="1348" spans="23:34" x14ac:dyDescent="0.35">
      <c r="W1348" s="36" t="s">
        <v>3441</v>
      </c>
      <c r="X1348" s="36"/>
      <c r="Y1348" s="36"/>
      <c r="Z1348" s="36"/>
      <c r="AA1348" s="36"/>
      <c r="AB1348" s="37">
        <v>0</v>
      </c>
      <c r="AC1348" s="37"/>
      <c r="AD1348" s="37"/>
      <c r="AE1348" s="37"/>
      <c r="AF1348" s="37"/>
      <c r="AG1348" s="37"/>
      <c r="AH1348" s="37">
        <v>0</v>
      </c>
    </row>
    <row r="1349" spans="23:34" x14ac:dyDescent="0.35">
      <c r="W1349" t="s">
        <v>3532</v>
      </c>
      <c r="X1349">
        <v>2025</v>
      </c>
      <c r="Y1349">
        <v>3</v>
      </c>
      <c r="Z1349" s="57">
        <v>45730</v>
      </c>
      <c r="AA1349" t="s">
        <v>3530</v>
      </c>
      <c r="AB1349" s="18">
        <v>0</v>
      </c>
      <c r="AC1349" s="18"/>
      <c r="AD1349" s="18"/>
      <c r="AE1349" s="18"/>
      <c r="AF1349" s="18"/>
      <c r="AG1349" s="18"/>
      <c r="AH1349" s="18">
        <v>0</v>
      </c>
    </row>
    <row r="1350" spans="23:34" x14ac:dyDescent="0.35">
      <c r="Z1350" s="57">
        <v>45736</v>
      </c>
      <c r="AA1350" t="s">
        <v>3540</v>
      </c>
      <c r="AB1350" s="18">
        <v>0</v>
      </c>
      <c r="AC1350" s="18"/>
      <c r="AD1350" s="18"/>
      <c r="AE1350" s="18"/>
      <c r="AF1350" s="18"/>
      <c r="AG1350" s="18"/>
      <c r="AH1350" s="18">
        <v>0</v>
      </c>
    </row>
    <row r="1351" spans="23:34" x14ac:dyDescent="0.35">
      <c r="Z1351" s="57">
        <v>45740</v>
      </c>
      <c r="AA1351" t="s">
        <v>3545</v>
      </c>
      <c r="AB1351" s="18">
        <v>0</v>
      </c>
      <c r="AC1351" s="18"/>
      <c r="AD1351" s="18"/>
      <c r="AE1351" s="18"/>
      <c r="AF1351" s="18"/>
      <c r="AG1351" s="18"/>
      <c r="AH1351" s="18">
        <v>0</v>
      </c>
    </row>
    <row r="1352" spans="23:34" x14ac:dyDescent="0.35">
      <c r="Z1352" s="57">
        <v>45745</v>
      </c>
      <c r="AA1352" t="s">
        <v>3553</v>
      </c>
      <c r="AB1352" s="18">
        <v>0</v>
      </c>
      <c r="AC1352" s="18"/>
      <c r="AD1352" s="18"/>
      <c r="AE1352" s="18"/>
      <c r="AF1352" s="18"/>
      <c r="AG1352" s="18"/>
      <c r="AH1352" s="18">
        <v>0</v>
      </c>
    </row>
    <row r="1353" spans="23:34" x14ac:dyDescent="0.35">
      <c r="Y1353">
        <v>5</v>
      </c>
      <c r="Z1353" t="s">
        <v>3702</v>
      </c>
      <c r="AA1353" t="s">
        <v>3703</v>
      </c>
      <c r="AB1353" s="18">
        <v>0</v>
      </c>
      <c r="AC1353" s="18"/>
      <c r="AD1353" s="18"/>
      <c r="AE1353" s="18"/>
      <c r="AF1353" s="18"/>
      <c r="AG1353" s="18"/>
      <c r="AH1353" s="18">
        <v>0</v>
      </c>
    </row>
    <row r="1354" spans="23:34" x14ac:dyDescent="0.35">
      <c r="Z1354" t="s">
        <v>3709</v>
      </c>
      <c r="AA1354" t="s">
        <v>3712</v>
      </c>
      <c r="AB1354" s="18">
        <v>0</v>
      </c>
      <c r="AC1354" s="18"/>
      <c r="AD1354" s="18"/>
      <c r="AE1354" s="18"/>
      <c r="AF1354" s="18"/>
      <c r="AG1354" s="18"/>
      <c r="AH1354" s="18">
        <v>0</v>
      </c>
    </row>
    <row r="1355" spans="23:34" x14ac:dyDescent="0.35">
      <c r="Z1355" t="s">
        <v>3739</v>
      </c>
      <c r="AA1355" t="s">
        <v>3741</v>
      </c>
      <c r="AB1355" s="18">
        <v>0</v>
      </c>
      <c r="AC1355" s="18"/>
      <c r="AD1355" s="18"/>
      <c r="AE1355" s="18"/>
      <c r="AF1355" s="18"/>
      <c r="AG1355" s="18"/>
      <c r="AH1355" s="18">
        <v>0</v>
      </c>
    </row>
    <row r="1356" spans="23:34" x14ac:dyDescent="0.35">
      <c r="Y1356">
        <v>6</v>
      </c>
      <c r="Z1356" t="s">
        <v>3850</v>
      </c>
      <c r="AA1356" t="s">
        <v>3851</v>
      </c>
      <c r="AB1356" s="18">
        <v>2051.1999999999998</v>
      </c>
      <c r="AC1356" s="18"/>
      <c r="AD1356" s="18"/>
      <c r="AE1356" s="18"/>
      <c r="AF1356" s="18"/>
      <c r="AG1356" s="18"/>
      <c r="AH1356" s="18">
        <v>2051.1999999999998</v>
      </c>
    </row>
    <row r="1357" spans="23:34" x14ac:dyDescent="0.35">
      <c r="Z1357" t="s">
        <v>3882</v>
      </c>
      <c r="AA1357" t="s">
        <v>3883</v>
      </c>
      <c r="AB1357" s="18">
        <v>1872.5</v>
      </c>
      <c r="AC1357" s="18"/>
      <c r="AD1357" s="18"/>
      <c r="AE1357" s="18"/>
      <c r="AF1357" s="18"/>
      <c r="AG1357" s="18"/>
      <c r="AH1357" s="18">
        <v>1872.5</v>
      </c>
    </row>
    <row r="1358" spans="23:34" x14ac:dyDescent="0.35">
      <c r="Y1358">
        <v>7</v>
      </c>
      <c r="Z1358" t="s">
        <v>4035</v>
      </c>
      <c r="AA1358" t="s">
        <v>4036</v>
      </c>
      <c r="AB1358" s="18">
        <v>0</v>
      </c>
      <c r="AC1358" s="18"/>
      <c r="AD1358" s="18"/>
      <c r="AE1358" s="18"/>
      <c r="AF1358" s="18"/>
      <c r="AG1358" s="18"/>
      <c r="AH1358" s="18">
        <v>0</v>
      </c>
    </row>
    <row r="1359" spans="23:34" x14ac:dyDescent="0.35">
      <c r="Z1359" t="s">
        <v>4041</v>
      </c>
      <c r="AA1359" t="s">
        <v>4043</v>
      </c>
      <c r="AB1359" s="18">
        <v>0</v>
      </c>
      <c r="AC1359" s="18"/>
      <c r="AD1359" s="18"/>
      <c r="AE1359" s="18"/>
      <c r="AF1359" s="18"/>
      <c r="AG1359" s="18"/>
      <c r="AH1359" s="18">
        <v>0</v>
      </c>
    </row>
    <row r="1360" spans="23:34" x14ac:dyDescent="0.35">
      <c r="Z1360" t="s">
        <v>4048</v>
      </c>
      <c r="AA1360" t="s">
        <v>4057</v>
      </c>
      <c r="AB1360" s="18">
        <v>0</v>
      </c>
      <c r="AC1360" s="18"/>
      <c r="AD1360" s="18"/>
      <c r="AE1360" s="18"/>
      <c r="AF1360" s="18"/>
      <c r="AG1360" s="18"/>
      <c r="AH1360" s="18">
        <v>0</v>
      </c>
    </row>
    <row r="1361" spans="23:34" x14ac:dyDescent="0.35">
      <c r="Y1361">
        <v>4</v>
      </c>
      <c r="Z1361" t="s">
        <v>3628</v>
      </c>
      <c r="AA1361" t="s">
        <v>3629</v>
      </c>
      <c r="AB1361" s="18">
        <v>0</v>
      </c>
      <c r="AC1361" s="18"/>
      <c r="AD1361" s="18"/>
      <c r="AE1361" s="18"/>
      <c r="AF1361" s="18"/>
      <c r="AG1361" s="18"/>
      <c r="AH1361" s="18">
        <v>0</v>
      </c>
    </row>
    <row r="1362" spans="23:34" x14ac:dyDescent="0.35">
      <c r="Z1362" t="s">
        <v>3633</v>
      </c>
      <c r="AA1362" t="s">
        <v>3634</v>
      </c>
      <c r="AB1362" s="18">
        <v>0</v>
      </c>
      <c r="AC1362" s="18"/>
      <c r="AD1362" s="18"/>
      <c r="AE1362" s="18"/>
      <c r="AF1362" s="18"/>
      <c r="AG1362" s="18"/>
      <c r="AH1362" s="18">
        <v>0</v>
      </c>
    </row>
    <row r="1363" spans="23:34" x14ac:dyDescent="0.35">
      <c r="Z1363" t="s">
        <v>3637</v>
      </c>
      <c r="AA1363" t="s">
        <v>3638</v>
      </c>
      <c r="AB1363" s="18">
        <v>0</v>
      </c>
      <c r="AC1363" s="18"/>
      <c r="AD1363" s="18"/>
      <c r="AE1363" s="18"/>
      <c r="AF1363" s="18"/>
      <c r="AG1363" s="18"/>
      <c r="AH1363" s="18">
        <v>0</v>
      </c>
    </row>
    <row r="1364" spans="23:34" x14ac:dyDescent="0.35">
      <c r="Z1364" t="s">
        <v>3652</v>
      </c>
      <c r="AA1364" t="s">
        <v>3653</v>
      </c>
      <c r="AB1364" s="18">
        <v>0</v>
      </c>
      <c r="AC1364" s="18"/>
      <c r="AD1364" s="18"/>
      <c r="AE1364" s="18"/>
      <c r="AF1364" s="18"/>
      <c r="AG1364" s="18"/>
      <c r="AH1364" s="18">
        <v>0</v>
      </c>
    </row>
    <row r="1365" spans="23:34" x14ac:dyDescent="0.35">
      <c r="W1365" s="36" t="s">
        <v>3609</v>
      </c>
      <c r="X1365" s="36"/>
      <c r="Y1365" s="36"/>
      <c r="Z1365" s="36"/>
      <c r="AA1365" s="36"/>
      <c r="AB1365" s="37">
        <v>3923.7</v>
      </c>
      <c r="AC1365" s="37"/>
      <c r="AD1365" s="37"/>
      <c r="AE1365" s="37"/>
      <c r="AF1365" s="37"/>
      <c r="AG1365" s="37"/>
      <c r="AH1365" s="37">
        <v>3923.7</v>
      </c>
    </row>
    <row r="1366" spans="23:34" x14ac:dyDescent="0.35">
      <c r="W1366" t="s">
        <v>3549</v>
      </c>
      <c r="X1366">
        <v>2025</v>
      </c>
      <c r="Y1366">
        <v>3</v>
      </c>
      <c r="Z1366" s="57">
        <v>45743</v>
      </c>
      <c r="AA1366" t="s">
        <v>3548</v>
      </c>
      <c r="AB1366" s="18">
        <v>0</v>
      </c>
      <c r="AC1366" s="18"/>
      <c r="AD1366" s="18"/>
      <c r="AE1366" s="18"/>
      <c r="AF1366" s="18"/>
      <c r="AG1366" s="18"/>
      <c r="AH1366" s="18">
        <v>0</v>
      </c>
    </row>
    <row r="1367" spans="23:34" x14ac:dyDescent="0.35">
      <c r="Y1367">
        <v>5</v>
      </c>
      <c r="Z1367" t="s">
        <v>3723</v>
      </c>
      <c r="AA1367" t="s">
        <v>3724</v>
      </c>
      <c r="AB1367" s="18">
        <v>0</v>
      </c>
      <c r="AC1367" s="18"/>
      <c r="AD1367" s="18"/>
      <c r="AE1367" s="18"/>
      <c r="AF1367" s="18"/>
      <c r="AG1367" s="18"/>
      <c r="AH1367" s="18">
        <v>0</v>
      </c>
    </row>
    <row r="1368" spans="23:34" x14ac:dyDescent="0.35">
      <c r="Y1368">
        <v>6</v>
      </c>
      <c r="Z1368" t="s">
        <v>3890</v>
      </c>
      <c r="AA1368" t="s">
        <v>3891</v>
      </c>
      <c r="AB1368" s="18">
        <v>0</v>
      </c>
      <c r="AC1368" s="18"/>
      <c r="AD1368" s="18"/>
      <c r="AE1368" s="18"/>
      <c r="AF1368" s="18"/>
      <c r="AG1368" s="18"/>
      <c r="AH1368" s="18">
        <v>0</v>
      </c>
    </row>
    <row r="1369" spans="23:34" x14ac:dyDescent="0.35">
      <c r="Y1369">
        <v>7</v>
      </c>
      <c r="Z1369" t="s">
        <v>4048</v>
      </c>
      <c r="AA1369" t="s">
        <v>4049</v>
      </c>
      <c r="AB1369" s="18">
        <v>0</v>
      </c>
      <c r="AC1369" s="18"/>
      <c r="AD1369" s="18"/>
      <c r="AE1369" s="18"/>
      <c r="AF1369" s="18"/>
      <c r="AG1369" s="18"/>
      <c r="AH1369" s="18">
        <v>0</v>
      </c>
    </row>
    <row r="1370" spans="23:34" x14ac:dyDescent="0.35">
      <c r="Y1370">
        <v>4</v>
      </c>
      <c r="Z1370" t="s">
        <v>3622</v>
      </c>
      <c r="AA1370" t="s">
        <v>3623</v>
      </c>
      <c r="AB1370" s="18">
        <v>0.5</v>
      </c>
      <c r="AC1370" s="18"/>
      <c r="AD1370" s="18"/>
      <c r="AE1370" s="18"/>
      <c r="AF1370" s="18"/>
      <c r="AG1370" s="18"/>
      <c r="AH1370" s="18">
        <v>0.5</v>
      </c>
    </row>
    <row r="1371" spans="23:34" x14ac:dyDescent="0.35">
      <c r="W1371" s="36" t="s">
        <v>3610</v>
      </c>
      <c r="X1371" s="36"/>
      <c r="Y1371" s="36"/>
      <c r="Z1371" s="36"/>
      <c r="AA1371" s="36"/>
      <c r="AB1371" s="37">
        <v>0.5</v>
      </c>
      <c r="AC1371" s="37"/>
      <c r="AD1371" s="37"/>
      <c r="AE1371" s="37"/>
      <c r="AF1371" s="37"/>
      <c r="AG1371" s="37"/>
      <c r="AH1371" s="37">
        <v>0.5</v>
      </c>
    </row>
    <row r="1372" spans="23:34" x14ac:dyDescent="0.35">
      <c r="W1372" t="s">
        <v>3837</v>
      </c>
      <c r="X1372">
        <v>2025</v>
      </c>
      <c r="Y1372">
        <v>6</v>
      </c>
      <c r="Z1372" t="s">
        <v>3835</v>
      </c>
      <c r="AA1372" t="s">
        <v>3836</v>
      </c>
      <c r="AB1372" s="18">
        <v>0</v>
      </c>
      <c r="AC1372" s="18"/>
      <c r="AD1372" s="18"/>
      <c r="AE1372" s="18"/>
      <c r="AF1372" s="18"/>
      <c r="AG1372" s="18"/>
      <c r="AH1372" s="18">
        <v>0</v>
      </c>
    </row>
    <row r="1373" spans="23:34" x14ac:dyDescent="0.35">
      <c r="Z1373" t="s">
        <v>3852</v>
      </c>
      <c r="AA1373" t="s">
        <v>3853</v>
      </c>
      <c r="AB1373" s="18">
        <v>0</v>
      </c>
      <c r="AC1373" s="18"/>
      <c r="AD1373" s="18"/>
      <c r="AE1373" s="18"/>
      <c r="AF1373" s="18"/>
      <c r="AG1373" s="18"/>
      <c r="AH1373" s="18">
        <v>0</v>
      </c>
    </row>
    <row r="1374" spans="23:34" x14ac:dyDescent="0.35">
      <c r="W1374" s="36" t="s">
        <v>3966</v>
      </c>
      <c r="X1374" s="36"/>
      <c r="Y1374" s="36"/>
      <c r="Z1374" s="36"/>
      <c r="AA1374" s="36"/>
      <c r="AB1374" s="37">
        <v>0</v>
      </c>
      <c r="AC1374" s="37"/>
      <c r="AD1374" s="37"/>
      <c r="AE1374" s="37"/>
      <c r="AF1374" s="37"/>
      <c r="AG1374" s="37"/>
      <c r="AH1374" s="37">
        <v>0</v>
      </c>
    </row>
    <row r="1375" spans="23:34" x14ac:dyDescent="0.35">
      <c r="W1375" t="s">
        <v>3867</v>
      </c>
      <c r="X1375">
        <v>2025</v>
      </c>
      <c r="Y1375">
        <v>6</v>
      </c>
      <c r="Z1375" t="s">
        <v>3865</v>
      </c>
      <c r="AA1375" t="s">
        <v>3866</v>
      </c>
      <c r="AB1375" s="18">
        <v>0</v>
      </c>
      <c r="AC1375" s="18"/>
      <c r="AD1375" s="18"/>
      <c r="AE1375" s="18"/>
      <c r="AF1375" s="18"/>
      <c r="AG1375" s="18"/>
      <c r="AH1375" s="18">
        <v>0</v>
      </c>
    </row>
    <row r="1376" spans="23:34" x14ac:dyDescent="0.35">
      <c r="W1376" s="36" t="s">
        <v>3967</v>
      </c>
      <c r="X1376" s="36"/>
      <c r="Y1376" s="36"/>
      <c r="Z1376" s="36"/>
      <c r="AA1376" s="36"/>
      <c r="AB1376" s="37">
        <v>0</v>
      </c>
      <c r="AC1376" s="37"/>
      <c r="AD1376" s="37"/>
      <c r="AE1376" s="37"/>
      <c r="AF1376" s="37"/>
      <c r="AG1376" s="37"/>
      <c r="AH1376" s="37">
        <v>0</v>
      </c>
    </row>
    <row r="1377" spans="23:34" x14ac:dyDescent="0.35">
      <c r="W1377" t="s">
        <v>131</v>
      </c>
      <c r="AB1377" s="18">
        <v>710248.7</v>
      </c>
      <c r="AC1377" s="18">
        <v>1277.5</v>
      </c>
      <c r="AD1377" s="18">
        <v>0</v>
      </c>
      <c r="AE1377" s="18">
        <v>52482.9</v>
      </c>
      <c r="AF1377" s="18">
        <v>0</v>
      </c>
      <c r="AG1377" s="18">
        <v>18660</v>
      </c>
      <c r="AH1377" s="18">
        <v>782669.1</v>
      </c>
    </row>
  </sheetData>
  <pageMargins left="0.39370078740157483" right="0" top="0" bottom="0" header="0.31496062992125984" footer="0.31496062992125984"/>
  <pageSetup scale="70" orientation="portrait" horizontalDpi="360" verticalDpi="360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4242"/>
  <sheetViews>
    <sheetView topLeftCell="A4204" zoomScale="68" zoomScaleNormal="68" workbookViewId="0">
      <selection activeCell="O4242" sqref="O4242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11.3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149" t="s">
        <v>162</v>
      </c>
      <c r="C1" s="149" t="s">
        <v>225</v>
      </c>
      <c r="D1" s="3" t="s">
        <v>2</v>
      </c>
      <c r="E1" s="149" t="s">
        <v>0</v>
      </c>
      <c r="F1" s="3" t="s">
        <v>1</v>
      </c>
      <c r="G1" s="75" t="s">
        <v>8</v>
      </c>
      <c r="H1" s="3" t="s">
        <v>69</v>
      </c>
      <c r="I1" s="149" t="s">
        <v>4</v>
      </c>
      <c r="J1" s="149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0" t="s">
        <v>192</v>
      </c>
      <c r="R1" s="149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" si="0">MONTH(A2)</f>
        <v>12</v>
      </c>
      <c r="C2" s="5">
        <f t="shared" ref="C2" si="1">YEAR(A2)</f>
        <v>2019</v>
      </c>
      <c r="D2" s="5" t="s">
        <v>311</v>
      </c>
      <c r="E2" s="5" t="str">
        <f>VLOOKUP(F2,'Set up'!$A$2:$C$70,2,FALSE)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up'!$A$2:$C$70,3,FALSE)</f>
        <v>Cash</v>
      </c>
      <c r="J2" s="5">
        <f>VLOOKUP(F2,'Set up'!$A$2:$D$70,4,FALSE)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up'!$A$2:$E$70,5,FALSE)</f>
        <v>Trsf</v>
      </c>
      <c r="S2" s="1" t="s">
        <v>76</v>
      </c>
    </row>
    <row r="3" spans="1:20" x14ac:dyDescent="0.35">
      <c r="A3" s="4">
        <v>43822</v>
      </c>
      <c r="B3" s="5">
        <f t="shared" ref="B3:B66" si="7">MONTH(A3)</f>
        <v>12</v>
      </c>
      <c r="C3" s="5">
        <f t="shared" ref="C3:C66" si="8">YEAR(A3)</f>
        <v>2019</v>
      </c>
      <c r="D3" s="5" t="s">
        <v>311</v>
      </c>
      <c r="E3" s="5" t="str">
        <f>VLOOKUP(F3,'Set up'!$A$2:$C$70,2,FALSE)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up'!$A$2:$C$70,3,FALSE)</f>
        <v>Cash</v>
      </c>
      <c r="J3" s="5">
        <f>VLOOKUP(F3,'Set up'!$A$2:$D$70,4,FALSE)</f>
        <v>0</v>
      </c>
      <c r="K3" s="4">
        <f t="shared" ref="K3:K66" si="9">A3+J3</f>
        <v>43822</v>
      </c>
      <c r="L3" s="5">
        <f t="shared" ref="L3:L66" si="10">MONTH(K3)</f>
        <v>12</v>
      </c>
      <c r="M3" s="5">
        <f t="shared" ref="M3:M66" si="11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2">SUM(Q2+N3)</f>
        <v>2973</v>
      </c>
      <c r="R3" s="44" t="str">
        <f>VLOOKUP(F3,'Set up'!$A$2:$E$70,5,FALSE)</f>
        <v>Trsf</v>
      </c>
      <c r="S3" s="1" t="s">
        <v>76</v>
      </c>
    </row>
    <row r="4" spans="1:20" x14ac:dyDescent="0.35">
      <c r="A4" s="4">
        <v>43984</v>
      </c>
      <c r="B4" s="5">
        <f t="shared" si="7"/>
        <v>6</v>
      </c>
      <c r="C4" s="5">
        <f t="shared" si="8"/>
        <v>2020</v>
      </c>
      <c r="D4" s="5" t="s">
        <v>10</v>
      </c>
      <c r="E4" s="5" t="str">
        <f>VLOOKUP(F4,'Set up'!$A$2:$C$70,2,FALSE)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up'!$A$2:$C$70,3,FALSE)</f>
        <v>Cash</v>
      </c>
      <c r="J4" s="5">
        <f>VLOOKUP(F4,'Set up'!$A$2:$D$70,4,FALSE)</f>
        <v>0</v>
      </c>
      <c r="K4" s="4">
        <f t="shared" si="9"/>
        <v>43984</v>
      </c>
      <c r="L4" s="5">
        <f t="shared" si="10"/>
        <v>6</v>
      </c>
      <c r="M4" s="5">
        <f t="shared" si="11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2"/>
        <v>3453</v>
      </c>
      <c r="R4" s="44" t="str">
        <f>VLOOKUP(F4,'Set up'!$A$2:$E$70,5,FALSE)</f>
        <v>Trsf</v>
      </c>
      <c r="S4" s="1" t="s">
        <v>77</v>
      </c>
    </row>
    <row r="5" spans="1:20" x14ac:dyDescent="0.35">
      <c r="A5" s="4">
        <v>43993</v>
      </c>
      <c r="B5" s="5">
        <f t="shared" si="7"/>
        <v>6</v>
      </c>
      <c r="C5" s="5">
        <f t="shared" si="8"/>
        <v>2020</v>
      </c>
      <c r="D5" s="5" t="s">
        <v>11</v>
      </c>
      <c r="E5" s="5" t="str">
        <f>VLOOKUP(F5,'Set up'!$A$2:$C$70,2,FALSE)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up'!$A$2:$C$70,3,FALSE)</f>
        <v>Cash</v>
      </c>
      <c r="J5" s="5">
        <f>VLOOKUP(F5,'Set up'!$A$2:$D$70,4,FALSE)</f>
        <v>0</v>
      </c>
      <c r="K5" s="4">
        <f t="shared" si="9"/>
        <v>43993</v>
      </c>
      <c r="L5" s="5">
        <f t="shared" si="10"/>
        <v>6</v>
      </c>
      <c r="M5" s="5">
        <f t="shared" si="11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2"/>
        <v>4848</v>
      </c>
      <c r="R5" s="44" t="str">
        <f>VLOOKUP(F5,'Set up'!$A$2:$E$70,5,FALSE)</f>
        <v>Chq</v>
      </c>
      <c r="S5" s="1" t="s">
        <v>82</v>
      </c>
    </row>
    <row r="6" spans="1:20" x14ac:dyDescent="0.35">
      <c r="A6" s="4">
        <v>43993</v>
      </c>
      <c r="B6" s="5">
        <f t="shared" si="7"/>
        <v>6</v>
      </c>
      <c r="C6" s="5">
        <f t="shared" si="8"/>
        <v>2020</v>
      </c>
      <c r="D6" s="5" t="s">
        <v>11</v>
      </c>
      <c r="E6" s="5" t="str">
        <f>VLOOKUP(F6,'Set up'!$A$2:$C$70,2,FALSE)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up'!$A$2:$C$70,3,FALSE)</f>
        <v>Cash</v>
      </c>
      <c r="J6" s="5">
        <f>VLOOKUP(F6,'Set up'!$A$2:$D$70,4,FALSE)</f>
        <v>0</v>
      </c>
      <c r="K6" s="4">
        <f t="shared" si="9"/>
        <v>43993</v>
      </c>
      <c r="L6" s="5">
        <f t="shared" si="10"/>
        <v>6</v>
      </c>
      <c r="M6" s="5">
        <f t="shared" si="11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2"/>
        <v>5520</v>
      </c>
      <c r="R6" s="44" t="str">
        <f>VLOOKUP(F6,'Set up'!$A$2:$E$70,5,FALSE)</f>
        <v>Chq</v>
      </c>
      <c r="S6" s="1" t="s">
        <v>82</v>
      </c>
    </row>
    <row r="7" spans="1:20" x14ac:dyDescent="0.35">
      <c r="A7" s="4">
        <v>43999</v>
      </c>
      <c r="B7" s="5">
        <f t="shared" si="7"/>
        <v>6</v>
      </c>
      <c r="C7" s="5">
        <f t="shared" si="8"/>
        <v>2020</v>
      </c>
      <c r="D7" s="5" t="s">
        <v>12</v>
      </c>
      <c r="E7" s="5" t="str">
        <f>VLOOKUP(F7,'Set up'!$A$2:$C$70,2,FALSE)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up'!$A$2:$C$70,3,FALSE)</f>
        <v>Cash</v>
      </c>
      <c r="J7" s="5">
        <f>VLOOKUP(F7,'Set up'!$A$2:$D$70,4,FALSE)</f>
        <v>0</v>
      </c>
      <c r="K7" s="4">
        <f t="shared" si="9"/>
        <v>43999</v>
      </c>
      <c r="L7" s="5">
        <f t="shared" si="10"/>
        <v>6</v>
      </c>
      <c r="M7" s="5">
        <f t="shared" si="11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2"/>
        <v>7050</v>
      </c>
      <c r="R7" s="44" t="str">
        <f>VLOOKUP(F7,'Set up'!$A$2:$E$70,5,FALSE)</f>
        <v>Trsf</v>
      </c>
      <c r="S7" s="8" t="s">
        <v>77</v>
      </c>
    </row>
    <row r="8" spans="1:20" x14ac:dyDescent="0.35">
      <c r="A8" s="4">
        <v>43999</v>
      </c>
      <c r="B8" s="5">
        <f t="shared" si="7"/>
        <v>6</v>
      </c>
      <c r="C8" s="5">
        <f t="shared" si="8"/>
        <v>2020</v>
      </c>
      <c r="D8" s="5" t="s">
        <v>12</v>
      </c>
      <c r="E8" s="5" t="str">
        <f>VLOOKUP(F8,'Set up'!$A$2:$C$70,2,FALSE)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up'!$A$2:$C$70,3,FALSE)</f>
        <v>Cash</v>
      </c>
      <c r="J8" s="5">
        <f>VLOOKUP(F8,'Set up'!$A$2:$D$70,4,FALSE)</f>
        <v>0</v>
      </c>
      <c r="K8" s="4">
        <f t="shared" si="9"/>
        <v>43999</v>
      </c>
      <c r="L8" s="5">
        <f t="shared" si="10"/>
        <v>6</v>
      </c>
      <c r="M8" s="5">
        <f t="shared" si="11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2"/>
        <v>7770</v>
      </c>
      <c r="R8" s="44" t="str">
        <f>VLOOKUP(F8,'Set up'!$A$2:$E$70,5,FALSE)</f>
        <v>Trsf</v>
      </c>
      <c r="S8" s="8" t="s">
        <v>77</v>
      </c>
    </row>
    <row r="9" spans="1:20" x14ac:dyDescent="0.35">
      <c r="A9" s="4">
        <v>43999</v>
      </c>
      <c r="B9" s="5">
        <f t="shared" si="7"/>
        <v>6</v>
      </c>
      <c r="C9" s="5">
        <f t="shared" si="8"/>
        <v>2020</v>
      </c>
      <c r="D9" s="5" t="s">
        <v>12</v>
      </c>
      <c r="E9" s="5" t="str">
        <f>VLOOKUP(F9,'Set up'!$A$2:$C$70,2,FALSE)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up'!$A$2:$C$70,3,FALSE)</f>
        <v>Cash</v>
      </c>
      <c r="J9" s="5">
        <f>VLOOKUP(F9,'Set up'!$A$2:$D$70,4,FALSE)</f>
        <v>0</v>
      </c>
      <c r="K9" s="4">
        <f t="shared" si="9"/>
        <v>43999</v>
      </c>
      <c r="L9" s="5">
        <f t="shared" si="10"/>
        <v>6</v>
      </c>
      <c r="M9" s="5">
        <f t="shared" si="11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2"/>
        <v>7955</v>
      </c>
      <c r="R9" s="44" t="str">
        <f>VLOOKUP(F9,'Set up'!$A$2:$E$70,5,FALSE)</f>
        <v>Trsf</v>
      </c>
      <c r="S9" s="8" t="s">
        <v>77</v>
      </c>
    </row>
    <row r="10" spans="1:20" x14ac:dyDescent="0.35">
      <c r="A10" s="4">
        <v>44004</v>
      </c>
      <c r="B10" s="5">
        <f t="shared" si="7"/>
        <v>6</v>
      </c>
      <c r="C10" s="5">
        <f t="shared" si="8"/>
        <v>2020</v>
      </c>
      <c r="D10" s="5" t="s">
        <v>18</v>
      </c>
      <c r="E10" s="5" t="str">
        <f>VLOOKUP(F10,'Set up'!$A$2:$C$70,2,FALSE)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up'!$A$2:$C$70,3,FALSE)</f>
        <v>45</v>
      </c>
      <c r="J10" s="5">
        <f>VLOOKUP(F10,'Set up'!$A$2:$D$70,4,FALSE)</f>
        <v>45</v>
      </c>
      <c r="K10" s="4">
        <f t="shared" si="9"/>
        <v>44049</v>
      </c>
      <c r="L10" s="5">
        <f t="shared" si="10"/>
        <v>8</v>
      </c>
      <c r="M10" s="5">
        <f t="shared" si="11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2"/>
        <v>9597.5</v>
      </c>
      <c r="R10" s="44" t="str">
        <f>VLOOKUP(F10,'Set up'!$A$2:$E$70,5,FALSE)</f>
        <v>PD Chq</v>
      </c>
      <c r="S10" s="13" t="s">
        <v>191</v>
      </c>
    </row>
    <row r="11" spans="1:20" x14ac:dyDescent="0.35">
      <c r="A11" s="4">
        <v>44004</v>
      </c>
      <c r="B11" s="5">
        <f t="shared" si="7"/>
        <v>6</v>
      </c>
      <c r="C11" s="5">
        <f t="shared" si="8"/>
        <v>2020</v>
      </c>
      <c r="D11" s="5" t="s">
        <v>18</v>
      </c>
      <c r="E11" s="5" t="str">
        <f>VLOOKUP(F11,'Set up'!$A$2:$C$70,2,FALSE)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up'!$A$2:$C$70,3,FALSE)</f>
        <v>45</v>
      </c>
      <c r="J11" s="5">
        <f>VLOOKUP(F11,'Set up'!$A$2:$D$70,4,FALSE)</f>
        <v>45</v>
      </c>
      <c r="K11" s="4">
        <f t="shared" si="9"/>
        <v>44049</v>
      </c>
      <c r="L11" s="5">
        <f t="shared" si="10"/>
        <v>8</v>
      </c>
      <c r="M11" s="5">
        <f t="shared" si="11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2"/>
        <v>9782.5</v>
      </c>
      <c r="R11" s="44" t="str">
        <f>VLOOKUP(F11,'Set up'!$A$2:$E$70,5,FALSE)</f>
        <v>PD Chq</v>
      </c>
      <c r="S11" s="13" t="s">
        <v>191</v>
      </c>
    </row>
    <row r="12" spans="1:20" x14ac:dyDescent="0.35">
      <c r="A12" s="4">
        <v>44013</v>
      </c>
      <c r="B12" s="5">
        <f t="shared" si="7"/>
        <v>7</v>
      </c>
      <c r="C12" s="5">
        <f t="shared" si="8"/>
        <v>2020</v>
      </c>
      <c r="D12" s="5" t="s">
        <v>21</v>
      </c>
      <c r="E12" s="5" t="str">
        <f>VLOOKUP(F12,'Set up'!$A$2:$C$70,2,FALSE)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up'!$A$2:$C$70,3,FALSE)</f>
        <v>120</v>
      </c>
      <c r="J12" s="5">
        <f>VLOOKUP(F12,'Set up'!$A$2:$D$70,4,FALSE)</f>
        <v>120</v>
      </c>
      <c r="K12" s="4">
        <f t="shared" si="9"/>
        <v>44133</v>
      </c>
      <c r="L12" s="5">
        <f t="shared" si="10"/>
        <v>10</v>
      </c>
      <c r="M12" s="5">
        <f t="shared" si="11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2"/>
        <v>11618.5</v>
      </c>
      <c r="R12" s="44" t="str">
        <f>VLOOKUP(F12,'Set up'!$A$2:$E$70,5,FALSE)</f>
        <v>Chq</v>
      </c>
      <c r="S12" s="21" t="s">
        <v>163</v>
      </c>
    </row>
    <row r="13" spans="1:20" x14ac:dyDescent="0.35">
      <c r="A13" s="4">
        <v>44026</v>
      </c>
      <c r="B13" s="5">
        <f t="shared" si="7"/>
        <v>7</v>
      </c>
      <c r="C13" s="5">
        <f t="shared" si="8"/>
        <v>2020</v>
      </c>
      <c r="D13" s="5" t="s">
        <v>26</v>
      </c>
      <c r="E13" s="5" t="str">
        <f>VLOOKUP(F13,'Set up'!$A$2:$C$70,2,FALSE)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up'!$A$2:$C$70,3,FALSE)</f>
        <v>45</v>
      </c>
      <c r="J13" s="5">
        <f>VLOOKUP(F13,'Set up'!$A$2:$D$70,4,FALSE)</f>
        <v>45</v>
      </c>
      <c r="K13" s="4">
        <f t="shared" si="9"/>
        <v>44071</v>
      </c>
      <c r="L13" s="5">
        <f t="shared" si="10"/>
        <v>8</v>
      </c>
      <c r="M13" s="5">
        <f t="shared" si="11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2"/>
        <v>12818.5</v>
      </c>
      <c r="R13" s="44" t="str">
        <f>VLOOKUP(F13,'Set up'!$A$2:$E$70,5,FALSE)</f>
        <v>PD Chq</v>
      </c>
      <c r="S13" s="13" t="s">
        <v>71</v>
      </c>
    </row>
    <row r="14" spans="1:20" x14ac:dyDescent="0.35">
      <c r="A14" s="4">
        <v>44027</v>
      </c>
      <c r="B14" s="5">
        <f t="shared" si="7"/>
        <v>7</v>
      </c>
      <c r="C14" s="5">
        <f t="shared" si="8"/>
        <v>2020</v>
      </c>
      <c r="D14" s="5" t="s">
        <v>27</v>
      </c>
      <c r="E14" s="5" t="str">
        <f>VLOOKUP(F14,'Set up'!$A$2:$C$70,2,FALSE)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up'!$A$2:$C$70,3,FALSE)</f>
        <v>Cash</v>
      </c>
      <c r="J14" s="5">
        <f>VLOOKUP(F14,'Set up'!$A$2:$D$70,4,FALSE)</f>
        <v>0</v>
      </c>
      <c r="K14" s="4">
        <f t="shared" si="9"/>
        <v>44027</v>
      </c>
      <c r="L14" s="5">
        <f t="shared" si="10"/>
        <v>7</v>
      </c>
      <c r="M14" s="5">
        <f t="shared" si="11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2"/>
        <v>14314.5</v>
      </c>
      <c r="R14" s="44" t="str">
        <f>VLOOKUP(F14,'Set up'!$A$2:$E$70,5,FALSE)</f>
        <v>Trsf</v>
      </c>
      <c r="S14" s="1" t="s">
        <v>78</v>
      </c>
    </row>
    <row r="15" spans="1:20" x14ac:dyDescent="0.35">
      <c r="A15" s="4">
        <v>44027</v>
      </c>
      <c r="B15" s="5">
        <f t="shared" si="7"/>
        <v>7</v>
      </c>
      <c r="C15" s="5">
        <f t="shared" si="8"/>
        <v>2020</v>
      </c>
      <c r="D15" s="5" t="s">
        <v>27</v>
      </c>
      <c r="E15" s="5" t="str">
        <f>VLOOKUP(F15,'Set up'!$A$2:$C$70,2,FALSE)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up'!$A$2:$C$70,3,FALSE)</f>
        <v>Cash</v>
      </c>
      <c r="J15" s="5">
        <f>VLOOKUP(F15,'Set up'!$A$2:$D$70,4,FALSE)</f>
        <v>0</v>
      </c>
      <c r="K15" s="4">
        <f t="shared" si="9"/>
        <v>44027</v>
      </c>
      <c r="L15" s="5">
        <f t="shared" si="10"/>
        <v>7</v>
      </c>
      <c r="M15" s="5">
        <f t="shared" si="11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2"/>
        <v>14684.5</v>
      </c>
      <c r="R15" s="44" t="str">
        <f>VLOOKUP(F15,'Set up'!$A$2:$E$70,5,FALSE)</f>
        <v>Trsf</v>
      </c>
      <c r="S15" s="1" t="s">
        <v>78</v>
      </c>
    </row>
    <row r="16" spans="1:20" x14ac:dyDescent="0.35">
      <c r="A16" s="4">
        <v>44027</v>
      </c>
      <c r="B16" s="5">
        <f t="shared" si="7"/>
        <v>7</v>
      </c>
      <c r="C16" s="5">
        <f t="shared" si="8"/>
        <v>2020</v>
      </c>
      <c r="D16" s="5" t="s">
        <v>27</v>
      </c>
      <c r="E16" s="5" t="str">
        <f>VLOOKUP(F16,'Set up'!$A$2:$C$70,2,FALSE)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up'!$A$2:$C$70,3,FALSE)</f>
        <v>Cash</v>
      </c>
      <c r="J16" s="5">
        <f>VLOOKUP(F16,'Set up'!$A$2:$D$70,4,FALSE)</f>
        <v>0</v>
      </c>
      <c r="K16" s="4">
        <f t="shared" si="9"/>
        <v>44027</v>
      </c>
      <c r="L16" s="5">
        <f t="shared" si="10"/>
        <v>7</v>
      </c>
      <c r="M16" s="5">
        <f t="shared" si="11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2"/>
        <v>14916.5</v>
      </c>
      <c r="R16" s="44" t="str">
        <f>VLOOKUP(F16,'Set up'!$A$2:$E$70,5,FALSE)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7"/>
        <v>8</v>
      </c>
      <c r="C17" s="5">
        <f t="shared" si="8"/>
        <v>2020</v>
      </c>
      <c r="D17" s="5" t="s">
        <v>30</v>
      </c>
      <c r="E17" s="5" t="str">
        <f>VLOOKUP(F17,'Set up'!$A$2:$C$70,2,FALSE)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up'!$A$2:$C$70,3,FALSE)</f>
        <v>120</v>
      </c>
      <c r="J17" s="5">
        <f>VLOOKUP(F17,'Set up'!$A$2:$D$70,4,FALSE)</f>
        <v>120</v>
      </c>
      <c r="K17" s="4">
        <f t="shared" si="9"/>
        <v>44164</v>
      </c>
      <c r="L17" s="5">
        <f t="shared" si="10"/>
        <v>11</v>
      </c>
      <c r="M17" s="5">
        <f t="shared" si="11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2"/>
        <v>17424.5</v>
      </c>
      <c r="R17" s="44" t="str">
        <f>VLOOKUP(F17,'Set up'!$A$2:$E$70,5,FALSE)</f>
        <v>Chq</v>
      </c>
      <c r="S17" s="20" t="s">
        <v>164</v>
      </c>
    </row>
    <row r="18" spans="1:19" x14ac:dyDescent="0.35">
      <c r="A18" s="4">
        <v>44051</v>
      </c>
      <c r="B18" s="5">
        <f t="shared" si="7"/>
        <v>8</v>
      </c>
      <c r="C18" s="5">
        <f t="shared" si="8"/>
        <v>2020</v>
      </c>
      <c r="D18" s="5" t="s">
        <v>31</v>
      </c>
      <c r="E18" s="5" t="str">
        <f>VLOOKUP(F18,'Set up'!$A$2:$C$70,2,FALSE)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up'!$A$2:$C$70,3,FALSE)</f>
        <v>120</v>
      </c>
      <c r="J18" s="5">
        <f>VLOOKUP(F18,'Set up'!$A$2:$D$70,4,FALSE)</f>
        <v>120</v>
      </c>
      <c r="K18" s="4">
        <f t="shared" si="9"/>
        <v>44171</v>
      </c>
      <c r="L18" s="5">
        <f t="shared" si="10"/>
        <v>12</v>
      </c>
      <c r="M18" s="5">
        <f t="shared" si="11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2"/>
        <v>19932.5</v>
      </c>
      <c r="R18" s="44" t="str">
        <f>VLOOKUP(F18,'Set up'!$A$2:$E$70,5,FALSE)</f>
        <v>Chq</v>
      </c>
      <c r="S18" s="20" t="s">
        <v>164</v>
      </c>
    </row>
    <row r="19" spans="1:19" x14ac:dyDescent="0.35">
      <c r="A19" s="4">
        <v>44051</v>
      </c>
      <c r="B19" s="5">
        <f t="shared" si="7"/>
        <v>8</v>
      </c>
      <c r="C19" s="5">
        <f t="shared" si="8"/>
        <v>2020</v>
      </c>
      <c r="D19" s="5" t="s">
        <v>32</v>
      </c>
      <c r="E19" s="5" t="str">
        <f>VLOOKUP(F19,'Set up'!$A$2:$C$70,2,FALSE)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up'!$A$2:$C$70,3,FALSE)</f>
        <v>120</v>
      </c>
      <c r="J19" s="5">
        <f>VLOOKUP(F19,'Set up'!$A$2:$D$70,4,FALSE)</f>
        <v>120</v>
      </c>
      <c r="K19" s="4">
        <f t="shared" si="9"/>
        <v>44171</v>
      </c>
      <c r="L19" s="5">
        <f t="shared" si="10"/>
        <v>12</v>
      </c>
      <c r="M19" s="5">
        <f t="shared" si="11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2"/>
        <v>20256.5</v>
      </c>
      <c r="R19" s="44" t="str">
        <f>VLOOKUP(F19,'Set up'!$A$2:$E$70,5,FALSE)</f>
        <v>Chq</v>
      </c>
      <c r="S19" s="20" t="s">
        <v>164</v>
      </c>
    </row>
    <row r="20" spans="1:19" x14ac:dyDescent="0.35">
      <c r="A20" s="4">
        <v>44053</v>
      </c>
      <c r="B20" s="5">
        <f t="shared" si="7"/>
        <v>8</v>
      </c>
      <c r="C20" s="5">
        <f t="shared" si="8"/>
        <v>2020</v>
      </c>
      <c r="D20" s="5" t="s">
        <v>33</v>
      </c>
      <c r="E20" s="5" t="str">
        <f>VLOOKUP(F20,'Set up'!$A$2:$C$70,2,FALSE)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up'!$A$2:$C$70,3,FALSE)</f>
        <v>Cash</v>
      </c>
      <c r="J20" s="5">
        <f>VLOOKUP(F20,'Set up'!$A$2:$D$70,4,FALSE)</f>
        <v>0</v>
      </c>
      <c r="K20" s="4">
        <f t="shared" si="9"/>
        <v>44053</v>
      </c>
      <c r="L20" s="5">
        <f t="shared" si="10"/>
        <v>8</v>
      </c>
      <c r="M20" s="5">
        <f t="shared" si="11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2"/>
        <v>21752.5</v>
      </c>
      <c r="R20" s="44" t="str">
        <f>VLOOKUP(F20,'Set up'!$A$2:$E$70,5,FALSE)</f>
        <v>Chq</v>
      </c>
      <c r="S20" s="1" t="s">
        <v>80</v>
      </c>
    </row>
    <row r="21" spans="1:19" x14ac:dyDescent="0.35">
      <c r="A21" s="4">
        <v>44053</v>
      </c>
      <c r="B21" s="5">
        <f t="shared" si="7"/>
        <v>8</v>
      </c>
      <c r="C21" s="5">
        <f t="shared" si="8"/>
        <v>2020</v>
      </c>
      <c r="D21" s="5" t="s">
        <v>33</v>
      </c>
      <c r="E21" s="5" t="str">
        <f>VLOOKUP(F21,'Set up'!$A$2:$C$70,2,FALSE)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up'!$A$2:$C$70,3,FALSE)</f>
        <v>Cash</v>
      </c>
      <c r="J21" s="5">
        <f>VLOOKUP(F21,'Set up'!$A$2:$D$70,4,FALSE)</f>
        <v>0</v>
      </c>
      <c r="K21" s="4">
        <f t="shared" si="9"/>
        <v>44053</v>
      </c>
      <c r="L21" s="5">
        <f t="shared" si="10"/>
        <v>8</v>
      </c>
      <c r="M21" s="5">
        <f t="shared" si="11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2"/>
        <v>21842.5</v>
      </c>
      <c r="R21" s="44" t="str">
        <f>VLOOKUP(F21,'Set up'!$A$2:$E$70,5,FALSE)</f>
        <v>Chq</v>
      </c>
      <c r="S21" s="1" t="s">
        <v>80</v>
      </c>
    </row>
    <row r="22" spans="1:19" x14ac:dyDescent="0.35">
      <c r="A22" s="4">
        <v>44053</v>
      </c>
      <c r="B22" s="5">
        <f t="shared" si="7"/>
        <v>8</v>
      </c>
      <c r="C22" s="5">
        <f t="shared" si="8"/>
        <v>2020</v>
      </c>
      <c r="D22" s="5" t="s">
        <v>36</v>
      </c>
      <c r="E22" s="5" t="str">
        <f>VLOOKUP(F22,'Set up'!$A$2:$C$70,2,FALSE)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up'!$A$2:$C$70,3,FALSE)</f>
        <v>45</v>
      </c>
      <c r="J22" s="5">
        <f>VLOOKUP(F22,'Set up'!$A$2:$D$70,4,FALSE)</f>
        <v>45</v>
      </c>
      <c r="K22" s="4">
        <f t="shared" si="9"/>
        <v>44098</v>
      </c>
      <c r="L22" s="5">
        <f t="shared" si="10"/>
        <v>9</v>
      </c>
      <c r="M22" s="5">
        <f t="shared" si="11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2"/>
        <v>24878.5</v>
      </c>
      <c r="R22" s="44" t="str">
        <f>VLOOKUP(F22,'Set up'!$A$2:$E$70,5,FALSE)</f>
        <v>PD Chq</v>
      </c>
      <c r="S22" s="13" t="s">
        <v>75</v>
      </c>
    </row>
    <row r="23" spans="1:19" x14ac:dyDescent="0.35">
      <c r="A23" s="4">
        <v>44053</v>
      </c>
      <c r="B23" s="5">
        <f t="shared" si="7"/>
        <v>8</v>
      </c>
      <c r="C23" s="5">
        <f t="shared" si="8"/>
        <v>2020</v>
      </c>
      <c r="D23" s="5" t="s">
        <v>36</v>
      </c>
      <c r="E23" s="5" t="str">
        <f>VLOOKUP(F23,'Set up'!$A$2:$C$70,2,FALSE)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up'!$A$2:$C$70,3,FALSE)</f>
        <v>45</v>
      </c>
      <c r="J23" s="5">
        <f>VLOOKUP(F23,'Set up'!$A$2:$D$70,4,FALSE)</f>
        <v>45</v>
      </c>
      <c r="K23" s="4">
        <f t="shared" si="9"/>
        <v>44098</v>
      </c>
      <c r="L23" s="5">
        <f t="shared" si="10"/>
        <v>9</v>
      </c>
      <c r="M23" s="5">
        <f t="shared" si="11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2"/>
        <v>25248.5</v>
      </c>
      <c r="R23" s="44" t="str">
        <f>VLOOKUP(F23,'Set up'!$A$2:$E$70,5,FALSE)</f>
        <v>PD Chq</v>
      </c>
      <c r="S23" s="13" t="s">
        <v>75</v>
      </c>
    </row>
    <row r="24" spans="1:19" x14ac:dyDescent="0.35">
      <c r="A24" s="4">
        <v>44055</v>
      </c>
      <c r="B24" s="5">
        <f t="shared" si="7"/>
        <v>8</v>
      </c>
      <c r="C24" s="5">
        <f t="shared" si="8"/>
        <v>2020</v>
      </c>
      <c r="D24" s="5" t="s">
        <v>37</v>
      </c>
      <c r="E24" s="5" t="str">
        <f>VLOOKUP(F24,'Set up'!$A$2:$C$70,2,FALSE)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up'!$A$2:$C$70,3,FALSE)</f>
        <v>Cash</v>
      </c>
      <c r="J24" s="5">
        <f>VLOOKUP(F24,'Set up'!$A$2:$D$70,4,FALSE)</f>
        <v>0</v>
      </c>
      <c r="K24" s="4">
        <f t="shared" si="9"/>
        <v>44055</v>
      </c>
      <c r="L24" s="5">
        <f t="shared" si="10"/>
        <v>8</v>
      </c>
      <c r="M24" s="5">
        <f t="shared" si="11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2"/>
        <v>26744.5</v>
      </c>
      <c r="R24" s="44" t="str">
        <f>VLOOKUP(F24,'Set up'!$A$2:$E$70,5,FALSE)</f>
        <v>Trsf</v>
      </c>
      <c r="S24" s="1" t="s">
        <v>79</v>
      </c>
    </row>
    <row r="25" spans="1:19" x14ac:dyDescent="0.35">
      <c r="A25" s="4">
        <v>44055</v>
      </c>
      <c r="B25" s="5">
        <f t="shared" si="7"/>
        <v>8</v>
      </c>
      <c r="C25" s="5">
        <f t="shared" si="8"/>
        <v>2020</v>
      </c>
      <c r="D25" s="5" t="s">
        <v>37</v>
      </c>
      <c r="E25" s="5" t="str">
        <f>VLOOKUP(F25,'Set up'!$A$2:$C$70,2,FALSE)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up'!$A$2:$C$70,3,FALSE)</f>
        <v>Cash</v>
      </c>
      <c r="J25" s="5">
        <f>VLOOKUP(F25,'Set up'!$A$2:$D$70,4,FALSE)</f>
        <v>0</v>
      </c>
      <c r="K25" s="4">
        <f t="shared" si="9"/>
        <v>44055</v>
      </c>
      <c r="L25" s="5">
        <f t="shared" si="10"/>
        <v>8</v>
      </c>
      <c r="M25" s="5">
        <f t="shared" si="11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2"/>
        <v>27706.5</v>
      </c>
      <c r="R25" s="44" t="str">
        <f>VLOOKUP(F25,'Set up'!$A$2:$E$70,5,FALSE)</f>
        <v>Trsf</v>
      </c>
      <c r="S25" s="1" t="s">
        <v>79</v>
      </c>
    </row>
    <row r="26" spans="1:19" x14ac:dyDescent="0.35">
      <c r="A26" s="4">
        <v>44055</v>
      </c>
      <c r="B26" s="5">
        <f t="shared" si="7"/>
        <v>8</v>
      </c>
      <c r="C26" s="5">
        <f t="shared" si="8"/>
        <v>2020</v>
      </c>
      <c r="D26" s="5" t="s">
        <v>37</v>
      </c>
      <c r="E26" s="5" t="str">
        <f>VLOOKUP(F26,'Set up'!$A$2:$C$70,2,FALSE)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up'!$A$2:$C$70,3,FALSE)</f>
        <v>Cash</v>
      </c>
      <c r="J26" s="5">
        <f>VLOOKUP(F26,'Set up'!$A$2:$D$70,4,FALSE)</f>
        <v>0</v>
      </c>
      <c r="K26" s="4">
        <f t="shared" si="9"/>
        <v>44055</v>
      </c>
      <c r="L26" s="5">
        <f t="shared" si="10"/>
        <v>8</v>
      </c>
      <c r="M26" s="5">
        <f t="shared" si="11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2"/>
        <v>28170.5</v>
      </c>
      <c r="R26" s="44" t="str">
        <f>VLOOKUP(F26,'Set up'!$A$2:$E$70,5,FALSE)</f>
        <v>Trsf</v>
      </c>
      <c r="S26" s="1" t="s">
        <v>79</v>
      </c>
    </row>
    <row r="27" spans="1:19" x14ac:dyDescent="0.35">
      <c r="A27" s="4">
        <v>44056</v>
      </c>
      <c r="B27" s="5">
        <f t="shared" si="7"/>
        <v>8</v>
      </c>
      <c r="C27" s="5">
        <f t="shared" si="8"/>
        <v>2020</v>
      </c>
      <c r="D27" s="5" t="s">
        <v>38</v>
      </c>
      <c r="E27" s="5" t="str">
        <f>VLOOKUP(F27,'Set up'!$A$2:$C$70,2,FALSE)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up'!$A$2:$C$70,3,FALSE)</f>
        <v>Cash</v>
      </c>
      <c r="J27" s="5">
        <f>VLOOKUP(F27,'Set up'!$A$2:$D$70,4,FALSE)</f>
        <v>0</v>
      </c>
      <c r="K27" s="4">
        <f t="shared" si="9"/>
        <v>44056</v>
      </c>
      <c r="L27" s="5">
        <f t="shared" si="10"/>
        <v>8</v>
      </c>
      <c r="M27" s="5">
        <f t="shared" si="11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2"/>
        <v>29130.5</v>
      </c>
      <c r="R27" s="44" t="str">
        <f>VLOOKUP(F27,'Set up'!$A$2:$E$70,5,FALSE)</f>
        <v>Trsf</v>
      </c>
      <c r="S27" s="1" t="s">
        <v>79</v>
      </c>
    </row>
    <row r="28" spans="1:19" x14ac:dyDescent="0.35">
      <c r="A28" s="4">
        <v>44062</v>
      </c>
      <c r="B28" s="5">
        <f t="shared" si="7"/>
        <v>8</v>
      </c>
      <c r="C28" s="5">
        <f t="shared" si="8"/>
        <v>2020</v>
      </c>
      <c r="D28" s="5" t="s">
        <v>40</v>
      </c>
      <c r="E28" s="5" t="str">
        <f>VLOOKUP(F28,'Set up'!$A$2:$C$70,2,FALSE)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up'!$A$2:$C$70,3,FALSE)</f>
        <v>45</v>
      </c>
      <c r="J28" s="5">
        <f>VLOOKUP(F28,'Set up'!$A$2:$D$70,4,FALSE)</f>
        <v>45</v>
      </c>
      <c r="K28" s="4">
        <f t="shared" si="9"/>
        <v>44107</v>
      </c>
      <c r="L28" s="5">
        <f t="shared" si="10"/>
        <v>10</v>
      </c>
      <c r="M28" s="5">
        <f t="shared" si="11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2"/>
        <v>29497.7</v>
      </c>
      <c r="R28" s="44" t="str">
        <f>VLOOKUP(F28,'Set up'!$A$2:$E$70,5,FALSE)</f>
        <v>PD Chq</v>
      </c>
      <c r="S28" s="13" t="s">
        <v>89</v>
      </c>
    </row>
    <row r="29" spans="1:19" x14ac:dyDescent="0.35">
      <c r="A29" s="4">
        <v>44062</v>
      </c>
      <c r="B29" s="5">
        <f t="shared" si="7"/>
        <v>8</v>
      </c>
      <c r="C29" s="5">
        <f t="shared" si="8"/>
        <v>2020</v>
      </c>
      <c r="D29" s="5" t="s">
        <v>41</v>
      </c>
      <c r="E29" s="5" t="str">
        <f>VLOOKUP(F29,'Set up'!$A$2:$C$70,2,FALSE)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up'!$A$2:$C$70,3,FALSE)</f>
        <v>Cash</v>
      </c>
      <c r="J29" s="5">
        <f>VLOOKUP(F29,'Set up'!$A$2:$D$70,4,FALSE)</f>
        <v>0</v>
      </c>
      <c r="K29" s="4">
        <f t="shared" si="9"/>
        <v>44062</v>
      </c>
      <c r="L29" s="5">
        <f t="shared" si="10"/>
        <v>8</v>
      </c>
      <c r="M29" s="5">
        <f t="shared" si="11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2"/>
        <v>30993.7</v>
      </c>
      <c r="R29" s="44" t="str">
        <f>VLOOKUP(F29,'Set up'!$A$2:$E$70,5,FALSE)</f>
        <v>Chq</v>
      </c>
      <c r="S29" s="1" t="s">
        <v>81</v>
      </c>
    </row>
    <row r="30" spans="1:19" x14ac:dyDescent="0.35">
      <c r="A30" s="4">
        <v>44062</v>
      </c>
      <c r="B30" s="5">
        <f t="shared" si="7"/>
        <v>8</v>
      </c>
      <c r="C30" s="5">
        <f t="shared" si="8"/>
        <v>2020</v>
      </c>
      <c r="D30" s="5" t="s">
        <v>41</v>
      </c>
      <c r="E30" s="5" t="str">
        <f>VLOOKUP(F30,'Set up'!$A$2:$C$70,2,FALSE)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up'!$A$2:$C$70,3,FALSE)</f>
        <v>Cash</v>
      </c>
      <c r="J30" s="5">
        <f>VLOOKUP(F30,'Set up'!$A$2:$D$70,4,FALSE)</f>
        <v>0</v>
      </c>
      <c r="K30" s="4">
        <f t="shared" si="9"/>
        <v>44062</v>
      </c>
      <c r="L30" s="5">
        <f t="shared" si="10"/>
        <v>8</v>
      </c>
      <c r="M30" s="5">
        <f t="shared" si="11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2"/>
        <v>31203.7</v>
      </c>
      <c r="R30" s="44" t="str">
        <f>VLOOKUP(F30,'Set up'!$A$2:$E$70,5,FALSE)</f>
        <v>Chq</v>
      </c>
      <c r="S30" s="8" t="s">
        <v>81</v>
      </c>
    </row>
    <row r="31" spans="1:19" x14ac:dyDescent="0.35">
      <c r="A31" s="4">
        <v>44065</v>
      </c>
      <c r="B31" s="5">
        <f t="shared" si="7"/>
        <v>8</v>
      </c>
      <c r="C31" s="5">
        <f t="shared" si="8"/>
        <v>2020</v>
      </c>
      <c r="D31" s="5" t="s">
        <v>49</v>
      </c>
      <c r="E31" s="5" t="str">
        <f>VLOOKUP(F31,'Set up'!$A$2:$C$70,2,FALSE)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up'!$A$2:$C$70,3,FALSE)</f>
        <v>Cash</v>
      </c>
      <c r="J31" s="5">
        <f>VLOOKUP(F31,'Set up'!$A$2:$D$70,4,FALSE)</f>
        <v>0</v>
      </c>
      <c r="K31" s="4">
        <f t="shared" si="9"/>
        <v>44065</v>
      </c>
      <c r="L31" s="5">
        <f t="shared" si="10"/>
        <v>8</v>
      </c>
      <c r="M31" s="5">
        <f t="shared" si="11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2"/>
        <v>32499.7</v>
      </c>
      <c r="R31" s="44" t="str">
        <f>VLOOKUP(F31,'Set up'!$A$2:$E$70,5,FALSE)</f>
        <v>Trsf</v>
      </c>
      <c r="S31" s="15" t="s">
        <v>108</v>
      </c>
    </row>
    <row r="32" spans="1:19" x14ac:dyDescent="0.35">
      <c r="A32" s="4">
        <v>44065</v>
      </c>
      <c r="B32" s="5">
        <f t="shared" si="7"/>
        <v>8</v>
      </c>
      <c r="C32" s="5">
        <f t="shared" si="8"/>
        <v>2020</v>
      </c>
      <c r="D32" s="5" t="s">
        <v>49</v>
      </c>
      <c r="E32" s="5" t="str">
        <f>VLOOKUP(F32,'Set up'!$A$2:$C$70,2,FALSE)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up'!$A$2:$C$70,3,FALSE)</f>
        <v>Cash</v>
      </c>
      <c r="J32" s="5">
        <f>VLOOKUP(F32,'Set up'!$A$2:$D$70,4,FALSE)</f>
        <v>0</v>
      </c>
      <c r="K32" s="4">
        <f t="shared" si="9"/>
        <v>44065</v>
      </c>
      <c r="L32" s="5">
        <f t="shared" si="10"/>
        <v>8</v>
      </c>
      <c r="M32" s="5">
        <f t="shared" si="11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2"/>
        <v>33339.699999999997</v>
      </c>
      <c r="R32" s="44" t="str">
        <f>VLOOKUP(F32,'Set up'!$A$2:$E$70,5,FALSE)</f>
        <v>Trsf</v>
      </c>
      <c r="S32" s="15" t="s">
        <v>108</v>
      </c>
    </row>
    <row r="33" spans="1:19" x14ac:dyDescent="0.35">
      <c r="A33" s="4">
        <v>44065</v>
      </c>
      <c r="B33" s="5">
        <f t="shared" si="7"/>
        <v>8</v>
      </c>
      <c r="C33" s="5">
        <f t="shared" si="8"/>
        <v>2020</v>
      </c>
      <c r="D33" s="5" t="s">
        <v>49</v>
      </c>
      <c r="E33" s="5" t="str">
        <f>VLOOKUP(F33,'Set up'!$A$2:$C$70,2,FALSE)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up'!$A$2:$C$70,3,FALSE)</f>
        <v>Cash</v>
      </c>
      <c r="J33" s="5">
        <f>VLOOKUP(F33,'Set up'!$A$2:$D$70,4,FALSE)</f>
        <v>0</v>
      </c>
      <c r="K33" s="4">
        <f t="shared" si="9"/>
        <v>44065</v>
      </c>
      <c r="L33" s="5">
        <f t="shared" si="10"/>
        <v>8</v>
      </c>
      <c r="M33" s="5">
        <f t="shared" si="11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2"/>
        <v>33799.699999999997</v>
      </c>
      <c r="R33" s="44" t="str">
        <f>VLOOKUP(F33,'Set up'!$A$2:$E$70,5,FALSE)</f>
        <v>Trsf</v>
      </c>
      <c r="S33" s="15" t="s">
        <v>108</v>
      </c>
    </row>
    <row r="34" spans="1:19" x14ac:dyDescent="0.35">
      <c r="A34" s="4">
        <v>44065</v>
      </c>
      <c r="B34" s="5">
        <f t="shared" si="7"/>
        <v>8</v>
      </c>
      <c r="C34" s="5">
        <f t="shared" si="8"/>
        <v>2020</v>
      </c>
      <c r="D34" s="5" t="s">
        <v>49</v>
      </c>
      <c r="E34" s="5" t="str">
        <f>VLOOKUP(F34,'Set up'!$A$2:$C$70,2,FALSE)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up'!$A$2:$C$70,3,FALSE)</f>
        <v>Cash</v>
      </c>
      <c r="J34" s="5">
        <f>VLOOKUP(F34,'Set up'!$A$2:$D$70,4,FALSE)</f>
        <v>0</v>
      </c>
      <c r="K34" s="4">
        <f t="shared" si="9"/>
        <v>44065</v>
      </c>
      <c r="L34" s="5">
        <f t="shared" si="10"/>
        <v>8</v>
      </c>
      <c r="M34" s="5">
        <f t="shared" si="11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2"/>
        <v>34159.699999999997</v>
      </c>
      <c r="R34" s="44" t="str">
        <f>VLOOKUP(F34,'Set up'!$A$2:$E$70,5,FALSE)</f>
        <v>Trsf</v>
      </c>
      <c r="S34" s="15" t="s">
        <v>108</v>
      </c>
    </row>
    <row r="35" spans="1:19" x14ac:dyDescent="0.35">
      <c r="A35" s="4">
        <v>44065</v>
      </c>
      <c r="B35" s="5">
        <f t="shared" si="7"/>
        <v>8</v>
      </c>
      <c r="C35" s="5">
        <f t="shared" si="8"/>
        <v>2020</v>
      </c>
      <c r="D35" s="5" t="s">
        <v>50</v>
      </c>
      <c r="E35" s="5" t="str">
        <f>VLOOKUP(F35,'Set up'!$A$2:$C$70,2,FALSE)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up'!$A$2:$C$70,3,FALSE)</f>
        <v>Cash</v>
      </c>
      <c r="J35" s="5">
        <f>VLOOKUP(F35,'Set up'!$A$2:$D$70,4,FALSE)</f>
        <v>0</v>
      </c>
      <c r="K35" s="4">
        <f t="shared" si="9"/>
        <v>44065</v>
      </c>
      <c r="L35" s="5">
        <f t="shared" si="10"/>
        <v>8</v>
      </c>
      <c r="M35" s="5">
        <f t="shared" si="11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2"/>
        <v>35611.699999999997</v>
      </c>
      <c r="R35" s="44" t="str">
        <f>VLOOKUP(F35,'Set up'!$A$2:$E$70,5,FALSE)</f>
        <v>Trsf</v>
      </c>
      <c r="S35" s="1" t="s">
        <v>73</v>
      </c>
    </row>
    <row r="36" spans="1:19" x14ac:dyDescent="0.35">
      <c r="A36" s="4">
        <v>44067</v>
      </c>
      <c r="B36" s="5">
        <f t="shared" si="7"/>
        <v>8</v>
      </c>
      <c r="C36" s="5">
        <f t="shared" si="8"/>
        <v>2020</v>
      </c>
      <c r="D36" s="5" t="s">
        <v>53</v>
      </c>
      <c r="E36" s="5" t="str">
        <f>VLOOKUP(F36,'Set up'!$A$2:$C$70,2,FALSE)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up'!$A$2:$C$70,3,FALSE)</f>
        <v>45</v>
      </c>
      <c r="J36" s="5">
        <f>VLOOKUP(F36,'Set up'!$A$2:$D$70,4,FALSE)</f>
        <v>45</v>
      </c>
      <c r="K36" s="4">
        <f t="shared" si="9"/>
        <v>44112</v>
      </c>
      <c r="L36" s="5">
        <f t="shared" si="10"/>
        <v>10</v>
      </c>
      <c r="M36" s="5">
        <f t="shared" si="11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2"/>
        <v>37129.699999999997</v>
      </c>
      <c r="R36" s="44" t="str">
        <f>VLOOKUP(F36,'Set up'!$A$2:$E$70,5,FALSE)</f>
        <v>PD Chq</v>
      </c>
      <c r="S36" s="13" t="s">
        <v>90</v>
      </c>
    </row>
    <row r="37" spans="1:19" x14ac:dyDescent="0.35">
      <c r="A37" s="4">
        <v>44067</v>
      </c>
      <c r="B37" s="5">
        <f t="shared" si="7"/>
        <v>8</v>
      </c>
      <c r="C37" s="5">
        <f t="shared" si="8"/>
        <v>2020</v>
      </c>
      <c r="D37" s="5" t="s">
        <v>53</v>
      </c>
      <c r="E37" s="5" t="str">
        <f>VLOOKUP(F37,'Set up'!$A$2:$C$70,2,FALSE)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up'!$A$2:$C$70,3,FALSE)</f>
        <v>45</v>
      </c>
      <c r="J37" s="5">
        <f>VLOOKUP(F37,'Set up'!$A$2:$D$70,4,FALSE)</f>
        <v>45</v>
      </c>
      <c r="K37" s="4">
        <f t="shared" si="9"/>
        <v>44112</v>
      </c>
      <c r="L37" s="5">
        <f t="shared" si="10"/>
        <v>10</v>
      </c>
      <c r="M37" s="5">
        <f t="shared" si="11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2"/>
        <v>37329.699999999997</v>
      </c>
      <c r="R37" s="44" t="str">
        <f>VLOOKUP(F37,'Set up'!$A$2:$E$70,5,FALSE)</f>
        <v>PD Chq</v>
      </c>
      <c r="S37" s="13" t="s">
        <v>72</v>
      </c>
    </row>
    <row r="38" spans="1:19" x14ac:dyDescent="0.35">
      <c r="A38" s="4">
        <v>44067</v>
      </c>
      <c r="B38" s="5">
        <f t="shared" si="7"/>
        <v>8</v>
      </c>
      <c r="C38" s="5">
        <f t="shared" si="8"/>
        <v>2020</v>
      </c>
      <c r="D38" s="5" t="s">
        <v>53</v>
      </c>
      <c r="E38" s="5" t="str">
        <f>VLOOKUP(F38,'Set up'!$A$2:$C$70,2,FALSE)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up'!$A$2:$C$70,3,FALSE)</f>
        <v>45</v>
      </c>
      <c r="J38" s="5">
        <f>VLOOKUP(F38,'Set up'!$A$2:$D$70,4,FALSE)</f>
        <v>45</v>
      </c>
      <c r="K38" s="4">
        <f t="shared" si="9"/>
        <v>44112</v>
      </c>
      <c r="L38" s="5">
        <f t="shared" si="10"/>
        <v>10</v>
      </c>
      <c r="M38" s="5">
        <f t="shared" si="11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2"/>
        <v>37514.699999999997</v>
      </c>
      <c r="R38" s="44" t="str">
        <f>VLOOKUP(F38,'Set up'!$A$2:$E$70,5,FALSE)</f>
        <v>PD Chq</v>
      </c>
      <c r="S38" s="13" t="s">
        <v>72</v>
      </c>
    </row>
    <row r="39" spans="1:19" x14ac:dyDescent="0.35">
      <c r="A39" s="4">
        <v>44068</v>
      </c>
      <c r="B39" s="5">
        <f t="shared" si="7"/>
        <v>8</v>
      </c>
      <c r="C39" s="5">
        <f t="shared" si="8"/>
        <v>2020</v>
      </c>
      <c r="D39" s="5" t="s">
        <v>55</v>
      </c>
      <c r="E39" s="5" t="str">
        <f>VLOOKUP(F39,'Set up'!$A$2:$C$70,2,FALSE)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up'!$A$2:$C$70,3,FALSE)</f>
        <v>60</v>
      </c>
      <c r="J39" s="5">
        <f>VLOOKUP(F39,'Set up'!$A$2:$D$70,4,FALSE)</f>
        <v>60</v>
      </c>
      <c r="K39" s="4">
        <f t="shared" si="9"/>
        <v>44128</v>
      </c>
      <c r="L39" s="5">
        <f t="shared" si="10"/>
        <v>10</v>
      </c>
      <c r="M39" s="5">
        <f t="shared" si="11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2"/>
        <v>38790.699999999997</v>
      </c>
      <c r="R39" s="44" t="str">
        <f>VLOOKUP(F39,'Set up'!$A$2:$E$70,5,FALSE)</f>
        <v>Chq</v>
      </c>
      <c r="S39" s="15" t="s">
        <v>186</v>
      </c>
    </row>
    <row r="40" spans="1:19" x14ac:dyDescent="0.35">
      <c r="A40" s="4">
        <v>44068</v>
      </c>
      <c r="B40" s="5">
        <f t="shared" si="7"/>
        <v>8</v>
      </c>
      <c r="C40" s="5">
        <f t="shared" si="8"/>
        <v>2020</v>
      </c>
      <c r="D40" s="5" t="s">
        <v>55</v>
      </c>
      <c r="E40" s="5" t="str">
        <f>VLOOKUP(F40,'Set up'!$A$2:$C$70,2,FALSE)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up'!$A$2:$C$70,3,FALSE)</f>
        <v>60</v>
      </c>
      <c r="J40" s="5">
        <f>VLOOKUP(F40,'Set up'!$A$2:$D$70,4,FALSE)</f>
        <v>60</v>
      </c>
      <c r="K40" s="4">
        <f t="shared" si="9"/>
        <v>44128</v>
      </c>
      <c r="L40" s="5">
        <f t="shared" si="10"/>
        <v>10</v>
      </c>
      <c r="M40" s="5">
        <f t="shared" si="11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2"/>
        <v>40066.699999999997</v>
      </c>
      <c r="R40" s="44" t="str">
        <f>VLOOKUP(F40,'Set up'!$A$2:$E$70,5,FALSE)</f>
        <v>Chq</v>
      </c>
      <c r="S40" s="15" t="s">
        <v>186</v>
      </c>
    </row>
    <row r="41" spans="1:19" x14ac:dyDescent="0.35">
      <c r="A41" s="4">
        <v>44068</v>
      </c>
      <c r="B41" s="5">
        <f t="shared" si="7"/>
        <v>8</v>
      </c>
      <c r="C41" s="5">
        <f t="shared" si="8"/>
        <v>2020</v>
      </c>
      <c r="D41" s="5" t="s">
        <v>56</v>
      </c>
      <c r="E41" s="5" t="str">
        <f>VLOOKUP(F41,'Set up'!$A$2:$C$70,2,FALSE)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up'!$A$2:$C$70,3,FALSE)</f>
        <v>Cash</v>
      </c>
      <c r="J41" s="5">
        <f>VLOOKUP(F41,'Set up'!$A$2:$D$70,4,FALSE)</f>
        <v>0</v>
      </c>
      <c r="K41" s="4">
        <f t="shared" si="9"/>
        <v>44068</v>
      </c>
      <c r="L41" s="5">
        <f t="shared" si="10"/>
        <v>8</v>
      </c>
      <c r="M41" s="5">
        <f t="shared" si="11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2"/>
        <v>41562.699999999997</v>
      </c>
      <c r="R41" s="44" t="str">
        <f>VLOOKUP(F41,'Set up'!$A$2:$E$70,5,FALSE)</f>
        <v>Trsf</v>
      </c>
      <c r="S41" s="1" t="s">
        <v>94</v>
      </c>
    </row>
    <row r="42" spans="1:19" x14ac:dyDescent="0.35">
      <c r="A42" s="4">
        <v>44070</v>
      </c>
      <c r="B42" s="5">
        <f t="shared" si="7"/>
        <v>8</v>
      </c>
      <c r="C42" s="5">
        <f t="shared" si="8"/>
        <v>2020</v>
      </c>
      <c r="D42" s="5" t="s">
        <v>60</v>
      </c>
      <c r="E42" s="5" t="str">
        <f>VLOOKUP(F42,'Set up'!$A$2:$C$70,2,FALSE)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up'!$A$2:$C$70,3,FALSE)</f>
        <v>120</v>
      </c>
      <c r="J42" s="5">
        <f>VLOOKUP(F42,'Set up'!$A$2:$D$70,4,FALSE)</f>
        <v>120</v>
      </c>
      <c r="K42" s="4">
        <f t="shared" si="9"/>
        <v>44190</v>
      </c>
      <c r="L42" s="5">
        <f t="shared" si="10"/>
        <v>12</v>
      </c>
      <c r="M42" s="5">
        <f t="shared" si="11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2"/>
        <v>46842.7</v>
      </c>
      <c r="R42" s="44" t="str">
        <f>VLOOKUP(F42,'Set up'!$A$2:$E$70,5,FALSE)</f>
        <v>Trsf</v>
      </c>
      <c r="S42" s="13" t="s">
        <v>212</v>
      </c>
    </row>
    <row r="43" spans="1:19" x14ac:dyDescent="0.35">
      <c r="A43" s="4">
        <v>44070</v>
      </c>
      <c r="B43" s="5">
        <f t="shared" si="7"/>
        <v>8</v>
      </c>
      <c r="C43" s="5">
        <f t="shared" si="8"/>
        <v>2020</v>
      </c>
      <c r="D43" s="5" t="s">
        <v>60</v>
      </c>
      <c r="E43" s="5" t="str">
        <f>VLOOKUP(F43,'Set up'!$A$2:$C$70,2,FALSE)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up'!$A$2:$C$70,3,FALSE)</f>
        <v>120</v>
      </c>
      <c r="J43" s="5">
        <f>VLOOKUP(F43,'Set up'!$A$2:$D$70,4,FALSE)</f>
        <v>120</v>
      </c>
      <c r="K43" s="4">
        <f t="shared" si="9"/>
        <v>44190</v>
      </c>
      <c r="L43" s="5">
        <f t="shared" si="10"/>
        <v>12</v>
      </c>
      <c r="M43" s="5">
        <f t="shared" si="11"/>
        <v>2020</v>
      </c>
      <c r="N43" s="6">
        <v>444</v>
      </c>
      <c r="O43" s="6">
        <v>-444</v>
      </c>
      <c r="P43" s="6">
        <f t="shared" si="13"/>
        <v>0</v>
      </c>
      <c r="Q43" s="7">
        <f t="shared" si="12"/>
        <v>47286.7</v>
      </c>
      <c r="R43" s="44" t="str">
        <f>VLOOKUP(F43,'Set up'!$A$2:$E$70,5,FALSE)</f>
        <v>Trsf</v>
      </c>
      <c r="S43" s="13" t="s">
        <v>212</v>
      </c>
    </row>
    <row r="44" spans="1:19" x14ac:dyDescent="0.35">
      <c r="A44" s="4">
        <v>44070</v>
      </c>
      <c r="B44" s="5">
        <f t="shared" si="7"/>
        <v>8</v>
      </c>
      <c r="C44" s="5">
        <f t="shared" si="8"/>
        <v>2020</v>
      </c>
      <c r="D44" s="5" t="s">
        <v>60</v>
      </c>
      <c r="E44" s="5" t="str">
        <f>VLOOKUP(F44,'Set up'!$A$2:$C$70,2,FALSE)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up'!$A$2:$C$70,3,FALSE)</f>
        <v>120</v>
      </c>
      <c r="J44" s="5">
        <f>VLOOKUP(F44,'Set up'!$A$2:$D$70,4,FALSE)</f>
        <v>120</v>
      </c>
      <c r="K44" s="4">
        <f t="shared" si="9"/>
        <v>44190</v>
      </c>
      <c r="L44" s="5">
        <f t="shared" si="10"/>
        <v>12</v>
      </c>
      <c r="M44" s="5">
        <f t="shared" si="11"/>
        <v>2020</v>
      </c>
      <c r="N44" s="6">
        <v>275</v>
      </c>
      <c r="O44" s="6">
        <v>-275</v>
      </c>
      <c r="P44" s="6">
        <f t="shared" si="13"/>
        <v>0</v>
      </c>
      <c r="Q44" s="7">
        <f t="shared" si="12"/>
        <v>47561.7</v>
      </c>
      <c r="R44" s="44" t="str">
        <f>VLOOKUP(F44,'Set up'!$A$2:$E$70,5,FALSE)</f>
        <v>Trsf</v>
      </c>
      <c r="S44" s="13" t="s">
        <v>212</v>
      </c>
    </row>
    <row r="45" spans="1:19" x14ac:dyDescent="0.35">
      <c r="A45" s="4">
        <v>44070</v>
      </c>
      <c r="B45" s="5">
        <f t="shared" si="7"/>
        <v>8</v>
      </c>
      <c r="C45" s="5">
        <f t="shared" si="8"/>
        <v>2020</v>
      </c>
      <c r="D45" s="5" t="s">
        <v>60</v>
      </c>
      <c r="E45" s="5" t="str">
        <f>VLOOKUP(F45,'Set up'!$A$2:$C$70,2,FALSE)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up'!$A$2:$C$70,3,FALSE)</f>
        <v>120</v>
      </c>
      <c r="J45" s="5">
        <f>VLOOKUP(F45,'Set up'!$A$2:$D$70,4,FALSE)</f>
        <v>120</v>
      </c>
      <c r="K45" s="4">
        <f t="shared" si="9"/>
        <v>44190</v>
      </c>
      <c r="L45" s="5">
        <f t="shared" si="10"/>
        <v>12</v>
      </c>
      <c r="M45" s="5">
        <f t="shared" si="11"/>
        <v>2020</v>
      </c>
      <c r="N45" s="6">
        <v>360</v>
      </c>
      <c r="O45" s="6">
        <v>-360</v>
      </c>
      <c r="P45" s="6">
        <f t="shared" si="13"/>
        <v>0</v>
      </c>
      <c r="Q45" s="7">
        <f t="shared" si="12"/>
        <v>47921.7</v>
      </c>
      <c r="R45" s="44" t="str">
        <f>VLOOKUP(F45,'Set up'!$A$2:$E$70,5,FALSE)</f>
        <v>Trsf</v>
      </c>
      <c r="S45" s="13" t="s">
        <v>212</v>
      </c>
    </row>
    <row r="46" spans="1:19" x14ac:dyDescent="0.35">
      <c r="A46" s="4">
        <v>44070</v>
      </c>
      <c r="B46" s="5">
        <f t="shared" si="7"/>
        <v>8</v>
      </c>
      <c r="C46" s="5">
        <f t="shared" si="8"/>
        <v>2020</v>
      </c>
      <c r="D46" s="5" t="s">
        <v>60</v>
      </c>
      <c r="E46" s="5" t="str">
        <f>VLOOKUP(F46,'Set up'!$A$2:$C$70,2,FALSE)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up'!$A$2:$C$70,3,FALSE)</f>
        <v>120</v>
      </c>
      <c r="J46" s="5">
        <f>VLOOKUP(F46,'Set up'!$A$2:$D$70,4,FALSE)</f>
        <v>120</v>
      </c>
      <c r="K46" s="4">
        <f t="shared" si="9"/>
        <v>44190</v>
      </c>
      <c r="L46" s="5">
        <f t="shared" si="10"/>
        <v>12</v>
      </c>
      <c r="M46" s="5">
        <f t="shared" si="11"/>
        <v>2020</v>
      </c>
      <c r="N46" s="6">
        <v>375</v>
      </c>
      <c r="O46" s="6">
        <v>-375</v>
      </c>
      <c r="P46" s="6">
        <f t="shared" si="13"/>
        <v>0</v>
      </c>
      <c r="Q46" s="7">
        <f t="shared" si="12"/>
        <v>48296.7</v>
      </c>
      <c r="R46" s="44" t="str">
        <f>VLOOKUP(F46,'Set up'!$A$2:$E$70,5,FALSE)</f>
        <v>Trsf</v>
      </c>
      <c r="S46" s="13" t="s">
        <v>212</v>
      </c>
    </row>
    <row r="47" spans="1:19" x14ac:dyDescent="0.35">
      <c r="A47" s="4">
        <v>44075</v>
      </c>
      <c r="B47" s="5">
        <f t="shared" si="7"/>
        <v>9</v>
      </c>
      <c r="C47" s="5">
        <f t="shared" si="8"/>
        <v>2020</v>
      </c>
      <c r="D47" s="5" t="s">
        <v>66</v>
      </c>
      <c r="E47" s="5" t="str">
        <f>VLOOKUP(F47,'Set up'!$A$2:$C$70,2,FALSE)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up'!$A$2:$C$70,3,FALSE)</f>
        <v>Cash</v>
      </c>
      <c r="J47" s="5">
        <f>VLOOKUP(F47,'Set up'!$A$2:$D$70,4,FALSE)</f>
        <v>0</v>
      </c>
      <c r="K47" s="4">
        <f t="shared" si="9"/>
        <v>44075</v>
      </c>
      <c r="L47" s="5">
        <f t="shared" si="10"/>
        <v>9</v>
      </c>
      <c r="M47" s="5">
        <f t="shared" si="11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2"/>
        <v>51244.7</v>
      </c>
      <c r="R47" s="44" t="str">
        <f>VLOOKUP(F47,'Set up'!$A$2:$E$70,5,FALSE)</f>
        <v>Trsf</v>
      </c>
      <c r="S47" s="1" t="s">
        <v>93</v>
      </c>
    </row>
    <row r="48" spans="1:19" x14ac:dyDescent="0.35">
      <c r="A48" s="4">
        <v>44075</v>
      </c>
      <c r="B48" s="5">
        <f t="shared" si="7"/>
        <v>9</v>
      </c>
      <c r="C48" s="5">
        <f t="shared" si="8"/>
        <v>2020</v>
      </c>
      <c r="D48" s="5" t="s">
        <v>66</v>
      </c>
      <c r="E48" s="5" t="str">
        <f>VLOOKUP(F48,'Set up'!$A$2:$C$70,2,FALSE)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up'!$A$2:$C$70,3,FALSE)</f>
        <v>Cash</v>
      </c>
      <c r="J48" s="5">
        <f>VLOOKUP(F48,'Set up'!$A$2:$D$70,4,FALSE)</f>
        <v>0</v>
      </c>
      <c r="K48" s="4">
        <f t="shared" si="9"/>
        <v>44075</v>
      </c>
      <c r="L48" s="5">
        <f t="shared" si="10"/>
        <v>9</v>
      </c>
      <c r="M48" s="5">
        <f t="shared" si="11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2"/>
        <v>52084.7</v>
      </c>
      <c r="R48" s="44" t="str">
        <f>VLOOKUP(F48,'Set up'!$A$2:$E$70,5,FALSE)</f>
        <v>Trsf</v>
      </c>
      <c r="S48" s="1" t="s">
        <v>93</v>
      </c>
    </row>
    <row r="49" spans="1:20" x14ac:dyDescent="0.35">
      <c r="A49" s="4">
        <v>44075</v>
      </c>
      <c r="B49" s="5">
        <f t="shared" si="7"/>
        <v>9</v>
      </c>
      <c r="C49" s="5">
        <f t="shared" si="8"/>
        <v>2020</v>
      </c>
      <c r="D49" s="5" t="s">
        <v>66</v>
      </c>
      <c r="E49" s="5" t="str">
        <f>VLOOKUP(F49,'Set up'!$A$2:$C$70,2,FALSE)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up'!$A$2:$C$70,3,FALSE)</f>
        <v>Cash</v>
      </c>
      <c r="J49" s="5">
        <f>VLOOKUP(F49,'Set up'!$A$2:$D$70,4,FALSE)</f>
        <v>0</v>
      </c>
      <c r="K49" s="4">
        <f t="shared" si="9"/>
        <v>44075</v>
      </c>
      <c r="L49" s="5">
        <f t="shared" si="10"/>
        <v>9</v>
      </c>
      <c r="M49" s="5">
        <f t="shared" si="11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2"/>
        <v>52264.7</v>
      </c>
      <c r="R49" s="44" t="str">
        <f>VLOOKUP(F49,'Set up'!$A$2:$E$70,5,FALSE)</f>
        <v>Trsf</v>
      </c>
      <c r="S49" s="1" t="s">
        <v>93</v>
      </c>
    </row>
    <row r="50" spans="1:20" x14ac:dyDescent="0.35">
      <c r="A50" s="4">
        <v>44076</v>
      </c>
      <c r="B50" s="5">
        <f t="shared" si="7"/>
        <v>9</v>
      </c>
      <c r="C50" s="5">
        <f t="shared" si="8"/>
        <v>2020</v>
      </c>
      <c r="D50" s="5" t="s">
        <v>68</v>
      </c>
      <c r="E50" s="5" t="str">
        <f>VLOOKUP(F50,'Set up'!$A$2:$C$70,2,FALSE)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up'!$A$2:$C$70,3,FALSE)</f>
        <v>Cash</v>
      </c>
      <c r="J50" s="5">
        <f>VLOOKUP(F50,'Set up'!$A$2:$D$70,4,FALSE)</f>
        <v>0</v>
      </c>
      <c r="K50" s="4">
        <f t="shared" si="9"/>
        <v>44076</v>
      </c>
      <c r="L50" s="5">
        <f t="shared" si="10"/>
        <v>9</v>
      </c>
      <c r="M50" s="5">
        <f t="shared" si="11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2"/>
        <v>53514.7</v>
      </c>
      <c r="R50" s="44" t="str">
        <f>VLOOKUP(F50,'Set up'!$A$2:$E$70,5,FALSE)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7"/>
        <v>9</v>
      </c>
      <c r="C51" s="5">
        <f t="shared" si="8"/>
        <v>2020</v>
      </c>
      <c r="D51" s="5" t="s">
        <v>91</v>
      </c>
      <c r="E51" s="5" t="str">
        <f>VLOOKUP(F51,'Set up'!$A$2:$C$70,2,FALSE)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up'!$A$2:$C$70,3,FALSE)</f>
        <v>Cash</v>
      </c>
      <c r="J51" s="5">
        <f>VLOOKUP(F51,'Set up'!$A$2:$D$70,4,FALSE)</f>
        <v>0</v>
      </c>
      <c r="K51" s="4">
        <f t="shared" si="9"/>
        <v>44079</v>
      </c>
      <c r="L51" s="5">
        <f t="shared" si="10"/>
        <v>9</v>
      </c>
      <c r="M51" s="5">
        <f t="shared" si="11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2"/>
        <v>55010.7</v>
      </c>
      <c r="R51" s="44" t="str">
        <f>VLOOKUP(F51,'Set up'!$A$2:$E$70,5,FALSE)</f>
        <v>Trsf</v>
      </c>
      <c r="S51" s="1" t="s">
        <v>92</v>
      </c>
    </row>
    <row r="52" spans="1:20" x14ac:dyDescent="0.35">
      <c r="A52" s="4">
        <v>44079</v>
      </c>
      <c r="B52" s="5">
        <f t="shared" si="7"/>
        <v>9</v>
      </c>
      <c r="C52" s="5">
        <f t="shared" si="8"/>
        <v>2020</v>
      </c>
      <c r="D52" s="5" t="s">
        <v>91</v>
      </c>
      <c r="E52" s="5" t="str">
        <f>VLOOKUP(F52,'Set up'!$A$2:$C$70,2,FALSE)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up'!$A$2:$C$70,3,FALSE)</f>
        <v>Cash</v>
      </c>
      <c r="J52" s="5">
        <f>VLOOKUP(F52,'Set up'!$A$2:$D$70,4,FALSE)</f>
        <v>0</v>
      </c>
      <c r="K52" s="4">
        <f t="shared" si="9"/>
        <v>44079</v>
      </c>
      <c r="L52" s="5">
        <f t="shared" si="10"/>
        <v>9</v>
      </c>
      <c r="M52" s="5">
        <f t="shared" si="11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2"/>
        <v>55972.7</v>
      </c>
      <c r="R52" s="44" t="str">
        <f>VLOOKUP(F52,'Set up'!$A$2:$E$70,5,FALSE)</f>
        <v>Trsf</v>
      </c>
      <c r="S52" s="1" t="s">
        <v>92</v>
      </c>
    </row>
    <row r="53" spans="1:20" x14ac:dyDescent="0.35">
      <c r="A53" s="4">
        <v>44091</v>
      </c>
      <c r="B53" s="5">
        <f t="shared" si="7"/>
        <v>9</v>
      </c>
      <c r="C53" s="5">
        <f t="shared" si="8"/>
        <v>2020</v>
      </c>
      <c r="D53" s="5" t="s">
        <v>99</v>
      </c>
      <c r="E53" s="5" t="str">
        <f>VLOOKUP(F53,'Set up'!$A$2:$C$70,2,FALSE)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up'!$A$2:$C$70,3,FALSE)</f>
        <v>120</v>
      </c>
      <c r="J53" s="5">
        <f>VLOOKUP(F53,'Set up'!$A$2:$D$70,4,FALSE)</f>
        <v>120</v>
      </c>
      <c r="K53" s="4">
        <f t="shared" si="9"/>
        <v>44211</v>
      </c>
      <c r="L53" s="5">
        <f t="shared" si="10"/>
        <v>1</v>
      </c>
      <c r="M53" s="5">
        <f t="shared" si="11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2"/>
        <v>62242.7</v>
      </c>
      <c r="R53" s="44" t="str">
        <f>VLOOKUP(F53,'Set up'!$A$2:$E$70,5,FALSE)</f>
        <v>Chq</v>
      </c>
      <c r="S53" s="13" t="s">
        <v>247</v>
      </c>
    </row>
    <row r="54" spans="1:20" x14ac:dyDescent="0.35">
      <c r="A54" s="4">
        <v>44091</v>
      </c>
      <c r="B54" s="5">
        <f t="shared" si="7"/>
        <v>9</v>
      </c>
      <c r="C54" s="5">
        <f t="shared" si="8"/>
        <v>2020</v>
      </c>
      <c r="D54" s="5" t="s">
        <v>99</v>
      </c>
      <c r="E54" s="5" t="str">
        <f>VLOOKUP(F54,'Set up'!$A$2:$C$70,2,FALSE)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up'!$A$2:$C$70,3,FALSE)</f>
        <v>120</v>
      </c>
      <c r="J54" s="5">
        <f>VLOOKUP(F54,'Set up'!$A$2:$D$70,4,FALSE)</f>
        <v>120</v>
      </c>
      <c r="K54" s="4">
        <f t="shared" si="9"/>
        <v>44211</v>
      </c>
      <c r="L54" s="5">
        <f t="shared" si="10"/>
        <v>1</v>
      </c>
      <c r="M54" s="5">
        <f t="shared" si="11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2"/>
        <v>63496.7</v>
      </c>
      <c r="R54" s="44" t="str">
        <f>VLOOKUP(F54,'Set up'!$A$2:$E$70,5,FALSE)</f>
        <v>Chq</v>
      </c>
      <c r="S54" s="13" t="s">
        <v>247</v>
      </c>
    </row>
    <row r="55" spans="1:20" x14ac:dyDescent="0.35">
      <c r="A55" s="4">
        <v>44091</v>
      </c>
      <c r="B55" s="5">
        <f t="shared" si="7"/>
        <v>9</v>
      </c>
      <c r="C55" s="5">
        <f t="shared" si="8"/>
        <v>2020</v>
      </c>
      <c r="D55" s="5" t="s">
        <v>99</v>
      </c>
      <c r="E55" s="5" t="str">
        <f>VLOOKUP(F55,'Set up'!$A$2:$C$70,2,FALSE)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up'!$A$2:$C$70,3,FALSE)</f>
        <v>120</v>
      </c>
      <c r="J55" s="5">
        <f>VLOOKUP(F55,'Set up'!$A$2:$D$70,4,FALSE)</f>
        <v>120</v>
      </c>
      <c r="K55" s="4">
        <f t="shared" si="9"/>
        <v>44211</v>
      </c>
      <c r="L55" s="5">
        <f t="shared" si="10"/>
        <v>1</v>
      </c>
      <c r="M55" s="5">
        <f t="shared" si="11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2"/>
        <v>64371.5</v>
      </c>
      <c r="R55" s="44" t="str">
        <f>VLOOKUP(F55,'Set up'!$A$2:$E$70,5,FALSE)</f>
        <v>Chq</v>
      </c>
      <c r="S55" s="13" t="s">
        <v>247</v>
      </c>
    </row>
    <row r="56" spans="1:20" x14ac:dyDescent="0.35">
      <c r="A56" s="4">
        <v>44091</v>
      </c>
      <c r="B56" s="5">
        <f t="shared" si="7"/>
        <v>9</v>
      </c>
      <c r="C56" s="5">
        <f t="shared" si="8"/>
        <v>2020</v>
      </c>
      <c r="D56" s="5" t="s">
        <v>99</v>
      </c>
      <c r="E56" s="5" t="str">
        <f>VLOOKUP(F56,'Set up'!$A$2:$C$70,2,FALSE)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up'!$A$2:$C$70,3,FALSE)</f>
        <v>120</v>
      </c>
      <c r="J56" s="5">
        <f>VLOOKUP(F56,'Set up'!$A$2:$D$70,4,FALSE)</f>
        <v>120</v>
      </c>
      <c r="K56" s="4">
        <f t="shared" si="9"/>
        <v>44211</v>
      </c>
      <c r="L56" s="5">
        <f t="shared" si="10"/>
        <v>1</v>
      </c>
      <c r="M56" s="5">
        <f t="shared" si="11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2"/>
        <v>65246.3</v>
      </c>
      <c r="R56" s="44" t="str">
        <f>VLOOKUP(F56,'Set up'!$A$2:$E$70,5,FALSE)</f>
        <v>Chq</v>
      </c>
      <c r="S56" s="13" t="s">
        <v>247</v>
      </c>
    </row>
    <row r="57" spans="1:20" x14ac:dyDescent="0.35">
      <c r="A57" s="4">
        <v>44091</v>
      </c>
      <c r="B57" s="5">
        <f t="shared" si="7"/>
        <v>9</v>
      </c>
      <c r="C57" s="5">
        <f t="shared" si="8"/>
        <v>2020</v>
      </c>
      <c r="D57" s="5" t="s">
        <v>99</v>
      </c>
      <c r="E57" s="5" t="str">
        <f>VLOOKUP(F57,'Set up'!$A$2:$C$70,2,FALSE)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up'!$A$2:$C$70,3,FALSE)</f>
        <v>120</v>
      </c>
      <c r="J57" s="5">
        <f>VLOOKUP(F57,'Set up'!$A$2:$D$70,4,FALSE)</f>
        <v>120</v>
      </c>
      <c r="K57" s="4">
        <f t="shared" si="9"/>
        <v>44211</v>
      </c>
      <c r="L57" s="5">
        <f t="shared" si="10"/>
        <v>1</v>
      </c>
      <c r="M57" s="5">
        <f t="shared" si="11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2"/>
        <v>66470.3</v>
      </c>
      <c r="R57" s="44" t="str">
        <f>VLOOKUP(F57,'Set up'!$A$2:$E$70,5,FALSE)</f>
        <v>Chq</v>
      </c>
      <c r="S57" s="13" t="s">
        <v>247</v>
      </c>
    </row>
    <row r="58" spans="1:20" x14ac:dyDescent="0.35">
      <c r="A58" s="4">
        <v>44091</v>
      </c>
      <c r="B58" s="5">
        <f t="shared" si="7"/>
        <v>9</v>
      </c>
      <c r="C58" s="5">
        <f t="shared" si="8"/>
        <v>2020</v>
      </c>
      <c r="D58" s="5" t="s">
        <v>99</v>
      </c>
      <c r="E58" s="5" t="str">
        <f>VLOOKUP(F58,'Set up'!$A$2:$C$70,2,FALSE)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up'!$A$2:$C$70,3,FALSE)</f>
        <v>120</v>
      </c>
      <c r="J58" s="5">
        <f>VLOOKUP(F58,'Set up'!$A$2:$D$70,4,FALSE)</f>
        <v>120</v>
      </c>
      <c r="K58" s="4">
        <f t="shared" si="9"/>
        <v>44211</v>
      </c>
      <c r="L58" s="5">
        <f t="shared" si="10"/>
        <v>1</v>
      </c>
      <c r="M58" s="5">
        <f t="shared" si="11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2"/>
        <v>66830.3</v>
      </c>
      <c r="R58" s="44" t="str">
        <f>VLOOKUP(F58,'Set up'!$A$2:$E$70,5,FALSE)</f>
        <v>Chq</v>
      </c>
      <c r="S58" s="13" t="s">
        <v>247</v>
      </c>
    </row>
    <row r="59" spans="1:20" x14ac:dyDescent="0.35">
      <c r="A59" s="4">
        <v>44091</v>
      </c>
      <c r="B59" s="5">
        <f t="shared" si="7"/>
        <v>9</v>
      </c>
      <c r="C59" s="5">
        <f t="shared" si="8"/>
        <v>2020</v>
      </c>
      <c r="D59" s="5" t="s">
        <v>99</v>
      </c>
      <c r="E59" s="5" t="str">
        <f>VLOOKUP(F59,'Set up'!$A$2:$C$70,2,FALSE)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up'!$A$2:$C$70,3,FALSE)</f>
        <v>120</v>
      </c>
      <c r="J59" s="5">
        <f>VLOOKUP(F59,'Set up'!$A$2:$D$70,4,FALSE)</f>
        <v>120</v>
      </c>
      <c r="K59" s="4">
        <f t="shared" si="9"/>
        <v>44211</v>
      </c>
      <c r="L59" s="5">
        <f t="shared" si="10"/>
        <v>1</v>
      </c>
      <c r="M59" s="5">
        <f t="shared" si="11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2"/>
        <v>67220.3</v>
      </c>
      <c r="R59" s="44" t="str">
        <f>VLOOKUP(F59,'Set up'!$A$2:$E$70,5,FALSE)</f>
        <v>Chq</v>
      </c>
      <c r="S59" s="13" t="s">
        <v>247</v>
      </c>
    </row>
    <row r="60" spans="1:20" x14ac:dyDescent="0.35">
      <c r="A60" s="4">
        <v>44091</v>
      </c>
      <c r="B60" s="5">
        <f t="shared" si="7"/>
        <v>9</v>
      </c>
      <c r="C60" s="5">
        <f t="shared" si="8"/>
        <v>2020</v>
      </c>
      <c r="D60" s="5" t="s">
        <v>100</v>
      </c>
      <c r="E60" s="5" t="str">
        <f>VLOOKUP(F60,'Set up'!$A$2:$C$70,2,FALSE)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up'!$A$2:$C$70,3,FALSE)</f>
        <v>Cash</v>
      </c>
      <c r="J60" s="5">
        <f>VLOOKUP(F60,'Set up'!$A$2:$D$70,4,FALSE)</f>
        <v>0</v>
      </c>
      <c r="K60" s="4">
        <f t="shared" si="9"/>
        <v>44091</v>
      </c>
      <c r="L60" s="5">
        <f t="shared" si="10"/>
        <v>9</v>
      </c>
      <c r="M60" s="5">
        <f t="shared" si="11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2"/>
        <v>68716.3</v>
      </c>
      <c r="R60" s="44" t="str">
        <f>VLOOKUP(F60,'Set up'!$A$2:$E$70,5,FALSE)</f>
        <v>Trsf</v>
      </c>
      <c r="S60" s="1" t="s">
        <v>104</v>
      </c>
    </row>
    <row r="61" spans="1:20" x14ac:dyDescent="0.35">
      <c r="A61" s="4">
        <v>44091</v>
      </c>
      <c r="B61" s="5">
        <f t="shared" si="7"/>
        <v>9</v>
      </c>
      <c r="C61" s="5">
        <f t="shared" si="8"/>
        <v>2020</v>
      </c>
      <c r="D61" s="5" t="s">
        <v>100</v>
      </c>
      <c r="E61" s="5" t="str">
        <f>VLOOKUP(F61,'Set up'!$A$2:$C$70,2,FALSE)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up'!$A$2:$C$70,3,FALSE)</f>
        <v>Cash</v>
      </c>
      <c r="J61" s="5">
        <f>VLOOKUP(F61,'Set up'!$A$2:$D$70,4,FALSE)</f>
        <v>0</v>
      </c>
      <c r="K61" s="4">
        <f t="shared" si="9"/>
        <v>44091</v>
      </c>
      <c r="L61" s="5">
        <f t="shared" si="10"/>
        <v>9</v>
      </c>
      <c r="M61" s="5">
        <f t="shared" si="11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2"/>
        <v>69197.3</v>
      </c>
      <c r="R61" s="44" t="str">
        <f>VLOOKUP(F61,'Set up'!$A$2:$E$70,5,FALSE)</f>
        <v>Trsf</v>
      </c>
      <c r="S61" s="1" t="s">
        <v>104</v>
      </c>
    </row>
    <row r="62" spans="1:20" x14ac:dyDescent="0.35">
      <c r="A62" s="4">
        <v>44096</v>
      </c>
      <c r="B62" s="5">
        <f t="shared" si="7"/>
        <v>9</v>
      </c>
      <c r="C62" s="5">
        <f t="shared" si="8"/>
        <v>2020</v>
      </c>
      <c r="D62" s="5" t="s">
        <v>101</v>
      </c>
      <c r="E62" s="5" t="str">
        <f>VLOOKUP(F62,'Set up'!$A$2:$C$70,2,FALSE)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up'!$A$2:$C$70,3,FALSE)</f>
        <v>120</v>
      </c>
      <c r="J62" s="5">
        <f>VLOOKUP(F62,'Set up'!$A$2:$D$70,4,FALSE)</f>
        <v>120</v>
      </c>
      <c r="K62" s="4">
        <f t="shared" si="9"/>
        <v>44216</v>
      </c>
      <c r="L62" s="5">
        <f t="shared" si="10"/>
        <v>1</v>
      </c>
      <c r="M62" s="5">
        <f t="shared" si="11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2"/>
        <v>75467.3</v>
      </c>
      <c r="R62" s="44" t="str">
        <f>VLOOKUP(F62,'Set up'!$A$2:$E$70,5,FALSE)</f>
        <v>Chq</v>
      </c>
      <c r="S62" s="13" t="s">
        <v>247</v>
      </c>
    </row>
    <row r="63" spans="1:20" x14ac:dyDescent="0.35">
      <c r="A63" s="4">
        <v>44096</v>
      </c>
      <c r="B63" s="5">
        <f t="shared" si="7"/>
        <v>9</v>
      </c>
      <c r="C63" s="5">
        <f t="shared" si="8"/>
        <v>2020</v>
      </c>
      <c r="D63" s="5" t="s">
        <v>101</v>
      </c>
      <c r="E63" s="5" t="str">
        <f>VLOOKUP(F63,'Set up'!$A$2:$C$70,2,FALSE)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up'!$A$2:$C$70,3,FALSE)</f>
        <v>120</v>
      </c>
      <c r="J63" s="5">
        <f>VLOOKUP(F63,'Set up'!$A$2:$D$70,4,FALSE)</f>
        <v>120</v>
      </c>
      <c r="K63" s="4">
        <f t="shared" si="9"/>
        <v>44216</v>
      </c>
      <c r="L63" s="5">
        <f t="shared" si="10"/>
        <v>1</v>
      </c>
      <c r="M63" s="5">
        <f t="shared" si="11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2"/>
        <v>76721.3</v>
      </c>
      <c r="R63" s="44" t="str">
        <f>VLOOKUP(F63,'Set up'!$A$2:$E$70,5,FALSE)</f>
        <v>Chq</v>
      </c>
      <c r="S63" s="13" t="s">
        <v>247</v>
      </c>
    </row>
    <row r="64" spans="1:20" x14ac:dyDescent="0.35">
      <c r="A64" s="4">
        <v>44096</v>
      </c>
      <c r="B64" s="5">
        <f t="shared" si="7"/>
        <v>9</v>
      </c>
      <c r="C64" s="5">
        <f t="shared" si="8"/>
        <v>2020</v>
      </c>
      <c r="D64" s="5" t="s">
        <v>101</v>
      </c>
      <c r="E64" s="5" t="str">
        <f>VLOOKUP(F64,'Set up'!$A$2:$C$70,2,FALSE)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up'!$A$2:$C$70,3,FALSE)</f>
        <v>120</v>
      </c>
      <c r="J64" s="5">
        <f>VLOOKUP(F64,'Set up'!$A$2:$D$70,4,FALSE)</f>
        <v>120</v>
      </c>
      <c r="K64" s="4">
        <f t="shared" si="9"/>
        <v>44216</v>
      </c>
      <c r="L64" s="5">
        <f t="shared" si="10"/>
        <v>1</v>
      </c>
      <c r="M64" s="5">
        <f t="shared" si="11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2"/>
        <v>78179.3</v>
      </c>
      <c r="R64" s="44" t="str">
        <f>VLOOKUP(F64,'Set up'!$A$2:$E$70,5,FALSE)</f>
        <v>Chq</v>
      </c>
      <c r="S64" s="13" t="s">
        <v>247</v>
      </c>
    </row>
    <row r="65" spans="1:19" x14ac:dyDescent="0.35">
      <c r="A65" s="4">
        <v>44096</v>
      </c>
      <c r="B65" s="5">
        <f t="shared" si="7"/>
        <v>9</v>
      </c>
      <c r="C65" s="5">
        <f t="shared" si="8"/>
        <v>2020</v>
      </c>
      <c r="D65" s="5" t="s">
        <v>101</v>
      </c>
      <c r="E65" s="5" t="str">
        <f>VLOOKUP(F65,'Set up'!$A$2:$C$70,2,FALSE)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up'!$A$2:$C$70,3,FALSE)</f>
        <v>120</v>
      </c>
      <c r="J65" s="5">
        <f>VLOOKUP(F65,'Set up'!$A$2:$D$70,4,FALSE)</f>
        <v>120</v>
      </c>
      <c r="K65" s="4">
        <f t="shared" si="9"/>
        <v>44216</v>
      </c>
      <c r="L65" s="5">
        <f t="shared" si="10"/>
        <v>1</v>
      </c>
      <c r="M65" s="5">
        <f t="shared" si="11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2"/>
        <v>78762.5</v>
      </c>
      <c r="R65" s="44" t="str">
        <f>VLOOKUP(F65,'Set up'!$A$2:$E$70,5,FALSE)</f>
        <v>Chq</v>
      </c>
      <c r="S65" s="13" t="s">
        <v>247</v>
      </c>
    </row>
    <row r="66" spans="1:19" x14ac:dyDescent="0.35">
      <c r="A66" s="4">
        <v>44096</v>
      </c>
      <c r="B66" s="5">
        <f t="shared" si="7"/>
        <v>9</v>
      </c>
      <c r="C66" s="5">
        <f t="shared" si="8"/>
        <v>2020</v>
      </c>
      <c r="D66" s="5" t="s">
        <v>101</v>
      </c>
      <c r="E66" s="5" t="str">
        <f>VLOOKUP(F66,'Set up'!$A$2:$C$70,2,FALSE)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up'!$A$2:$C$70,3,FALSE)</f>
        <v>120</v>
      </c>
      <c r="J66" s="5">
        <f>VLOOKUP(F66,'Set up'!$A$2:$D$70,4,FALSE)</f>
        <v>120</v>
      </c>
      <c r="K66" s="4">
        <f t="shared" si="9"/>
        <v>44216</v>
      </c>
      <c r="L66" s="5">
        <f t="shared" si="10"/>
        <v>1</v>
      </c>
      <c r="M66" s="5">
        <f t="shared" si="11"/>
        <v>2021</v>
      </c>
      <c r="N66" s="6">
        <v>2040</v>
      </c>
      <c r="O66" s="6">
        <f t="shared" si="14"/>
        <v>-2040</v>
      </c>
      <c r="P66" s="6">
        <f t="shared" ref="P66:P97" si="15">SUM(N66+O66)</f>
        <v>0</v>
      </c>
      <c r="Q66" s="7">
        <f t="shared" si="12"/>
        <v>80802.5</v>
      </c>
      <c r="R66" s="44" t="str">
        <f>VLOOKUP(F66,'Set up'!$A$2:$E$70,5,FALSE)</f>
        <v>Chq</v>
      </c>
      <c r="S66" s="13" t="s">
        <v>247</v>
      </c>
    </row>
    <row r="67" spans="1:19" x14ac:dyDescent="0.35">
      <c r="A67" s="4">
        <v>44097</v>
      </c>
      <c r="B67" s="5">
        <f t="shared" ref="B67:B130" si="16">MONTH(A67)</f>
        <v>9</v>
      </c>
      <c r="C67" s="5">
        <f t="shared" ref="C67:C130" si="17">YEAR(A67)</f>
        <v>2020</v>
      </c>
      <c r="D67" s="5" t="s">
        <v>102</v>
      </c>
      <c r="E67" s="5" t="str">
        <f>VLOOKUP(F67,'Set up'!$A$2:$C$70,2,FALSE)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up'!$A$2:$C$70,3,FALSE)</f>
        <v>120</v>
      </c>
      <c r="J67" s="5">
        <f>VLOOKUP(F67,'Set up'!$A$2:$D$70,4,FALSE)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5"/>
        <v>0</v>
      </c>
      <c r="Q67" s="7">
        <f t="shared" ref="Q67:Q130" si="21">SUM(Q66+N67)</f>
        <v>87402.5</v>
      </c>
      <c r="R67" s="44" t="str">
        <f>VLOOKUP(F67,'Set up'!$A$2:$E$70,5,FALSE)</f>
        <v>Trsf</v>
      </c>
      <c r="S67" s="13" t="s">
        <v>248</v>
      </c>
    </row>
    <row r="68" spans="1:19" x14ac:dyDescent="0.35">
      <c r="A68" s="4">
        <v>44097</v>
      </c>
      <c r="B68" s="5">
        <f t="shared" si="16"/>
        <v>9</v>
      </c>
      <c r="C68" s="5">
        <f t="shared" si="17"/>
        <v>2020</v>
      </c>
      <c r="D68" s="5" t="s">
        <v>102</v>
      </c>
      <c r="E68" s="5" t="str">
        <f>VLOOKUP(F68,'Set up'!$A$2:$C$70,2,FALSE)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up'!$A$2:$C$70,3,FALSE)</f>
        <v>120</v>
      </c>
      <c r="J68" s="5">
        <f>VLOOKUP(F68,'Set up'!$A$2:$D$70,4,FALSE)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5"/>
        <v>0</v>
      </c>
      <c r="Q68" s="7">
        <f t="shared" si="21"/>
        <v>88290.5</v>
      </c>
      <c r="R68" s="44" t="str">
        <f>VLOOKUP(F68,'Set up'!$A$2:$E$70,5,FALSE)</f>
        <v>Trsf</v>
      </c>
      <c r="S68" s="13" t="s">
        <v>248</v>
      </c>
    </row>
    <row r="69" spans="1:19" x14ac:dyDescent="0.35">
      <c r="A69" s="4">
        <v>44097</v>
      </c>
      <c r="B69" s="5">
        <f t="shared" si="16"/>
        <v>9</v>
      </c>
      <c r="C69" s="5">
        <f t="shared" si="17"/>
        <v>2020</v>
      </c>
      <c r="D69" s="5" t="s">
        <v>102</v>
      </c>
      <c r="E69" s="5" t="str">
        <f>VLOOKUP(F69,'Set up'!$A$2:$C$70,2,FALSE)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up'!$A$2:$C$70,3,FALSE)</f>
        <v>120</v>
      </c>
      <c r="J69" s="5">
        <f>VLOOKUP(F69,'Set up'!$A$2:$D$70,4,FALSE)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5"/>
        <v>0</v>
      </c>
      <c r="Q69" s="7">
        <f t="shared" si="21"/>
        <v>88565.5</v>
      </c>
      <c r="R69" s="44" t="str">
        <f>VLOOKUP(F69,'Set up'!$A$2:$E$70,5,FALSE)</f>
        <v>Trsf</v>
      </c>
      <c r="S69" s="13" t="s">
        <v>248</v>
      </c>
    </row>
    <row r="70" spans="1:19" x14ac:dyDescent="0.35">
      <c r="A70" s="4">
        <v>44097</v>
      </c>
      <c r="B70" s="5">
        <f t="shared" si="16"/>
        <v>9</v>
      </c>
      <c r="C70" s="5">
        <f t="shared" si="17"/>
        <v>2020</v>
      </c>
      <c r="D70" s="5" t="s">
        <v>102</v>
      </c>
      <c r="E70" s="5" t="str">
        <f>VLOOKUP(F70,'Set up'!$A$2:$C$70,2,FALSE)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up'!$A$2:$C$70,3,FALSE)</f>
        <v>120</v>
      </c>
      <c r="J70" s="5">
        <f>VLOOKUP(F70,'Set up'!$A$2:$D$70,4,FALSE)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5"/>
        <v>0</v>
      </c>
      <c r="Q70" s="7">
        <f t="shared" si="21"/>
        <v>88925.5</v>
      </c>
      <c r="R70" s="44" t="str">
        <f>VLOOKUP(F70,'Set up'!$A$2:$E$70,5,FALSE)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6"/>
        <v>9</v>
      </c>
      <c r="C71" s="5">
        <f t="shared" si="17"/>
        <v>2020</v>
      </c>
      <c r="D71" s="5" t="s">
        <v>103</v>
      </c>
      <c r="E71" s="5" t="str">
        <f>VLOOKUP(F71,'Set up'!$A$2:$C$70,2,FALSE)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up'!$A$2:$C$70,3,FALSE)</f>
        <v>Cash</v>
      </c>
      <c r="J71" s="5">
        <f>VLOOKUP(F71,'Set up'!$A$2:$D$70,4,FALSE)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5"/>
        <v>0</v>
      </c>
      <c r="Q71" s="7">
        <f t="shared" si="21"/>
        <v>90317.5</v>
      </c>
      <c r="R71" s="44" t="str">
        <f>VLOOKUP(F71,'Set up'!$A$2:$E$70,5,FALSE)</f>
        <v>Trsf</v>
      </c>
      <c r="S71" s="1" t="s">
        <v>107</v>
      </c>
    </row>
    <row r="72" spans="1:19" x14ac:dyDescent="0.35">
      <c r="A72" s="4">
        <v>44100</v>
      </c>
      <c r="B72" s="5">
        <f t="shared" si="16"/>
        <v>9</v>
      </c>
      <c r="C72" s="5">
        <f t="shared" si="17"/>
        <v>2020</v>
      </c>
      <c r="D72" s="5" t="s">
        <v>105</v>
      </c>
      <c r="E72" s="5" t="str">
        <f>VLOOKUP(F72,'Set up'!$A$2:$C$70,2,FALSE)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up'!$A$2:$C$70,3,FALSE)</f>
        <v>Cash</v>
      </c>
      <c r="J72" s="5">
        <f>VLOOKUP(F72,'Set up'!$A$2:$D$70,4,FALSE)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5"/>
        <v>0</v>
      </c>
      <c r="Q72" s="7">
        <f t="shared" si="21"/>
        <v>91813.5</v>
      </c>
      <c r="R72" s="44" t="str">
        <f>VLOOKUP(F72,'Set up'!$A$2:$E$70,5,FALSE)</f>
        <v>Trsf</v>
      </c>
      <c r="S72" s="1" t="s">
        <v>107</v>
      </c>
    </row>
    <row r="73" spans="1:19" x14ac:dyDescent="0.35">
      <c r="A73" s="4">
        <v>44109</v>
      </c>
      <c r="B73" s="5">
        <f t="shared" si="16"/>
        <v>10</v>
      </c>
      <c r="C73" s="5">
        <f t="shared" si="17"/>
        <v>2020</v>
      </c>
      <c r="D73" s="5" t="s">
        <v>106</v>
      </c>
      <c r="E73" s="5" t="str">
        <f>VLOOKUP(F73,'Set up'!$A$2:$C$70,2,FALSE)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up'!$A$2:$C$70,3,FALSE)</f>
        <v>Cash</v>
      </c>
      <c r="J73" s="5">
        <f>VLOOKUP(F73,'Set up'!$A$2:$D$70,4,FALSE)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5"/>
        <v>0</v>
      </c>
      <c r="Q73" s="7">
        <f t="shared" si="21"/>
        <v>93309.5</v>
      </c>
      <c r="R73" s="44" t="str">
        <f>VLOOKUP(F73,'Set up'!$A$2:$E$70,5,FALSE)</f>
        <v>Chq</v>
      </c>
      <c r="S73" s="1" t="s">
        <v>128</v>
      </c>
    </row>
    <row r="74" spans="1:19" x14ac:dyDescent="0.35">
      <c r="A74" s="4">
        <v>44109</v>
      </c>
      <c r="B74" s="5">
        <f t="shared" si="16"/>
        <v>10</v>
      </c>
      <c r="C74" s="5">
        <f t="shared" si="17"/>
        <v>2020</v>
      </c>
      <c r="D74" s="5" t="s">
        <v>109</v>
      </c>
      <c r="E74" s="5" t="str">
        <f>VLOOKUP(F74,'Set up'!$A$2:$C$70,2,FALSE)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up'!$A$2:$C$70,3,FALSE)</f>
        <v>45</v>
      </c>
      <c r="J74" s="5">
        <f>VLOOKUP(F74,'Set up'!$A$2:$D$70,4,FALSE)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5"/>
        <v>0</v>
      </c>
      <c r="Q74" s="7">
        <f t="shared" si="21"/>
        <v>97863.5</v>
      </c>
      <c r="R74" s="44" t="str">
        <f>VLOOKUP(F74,'Set up'!$A$2:$E$70,5,FALSE)</f>
        <v>PD Chq</v>
      </c>
      <c r="S74" s="13" t="s">
        <v>113</v>
      </c>
    </row>
    <row r="75" spans="1:19" x14ac:dyDescent="0.35">
      <c r="A75" s="4">
        <v>44109</v>
      </c>
      <c r="B75" s="5">
        <f t="shared" si="16"/>
        <v>10</v>
      </c>
      <c r="C75" s="5">
        <f t="shared" si="17"/>
        <v>2020</v>
      </c>
      <c r="D75" s="5" t="s">
        <v>109</v>
      </c>
      <c r="E75" s="5" t="str">
        <f>VLOOKUP(F75,'Set up'!$A$2:$C$70,2,FALSE)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up'!$A$2:$C$70,3,FALSE)</f>
        <v>45</v>
      </c>
      <c r="J75" s="5">
        <f>VLOOKUP(F75,'Set up'!$A$2:$D$70,4,FALSE)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5"/>
        <v>0</v>
      </c>
      <c r="Q75" s="7">
        <f t="shared" si="21"/>
        <v>98263.5</v>
      </c>
      <c r="R75" s="44" t="str">
        <f>VLOOKUP(F75,'Set up'!$A$2:$E$70,5,FALSE)</f>
        <v>PD Chq</v>
      </c>
      <c r="S75" s="13" t="s">
        <v>114</v>
      </c>
    </row>
    <row r="76" spans="1:19" x14ac:dyDescent="0.35">
      <c r="A76" s="4">
        <v>44109</v>
      </c>
      <c r="B76" s="5">
        <f t="shared" si="16"/>
        <v>10</v>
      </c>
      <c r="C76" s="5">
        <f t="shared" si="17"/>
        <v>2020</v>
      </c>
      <c r="D76" s="5" t="s">
        <v>109</v>
      </c>
      <c r="E76" s="5" t="str">
        <f>VLOOKUP(F76,'Set up'!$A$2:$C$70,2,FALSE)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up'!$A$2:$C$70,3,FALSE)</f>
        <v>45</v>
      </c>
      <c r="J76" s="5">
        <f>VLOOKUP(F76,'Set up'!$A$2:$D$70,4,FALSE)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5"/>
        <v>0</v>
      </c>
      <c r="Q76" s="7">
        <f t="shared" si="21"/>
        <v>98818.5</v>
      </c>
      <c r="R76" s="44" t="str">
        <f>VLOOKUP(F76,'Set up'!$A$2:$E$70,5,FALSE)</f>
        <v>PD Chq</v>
      </c>
      <c r="S76" s="13" t="s">
        <v>115</v>
      </c>
    </row>
    <row r="77" spans="1:19" x14ac:dyDescent="0.35">
      <c r="A77" s="4">
        <v>44109</v>
      </c>
      <c r="B77" s="5">
        <f t="shared" si="16"/>
        <v>10</v>
      </c>
      <c r="C77" s="5">
        <f t="shared" si="17"/>
        <v>2020</v>
      </c>
      <c r="D77" s="5" t="s">
        <v>109</v>
      </c>
      <c r="E77" s="5" t="str">
        <f>VLOOKUP(F77,'Set up'!$A$2:$C$70,2,FALSE)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up'!$A$2:$C$70,3,FALSE)</f>
        <v>45</v>
      </c>
      <c r="J77" s="5">
        <f>VLOOKUP(F77,'Set up'!$A$2:$D$70,4,FALSE)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5"/>
        <v>0</v>
      </c>
      <c r="Q77" s="7">
        <f t="shared" si="21"/>
        <v>99022.5</v>
      </c>
      <c r="R77" s="44" t="str">
        <f>VLOOKUP(F77,'Set up'!$A$2:$E$70,5,FALSE)</f>
        <v>PD Chq</v>
      </c>
      <c r="S77" s="13" t="s">
        <v>115</v>
      </c>
    </row>
    <row r="78" spans="1:19" x14ac:dyDescent="0.35">
      <c r="A78" s="4">
        <v>44112</v>
      </c>
      <c r="B78" s="5">
        <f t="shared" si="16"/>
        <v>10</v>
      </c>
      <c r="C78" s="5">
        <f t="shared" si="17"/>
        <v>2020</v>
      </c>
      <c r="D78" s="5" t="s">
        <v>110</v>
      </c>
      <c r="E78" s="5" t="str">
        <f>VLOOKUP(F78,'Set up'!$A$2:$C$70,2,FALSE)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up'!$A$2:$C$70,3,FALSE)</f>
        <v>120</v>
      </c>
      <c r="J78" s="5">
        <f>VLOOKUP(F78,'Set up'!$A$2:$D$70,4,FALSE)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5"/>
        <v>0</v>
      </c>
      <c r="Q78" s="7">
        <f t="shared" si="21"/>
        <v>105292.5</v>
      </c>
      <c r="R78" s="44" t="str">
        <f>VLOOKUP(F78,'Set up'!$A$2:$E$70,5,FALSE)</f>
        <v>Chq</v>
      </c>
      <c r="S78" s="13" t="s">
        <v>276</v>
      </c>
    </row>
    <row r="79" spans="1:19" x14ac:dyDescent="0.35">
      <c r="A79" s="4">
        <v>44112</v>
      </c>
      <c r="B79" s="5">
        <f t="shared" si="16"/>
        <v>10</v>
      </c>
      <c r="C79" s="5">
        <f t="shared" si="17"/>
        <v>2020</v>
      </c>
      <c r="D79" s="5" t="s">
        <v>110</v>
      </c>
      <c r="E79" s="5" t="str">
        <f>VLOOKUP(F79,'Set up'!$A$2:$C$70,2,FALSE)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up'!$A$2:$C$70,3,FALSE)</f>
        <v>120</v>
      </c>
      <c r="J79" s="5">
        <f>VLOOKUP(F79,'Set up'!$A$2:$D$70,4,FALSE)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5"/>
        <v>0</v>
      </c>
      <c r="Q79" s="7">
        <f t="shared" si="21"/>
        <v>106546.5</v>
      </c>
      <c r="R79" s="44" t="str">
        <f>VLOOKUP(F79,'Set up'!$A$2:$E$70,5,FALSE)</f>
        <v>Chq</v>
      </c>
      <c r="S79" s="13" t="s">
        <v>276</v>
      </c>
    </row>
    <row r="80" spans="1:19" x14ac:dyDescent="0.35">
      <c r="A80" s="4">
        <v>44112</v>
      </c>
      <c r="B80" s="5">
        <f t="shared" si="16"/>
        <v>10</v>
      </c>
      <c r="C80" s="5">
        <f t="shared" si="17"/>
        <v>2020</v>
      </c>
      <c r="D80" s="5" t="s">
        <v>110</v>
      </c>
      <c r="E80" s="5" t="str">
        <f>VLOOKUP(F80,'Set up'!$A$2:$C$70,2,FALSE)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up'!$A$2:$C$70,3,FALSE)</f>
        <v>120</v>
      </c>
      <c r="J80" s="5">
        <f>VLOOKUP(F80,'Set up'!$A$2:$D$70,4,FALSE)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5"/>
        <v>0</v>
      </c>
      <c r="Q80" s="7">
        <f t="shared" si="21"/>
        <v>107421.3</v>
      </c>
      <c r="R80" s="44" t="str">
        <f>VLOOKUP(F80,'Set up'!$A$2:$E$70,5,FALSE)</f>
        <v>Chq</v>
      </c>
      <c r="S80" s="13" t="s">
        <v>276</v>
      </c>
    </row>
    <row r="81" spans="1:19" x14ac:dyDescent="0.35">
      <c r="A81" s="4">
        <v>44112</v>
      </c>
      <c r="B81" s="5">
        <f t="shared" si="16"/>
        <v>10</v>
      </c>
      <c r="C81" s="5">
        <f t="shared" si="17"/>
        <v>2020</v>
      </c>
      <c r="D81" s="5" t="s">
        <v>110</v>
      </c>
      <c r="E81" s="5" t="str">
        <f>VLOOKUP(F81,'Set up'!$A$2:$C$70,2,FALSE)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up'!$A$2:$C$70,3,FALSE)</f>
        <v>120</v>
      </c>
      <c r="J81" s="5">
        <f>VLOOKUP(F81,'Set up'!$A$2:$D$70,4,FALSE)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5"/>
        <v>0</v>
      </c>
      <c r="Q81" s="7">
        <f t="shared" si="21"/>
        <v>109461.3</v>
      </c>
      <c r="R81" s="44" t="str">
        <f>VLOOKUP(F81,'Set up'!$A$2:$E$70,5,FALSE)</f>
        <v>Chq</v>
      </c>
      <c r="S81" s="13" t="s">
        <v>276</v>
      </c>
    </row>
    <row r="82" spans="1:19" x14ac:dyDescent="0.35">
      <c r="A82" s="4">
        <v>44112</v>
      </c>
      <c r="B82" s="5">
        <f t="shared" si="16"/>
        <v>10</v>
      </c>
      <c r="C82" s="5">
        <f t="shared" si="17"/>
        <v>2020</v>
      </c>
      <c r="D82" s="5" t="s">
        <v>110</v>
      </c>
      <c r="E82" s="5" t="str">
        <f>VLOOKUP(F82,'Set up'!$A$2:$C$70,2,FALSE)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up'!$A$2:$C$70,3,FALSE)</f>
        <v>120</v>
      </c>
      <c r="J82" s="5">
        <f>VLOOKUP(F82,'Set up'!$A$2:$D$70,4,FALSE)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5"/>
        <v>0</v>
      </c>
      <c r="Q82" s="7">
        <f t="shared" si="21"/>
        <v>109641.3</v>
      </c>
      <c r="R82" s="44" t="str">
        <f>VLOOKUP(F82,'Set up'!$A$2:$E$70,5,FALSE)</f>
        <v>Chq</v>
      </c>
      <c r="S82" s="13" t="s">
        <v>276</v>
      </c>
    </row>
    <row r="83" spans="1:19" x14ac:dyDescent="0.35">
      <c r="A83" s="4">
        <v>44116</v>
      </c>
      <c r="B83" s="5">
        <f t="shared" si="16"/>
        <v>10</v>
      </c>
      <c r="C83" s="5">
        <f t="shared" si="17"/>
        <v>2020</v>
      </c>
      <c r="D83" s="5" t="s">
        <v>112</v>
      </c>
      <c r="E83" s="5" t="str">
        <f>VLOOKUP(F83,'Set up'!$A$2:$C$70,2,FALSE)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up'!$A$2:$C$70,3,FALSE)</f>
        <v>120</v>
      </c>
      <c r="J83" s="5">
        <f>VLOOKUP(F83,'Set up'!$A$2:$D$70,4,FALSE)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5"/>
        <v>0</v>
      </c>
      <c r="Q83" s="7">
        <f t="shared" si="21"/>
        <v>117165.3</v>
      </c>
      <c r="R83" s="44" t="str">
        <f>VLOOKUP(F83,'Set up'!$A$2:$E$70,5,FALSE)</f>
        <v>Chq</v>
      </c>
      <c r="S83" s="13" t="s">
        <v>276</v>
      </c>
    </row>
    <row r="84" spans="1:19" x14ac:dyDescent="0.35">
      <c r="A84" s="4">
        <v>44116</v>
      </c>
      <c r="B84" s="5">
        <f t="shared" si="16"/>
        <v>10</v>
      </c>
      <c r="C84" s="5">
        <f t="shared" si="17"/>
        <v>2020</v>
      </c>
      <c r="D84" s="5" t="s">
        <v>112</v>
      </c>
      <c r="E84" s="5" t="str">
        <f>VLOOKUP(F84,'Set up'!$A$2:$C$70,2,FALSE)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up'!$A$2:$C$70,3,FALSE)</f>
        <v>120</v>
      </c>
      <c r="J84" s="5">
        <f>VLOOKUP(F84,'Set up'!$A$2:$D$70,4,FALSE)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5"/>
        <v>0</v>
      </c>
      <c r="Q84" s="7">
        <f t="shared" si="21"/>
        <v>118419.3</v>
      </c>
      <c r="R84" s="44" t="str">
        <f>VLOOKUP(F84,'Set up'!$A$2:$E$70,5,FALSE)</f>
        <v>Chq</v>
      </c>
      <c r="S84" s="13" t="s">
        <v>276</v>
      </c>
    </row>
    <row r="85" spans="1:19" x14ac:dyDescent="0.35">
      <c r="A85" s="4">
        <v>44116</v>
      </c>
      <c r="B85" s="5">
        <f t="shared" si="16"/>
        <v>10</v>
      </c>
      <c r="C85" s="5">
        <f t="shared" si="17"/>
        <v>2020</v>
      </c>
      <c r="D85" s="5" t="s">
        <v>116</v>
      </c>
      <c r="E85" s="5" t="str">
        <f>VLOOKUP(F85,'Set up'!$A$2:$C$70,2,FALSE)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up'!$A$2:$C$70,3,FALSE)</f>
        <v>Cash</v>
      </c>
      <c r="J85" s="5">
        <f>VLOOKUP(F85,'Set up'!$A$2:$D$70,4,FALSE)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5"/>
        <v>0</v>
      </c>
      <c r="Q85" s="7">
        <f t="shared" si="21"/>
        <v>119915.3</v>
      </c>
      <c r="R85" s="44" t="str">
        <f>VLOOKUP(F85,'Set up'!$A$2:$E$70,5,FALSE)</f>
        <v>Trsf</v>
      </c>
      <c r="S85" s="1" t="s">
        <v>129</v>
      </c>
    </row>
    <row r="86" spans="1:19" x14ac:dyDescent="0.35">
      <c r="A86" s="4">
        <v>44116</v>
      </c>
      <c r="B86" s="5">
        <f t="shared" si="16"/>
        <v>10</v>
      </c>
      <c r="C86" s="5">
        <f t="shared" si="17"/>
        <v>2020</v>
      </c>
      <c r="D86" s="5" t="s">
        <v>116</v>
      </c>
      <c r="E86" s="5" t="str">
        <f>VLOOKUP(F86,'Set up'!$A$2:$C$70,2,FALSE)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up'!$A$2:$C$70,3,FALSE)</f>
        <v>Cash</v>
      </c>
      <c r="J86" s="5">
        <f>VLOOKUP(F86,'Set up'!$A$2:$D$70,4,FALSE)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5"/>
        <v>0</v>
      </c>
      <c r="Q86" s="7">
        <f t="shared" si="21"/>
        <v>120877.3</v>
      </c>
      <c r="R86" s="44" t="str">
        <f>VLOOKUP(F86,'Set up'!$A$2:$E$70,5,FALSE)</f>
        <v>Trsf</v>
      </c>
      <c r="S86" s="1" t="s">
        <v>129</v>
      </c>
    </row>
    <row r="87" spans="1:19" x14ac:dyDescent="0.35">
      <c r="A87" s="4">
        <v>44118</v>
      </c>
      <c r="B87" s="5">
        <f t="shared" si="16"/>
        <v>10</v>
      </c>
      <c r="C87" s="5">
        <f t="shared" si="17"/>
        <v>2020</v>
      </c>
      <c r="D87" s="5" t="s">
        <v>117</v>
      </c>
      <c r="E87" s="5" t="str">
        <f>VLOOKUP(F87,'Set up'!$A$2:$C$70,2,FALSE)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up'!$A$2:$C$70,3,FALSE)</f>
        <v>Cash</v>
      </c>
      <c r="J87" s="5">
        <f>VLOOKUP(F87,'Set up'!$A$2:$D$70,4,FALSE)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5"/>
        <v>0</v>
      </c>
      <c r="Q87" s="7">
        <f t="shared" si="21"/>
        <v>122347.3</v>
      </c>
      <c r="R87" s="44" t="str">
        <f>VLOOKUP(F87,'Set up'!$A$2:$E$70,5,FALSE)</f>
        <v>Trsf</v>
      </c>
      <c r="S87" s="10" t="s">
        <v>70</v>
      </c>
    </row>
    <row r="88" spans="1:19" x14ac:dyDescent="0.35">
      <c r="A88" s="4">
        <v>44118</v>
      </c>
      <c r="B88" s="5">
        <f t="shared" si="16"/>
        <v>10</v>
      </c>
      <c r="C88" s="5">
        <f t="shared" si="17"/>
        <v>2020</v>
      </c>
      <c r="D88" s="5" t="s">
        <v>117</v>
      </c>
      <c r="E88" s="5" t="str">
        <f>VLOOKUP(F88,'Set up'!$A$2:$C$70,2,FALSE)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up'!$A$2:$C$70,3,FALSE)</f>
        <v>Cash</v>
      </c>
      <c r="J88" s="5">
        <f>VLOOKUP(F88,'Set up'!$A$2:$D$70,4,FALSE)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5"/>
        <v>0</v>
      </c>
      <c r="Q88" s="7">
        <f t="shared" si="21"/>
        <v>123067.3</v>
      </c>
      <c r="R88" s="44" t="str">
        <f>VLOOKUP(F88,'Set up'!$A$2:$E$70,5,FALSE)</f>
        <v>Trsf</v>
      </c>
      <c r="S88" s="10" t="s">
        <v>70</v>
      </c>
    </row>
    <row r="89" spans="1:19" x14ac:dyDescent="0.35">
      <c r="A89" s="4">
        <v>44123</v>
      </c>
      <c r="B89" s="5">
        <f t="shared" si="16"/>
        <v>10</v>
      </c>
      <c r="C89" s="5">
        <f t="shared" si="17"/>
        <v>2020</v>
      </c>
      <c r="D89" s="5" t="s">
        <v>117</v>
      </c>
      <c r="E89" s="5" t="str">
        <f>VLOOKUP(F89,'Set up'!$A$2:$C$70,2,FALSE)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up'!$A$2:$C$70,3,FALSE)</f>
        <v>Cash</v>
      </c>
      <c r="J89" s="5">
        <f>VLOOKUP(F89,'Set up'!$A$2:$D$70,4,FALSE)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5"/>
        <v>0</v>
      </c>
      <c r="Q89" s="7">
        <f t="shared" si="21"/>
        <v>123527.3</v>
      </c>
      <c r="R89" s="44" t="str">
        <f>VLOOKUP(F89,'Set up'!$A$2:$E$70,5,FALSE)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6"/>
        <v>10</v>
      </c>
      <c r="C90" s="5">
        <f t="shared" si="17"/>
        <v>2020</v>
      </c>
      <c r="D90" s="5" t="s">
        <v>118</v>
      </c>
      <c r="E90" s="5" t="str">
        <f>VLOOKUP(F90,'Set up'!$A$2:$C$70,2,FALSE)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up'!$A$2:$C$70,3,FALSE)</f>
        <v>45</v>
      </c>
      <c r="J90" s="5">
        <f>VLOOKUP(F90,'Set up'!$A$2:$D$70,4,FALSE)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5"/>
        <v>0</v>
      </c>
      <c r="Q90" s="7">
        <f t="shared" si="21"/>
        <v>123707.3</v>
      </c>
      <c r="R90" s="44" t="str">
        <f>VLOOKUP(F90,'Set up'!$A$2:$E$70,5,FALSE)</f>
        <v>PD Chq</v>
      </c>
      <c r="S90" s="13" t="s">
        <v>121</v>
      </c>
    </row>
    <row r="91" spans="1:19" x14ac:dyDescent="0.35">
      <c r="A91" s="4">
        <v>44121</v>
      </c>
      <c r="B91" s="5">
        <f t="shared" si="16"/>
        <v>10</v>
      </c>
      <c r="C91" s="5">
        <f t="shared" si="17"/>
        <v>2020</v>
      </c>
      <c r="D91" s="5" t="s">
        <v>120</v>
      </c>
      <c r="E91" s="5" t="str">
        <f>VLOOKUP(F91,'Set up'!$A$2:$C$70,2,FALSE)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up'!$A$2:$C$70,3,FALSE)</f>
        <v>45</v>
      </c>
      <c r="J91" s="5">
        <f>VLOOKUP(F91,'Set up'!$A$2:$D$70,4,FALSE)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5"/>
        <v>0</v>
      </c>
      <c r="Q91" s="7">
        <f t="shared" si="21"/>
        <v>123911.3</v>
      </c>
      <c r="R91" s="44" t="str">
        <f>VLOOKUP(F91,'Set up'!$A$2:$E$70,5,FALSE)</f>
        <v>PD Chq</v>
      </c>
      <c r="S91" s="13" t="s">
        <v>121</v>
      </c>
    </row>
    <row r="92" spans="1:19" x14ac:dyDescent="0.35">
      <c r="A92" s="4">
        <v>44123</v>
      </c>
      <c r="B92" s="5">
        <f t="shared" si="16"/>
        <v>10</v>
      </c>
      <c r="C92" s="5">
        <f t="shared" si="17"/>
        <v>2020</v>
      </c>
      <c r="D92" s="5" t="s">
        <v>122</v>
      </c>
      <c r="E92" s="5" t="str">
        <f>VLOOKUP(F92,'Set up'!$A$2:$C$70,2,FALSE)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up'!$A$2:$C$70,3,FALSE)</f>
        <v>Cash</v>
      </c>
      <c r="J92" s="5">
        <f>VLOOKUP(F92,'Set up'!$A$2:$D$70,4,FALSE)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5"/>
        <v>0</v>
      </c>
      <c r="Q92" s="7">
        <f t="shared" si="21"/>
        <v>124871.3</v>
      </c>
      <c r="R92" s="44" t="str">
        <f>VLOOKUP(F92,'Set up'!$A$2:$E$70,5,FALSE)</f>
        <v>Trsf</v>
      </c>
      <c r="S92" s="1" t="s">
        <v>159</v>
      </c>
    </row>
    <row r="93" spans="1:19" x14ac:dyDescent="0.35">
      <c r="A93" s="4">
        <v>44123</v>
      </c>
      <c r="B93" s="5">
        <f t="shared" si="16"/>
        <v>10</v>
      </c>
      <c r="C93" s="5">
        <f t="shared" si="17"/>
        <v>2020</v>
      </c>
      <c r="D93" s="5" t="s">
        <v>122</v>
      </c>
      <c r="E93" s="5" t="str">
        <f>VLOOKUP(F93,'Set up'!$A$2:$C$70,2,FALSE)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up'!$A$2:$C$70,3,FALSE)</f>
        <v>Cash</v>
      </c>
      <c r="J93" s="5">
        <f>VLOOKUP(F93,'Set up'!$A$2:$D$70,4,FALSE)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5"/>
        <v>0</v>
      </c>
      <c r="Q93" s="7">
        <f t="shared" si="21"/>
        <v>125496.3</v>
      </c>
      <c r="R93" s="44" t="str">
        <f>VLOOKUP(F93,'Set up'!$A$2:$E$70,5,FALSE)</f>
        <v>Trsf</v>
      </c>
      <c r="S93" s="1" t="s">
        <v>159</v>
      </c>
    </row>
    <row r="94" spans="1:19" x14ac:dyDescent="0.35">
      <c r="A94" s="4">
        <v>44123</v>
      </c>
      <c r="B94" s="5">
        <f t="shared" si="16"/>
        <v>10</v>
      </c>
      <c r="C94" s="5">
        <f t="shared" si="17"/>
        <v>2020</v>
      </c>
      <c r="D94" s="5" t="s">
        <v>122</v>
      </c>
      <c r="E94" s="5" t="str">
        <f>VLOOKUP(F94,'Set up'!$A$2:$C$70,2,FALSE)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up'!$A$2:$C$70,3,FALSE)</f>
        <v>Cash</v>
      </c>
      <c r="J94" s="5">
        <f>VLOOKUP(F94,'Set up'!$A$2:$D$70,4,FALSE)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5"/>
        <v>0</v>
      </c>
      <c r="Q94" s="7">
        <f t="shared" si="21"/>
        <v>125556.3</v>
      </c>
      <c r="R94" s="44" t="str">
        <f>VLOOKUP(F94,'Set up'!$A$2:$E$70,5,FALSE)</f>
        <v>Trsf</v>
      </c>
      <c r="S94" s="1" t="s">
        <v>159</v>
      </c>
    </row>
    <row r="95" spans="1:19" x14ac:dyDescent="0.35">
      <c r="A95" s="4">
        <v>44123</v>
      </c>
      <c r="B95" s="5">
        <f t="shared" si="16"/>
        <v>10</v>
      </c>
      <c r="C95" s="5">
        <f t="shared" si="17"/>
        <v>2020</v>
      </c>
      <c r="D95" s="5" t="s">
        <v>123</v>
      </c>
      <c r="E95" s="5" t="str">
        <f>VLOOKUP(F95,'Set up'!$A$2:$C$70,2,FALSE)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up'!$A$2:$C$70,3,FALSE)</f>
        <v>Cash</v>
      </c>
      <c r="J95" s="5">
        <f>VLOOKUP(F95,'Set up'!$A$2:$D$70,4,FALSE)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5"/>
        <v>0</v>
      </c>
      <c r="Q95" s="7">
        <f t="shared" si="21"/>
        <v>125646.3</v>
      </c>
      <c r="R95" s="44" t="str">
        <f>VLOOKUP(F95,'Set up'!$A$2:$E$70,5,FALSE)</f>
        <v>Chq</v>
      </c>
      <c r="S95" s="1" t="s">
        <v>157</v>
      </c>
    </row>
    <row r="96" spans="1:19" x14ac:dyDescent="0.35">
      <c r="A96" s="4">
        <v>44125</v>
      </c>
      <c r="B96" s="5">
        <f t="shared" si="16"/>
        <v>10</v>
      </c>
      <c r="C96" s="5">
        <f t="shared" si="17"/>
        <v>2020</v>
      </c>
      <c r="D96" s="5" t="s">
        <v>126</v>
      </c>
      <c r="E96" s="5" t="str">
        <f>VLOOKUP(F96,'Set up'!$A$2:$C$70,2,FALSE)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up'!$A$2:$C$70,3,FALSE)</f>
        <v>Cash</v>
      </c>
      <c r="J96" s="5">
        <f>VLOOKUP(F96,'Set up'!$A$2:$D$70,4,FALSE)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5"/>
        <v>0</v>
      </c>
      <c r="Q96" s="7">
        <f t="shared" si="21"/>
        <v>127142.3</v>
      </c>
      <c r="R96" s="44" t="str">
        <f>VLOOKUP(F96,'Set up'!$A$2:$E$70,5,FALSE)</f>
        <v>Chq</v>
      </c>
      <c r="S96" s="1" t="s">
        <v>156</v>
      </c>
    </row>
    <row r="97" spans="1:19" x14ac:dyDescent="0.35">
      <c r="A97" s="4">
        <v>44125</v>
      </c>
      <c r="B97" s="5">
        <f t="shared" si="16"/>
        <v>10</v>
      </c>
      <c r="C97" s="5">
        <f t="shared" si="17"/>
        <v>2020</v>
      </c>
      <c r="D97" s="5" t="s">
        <v>127</v>
      </c>
      <c r="E97" s="5" t="str">
        <f>VLOOKUP(F97,'Set up'!$A$2:$C$70,2,FALSE)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up'!$A$2:$C$70,3,FALSE)</f>
        <v>120</v>
      </c>
      <c r="J97" s="5">
        <f>VLOOKUP(F97,'Set up'!$A$2:$D$70,4,FALSE)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5"/>
        <v>0</v>
      </c>
      <c r="Q97" s="7">
        <f t="shared" si="21"/>
        <v>133742.29999999999</v>
      </c>
      <c r="R97" s="44" t="str">
        <f>VLOOKUP(F97,'Set up'!$A$2:$E$70,5,FALSE)</f>
        <v>Trsf</v>
      </c>
      <c r="S97" s="13" t="s">
        <v>299</v>
      </c>
    </row>
    <row r="98" spans="1:19" x14ac:dyDescent="0.35">
      <c r="A98" s="4">
        <v>44125</v>
      </c>
      <c r="B98" s="5">
        <f t="shared" si="16"/>
        <v>10</v>
      </c>
      <c r="C98" s="5">
        <f t="shared" si="17"/>
        <v>2020</v>
      </c>
      <c r="D98" s="5" t="s">
        <v>127</v>
      </c>
      <c r="E98" s="5" t="str">
        <f>VLOOKUP(F98,'Set up'!$A$2:$C$70,2,FALSE)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up'!$A$2:$C$70,3,FALSE)</f>
        <v>120</v>
      </c>
      <c r="J98" s="5">
        <f>VLOOKUP(F98,'Set up'!$A$2:$D$70,4,FALSE)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3">SUM(N98+O98)</f>
        <v>0</v>
      </c>
      <c r="Q98" s="7">
        <f t="shared" si="21"/>
        <v>134630.29999999999</v>
      </c>
      <c r="R98" s="44" t="str">
        <f>VLOOKUP(F98,'Set up'!$A$2:$E$70,5,FALSE)</f>
        <v>Trsf</v>
      </c>
      <c r="S98" s="13" t="s">
        <v>299</v>
      </c>
    </row>
    <row r="99" spans="1:19" x14ac:dyDescent="0.35">
      <c r="A99" s="4">
        <v>44125</v>
      </c>
      <c r="B99" s="5">
        <f t="shared" si="16"/>
        <v>10</v>
      </c>
      <c r="C99" s="5">
        <f t="shared" si="17"/>
        <v>2020</v>
      </c>
      <c r="D99" s="5" t="s">
        <v>127</v>
      </c>
      <c r="E99" s="5" t="str">
        <f>VLOOKUP(F99,'Set up'!$A$2:$C$70,2,FALSE)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up'!$A$2:$C$70,3,FALSE)</f>
        <v>120</v>
      </c>
      <c r="J99" s="5">
        <f>VLOOKUP(F99,'Set up'!$A$2:$D$70,4,FALSE)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3"/>
        <v>0</v>
      </c>
      <c r="Q99" s="7">
        <f t="shared" si="21"/>
        <v>134905.29999999999</v>
      </c>
      <c r="R99" s="44" t="str">
        <f>VLOOKUP(F99,'Set up'!$A$2:$E$70,5,FALSE)</f>
        <v>Trsf</v>
      </c>
      <c r="S99" s="13" t="s">
        <v>299</v>
      </c>
    </row>
    <row r="100" spans="1:19" x14ac:dyDescent="0.35">
      <c r="A100" s="4">
        <v>44125</v>
      </c>
      <c r="B100" s="5">
        <f t="shared" si="16"/>
        <v>10</v>
      </c>
      <c r="C100" s="5">
        <f t="shared" si="17"/>
        <v>2020</v>
      </c>
      <c r="D100" s="5" t="s">
        <v>127</v>
      </c>
      <c r="E100" s="5" t="str">
        <f>VLOOKUP(F100,'Set up'!$A$2:$C$70,2,FALSE)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up'!$A$2:$C$70,3,FALSE)</f>
        <v>120</v>
      </c>
      <c r="J100" s="5">
        <f>VLOOKUP(F100,'Set up'!$A$2:$D$70,4,FALSE)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3"/>
        <v>0</v>
      </c>
      <c r="Q100" s="7">
        <f t="shared" si="21"/>
        <v>135265.29999999999</v>
      </c>
      <c r="R100" s="44" t="str">
        <f>VLOOKUP(F100,'Set up'!$A$2:$E$70,5,FALSE)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16"/>
        <v>10</v>
      </c>
      <c r="C101" s="5">
        <f t="shared" si="17"/>
        <v>2020</v>
      </c>
      <c r="D101" s="5" t="s">
        <v>130</v>
      </c>
      <c r="E101" s="5" t="str">
        <f>VLOOKUP(F101,'Set up'!$A$2:$C$70,2,FALSE)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up'!$A$2:$C$70,3,FALSE)</f>
        <v>45</v>
      </c>
      <c r="J101" s="5">
        <f>VLOOKUP(F101,'Set up'!$A$2:$D$70,4,FALSE)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3"/>
        <v>0</v>
      </c>
      <c r="Q101" s="7">
        <f t="shared" si="21"/>
        <v>139819.29999999999</v>
      </c>
      <c r="R101" s="44" t="str">
        <f>VLOOKUP(F101,'Set up'!$A$2:$E$70,5,FALSE)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16"/>
        <v>10</v>
      </c>
      <c r="C102" s="5">
        <f t="shared" si="17"/>
        <v>2020</v>
      </c>
      <c r="D102" s="5" t="s">
        <v>130</v>
      </c>
      <c r="E102" s="5" t="str">
        <f>VLOOKUP(F102,'Set up'!$A$2:$C$70,2,FALSE)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up'!$A$2:$C$70,3,FALSE)</f>
        <v>45</v>
      </c>
      <c r="J102" s="5">
        <f>VLOOKUP(F102,'Set up'!$A$2:$D$70,4,FALSE)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3"/>
        <v>0</v>
      </c>
      <c r="Q102" s="7">
        <f t="shared" si="21"/>
        <v>140374.29999999999</v>
      </c>
      <c r="R102" s="44" t="str">
        <f>VLOOKUP(F102,'Set up'!$A$2:$E$70,5,FALSE)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16"/>
        <v>10</v>
      </c>
      <c r="C103" s="5">
        <f t="shared" si="17"/>
        <v>2020</v>
      </c>
      <c r="D103" s="5" t="s">
        <v>148</v>
      </c>
      <c r="E103" s="5" t="str">
        <f>VLOOKUP(F103,'Set up'!$A$2:$C$70,2,FALSE)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up'!$A$2:$C$70,3,FALSE)</f>
        <v>Cash</v>
      </c>
      <c r="J103" s="5">
        <f>VLOOKUP(F103,'Set up'!$A$2:$D$70,4,FALSE)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3"/>
        <v>0</v>
      </c>
      <c r="Q103" s="7">
        <f t="shared" si="21"/>
        <v>141870.29999999999</v>
      </c>
      <c r="R103" s="44" t="str">
        <f>VLOOKUP(F103,'Set up'!$A$2:$E$70,5,FALSE)</f>
        <v>Trsf</v>
      </c>
      <c r="S103" s="1" t="s">
        <v>159</v>
      </c>
    </row>
    <row r="104" spans="1:19" x14ac:dyDescent="0.35">
      <c r="A104" s="4">
        <v>44135</v>
      </c>
      <c r="B104" s="5">
        <f t="shared" si="16"/>
        <v>10</v>
      </c>
      <c r="C104" s="5">
        <f t="shared" si="17"/>
        <v>2020</v>
      </c>
      <c r="D104" s="5" t="s">
        <v>148</v>
      </c>
      <c r="E104" s="5" t="str">
        <f>VLOOKUP(F104,'Set up'!$A$2:$C$70,2,FALSE)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up'!$A$2:$C$70,3,FALSE)</f>
        <v>Cash</v>
      </c>
      <c r="J104" s="5">
        <f>VLOOKUP(F104,'Set up'!$A$2:$D$70,4,FALSE)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3"/>
        <v>0</v>
      </c>
      <c r="Q104" s="7">
        <f t="shared" si="21"/>
        <v>142832.29999999999</v>
      </c>
      <c r="R104" s="44" t="str">
        <f>VLOOKUP(F104,'Set up'!$A$2:$E$70,5,FALSE)</f>
        <v>Trsf</v>
      </c>
      <c r="S104" s="1" t="s">
        <v>159</v>
      </c>
    </row>
    <row r="105" spans="1:19" x14ac:dyDescent="0.35">
      <c r="A105" s="4">
        <v>44135</v>
      </c>
      <c r="B105" s="5">
        <f t="shared" si="16"/>
        <v>10</v>
      </c>
      <c r="C105" s="5">
        <f t="shared" si="17"/>
        <v>2020</v>
      </c>
      <c r="D105" s="5" t="s">
        <v>149</v>
      </c>
      <c r="E105" s="5" t="str">
        <f>VLOOKUP(F105,'Set up'!$A$2:$C$70,2,FALSE)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up'!$A$2:$C$70,3,FALSE)</f>
        <v>Cash</v>
      </c>
      <c r="J105" s="5">
        <f>VLOOKUP(F105,'Set up'!$A$2:$D$70,4,FALSE)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3"/>
        <v>0</v>
      </c>
      <c r="Q105" s="7">
        <f t="shared" si="21"/>
        <v>144328.29999999999</v>
      </c>
      <c r="R105" s="44" t="str">
        <f>VLOOKUP(F105,'Set up'!$A$2:$E$70,5,FALSE)</f>
        <v>Chq</v>
      </c>
      <c r="S105" s="1" t="s">
        <v>158</v>
      </c>
    </row>
    <row r="106" spans="1:19" x14ac:dyDescent="0.35">
      <c r="A106" s="4">
        <v>44144</v>
      </c>
      <c r="B106" s="5">
        <f t="shared" si="16"/>
        <v>11</v>
      </c>
      <c r="C106" s="5">
        <f t="shared" si="17"/>
        <v>2020</v>
      </c>
      <c r="D106" s="5" t="s">
        <v>151</v>
      </c>
      <c r="E106" s="5" t="str">
        <f>VLOOKUP(F106,'Set up'!$A$2:$C$70,2,FALSE)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up'!$A$2:$C$70,3,FALSE)</f>
        <v>Cash</v>
      </c>
      <c r="J106" s="5">
        <f>VLOOKUP(F106,'Set up'!$A$2:$D$70,4,FALSE)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3"/>
        <v>0</v>
      </c>
      <c r="Q106" s="7">
        <f t="shared" si="21"/>
        <v>145912.29999999999</v>
      </c>
      <c r="R106" s="44" t="str">
        <f>VLOOKUP(F106,'Set up'!$A$2:$E$70,5,FALSE)</f>
        <v>Chq</v>
      </c>
      <c r="S106" s="1" t="s">
        <v>213</v>
      </c>
    </row>
    <row r="107" spans="1:19" x14ac:dyDescent="0.35">
      <c r="A107" s="4">
        <v>44144</v>
      </c>
      <c r="B107" s="5">
        <f t="shared" si="16"/>
        <v>11</v>
      </c>
      <c r="C107" s="5">
        <f t="shared" si="17"/>
        <v>2020</v>
      </c>
      <c r="D107" s="5" t="s">
        <v>151</v>
      </c>
      <c r="E107" s="5" t="str">
        <f>VLOOKUP(F107,'Set up'!$A$2:$C$70,2,FALSE)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up'!$A$2:$C$70,3,FALSE)</f>
        <v>Cash</v>
      </c>
      <c r="J107" s="5">
        <f>VLOOKUP(F107,'Set up'!$A$2:$D$70,4,FALSE)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3"/>
        <v>0</v>
      </c>
      <c r="Q107" s="7">
        <f t="shared" si="21"/>
        <v>146122.29999999999</v>
      </c>
      <c r="R107" s="44" t="str">
        <f>VLOOKUP(F107,'Set up'!$A$2:$E$70,5,FALSE)</f>
        <v>Chq</v>
      </c>
      <c r="S107" s="1" t="s">
        <v>213</v>
      </c>
    </row>
    <row r="108" spans="1:19" x14ac:dyDescent="0.35">
      <c r="A108" s="4">
        <v>44144</v>
      </c>
      <c r="B108" s="5">
        <f t="shared" si="16"/>
        <v>11</v>
      </c>
      <c r="C108" s="5">
        <f t="shared" si="17"/>
        <v>2020</v>
      </c>
      <c r="D108" s="5" t="s">
        <v>151</v>
      </c>
      <c r="E108" s="5" t="str">
        <f>VLOOKUP(F108,'Set up'!$A$2:$C$70,2,FALSE)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up'!$A$2:$C$70,3,FALSE)</f>
        <v>Cash</v>
      </c>
      <c r="J108" s="5">
        <f>VLOOKUP(F108,'Set up'!$A$2:$D$70,4,FALSE)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3"/>
        <v>0</v>
      </c>
      <c r="Q108" s="7">
        <f t="shared" si="21"/>
        <v>146500.29999999999</v>
      </c>
      <c r="R108" s="44" t="str">
        <f>VLOOKUP(F108,'Set up'!$A$2:$E$70,5,FALSE)</f>
        <v>Chq</v>
      </c>
      <c r="S108" s="1" t="s">
        <v>213</v>
      </c>
    </row>
    <row r="109" spans="1:19" x14ac:dyDescent="0.35">
      <c r="A109" s="4">
        <v>44144</v>
      </c>
      <c r="B109" s="5">
        <f t="shared" si="16"/>
        <v>11</v>
      </c>
      <c r="C109" s="5">
        <f t="shared" si="17"/>
        <v>2020</v>
      </c>
      <c r="D109" s="5" t="s">
        <v>151</v>
      </c>
      <c r="E109" s="5" t="str">
        <f>VLOOKUP(F109,'Set up'!$A$2:$C$70,2,FALSE)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up'!$A$2:$C$70,3,FALSE)</f>
        <v>Cash</v>
      </c>
      <c r="J109" s="5">
        <f>VLOOKUP(F109,'Set up'!$A$2:$D$70,4,FALSE)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3"/>
        <v>0</v>
      </c>
      <c r="Q109" s="7">
        <f t="shared" si="21"/>
        <v>146630.29999999999</v>
      </c>
      <c r="R109" s="44" t="str">
        <f>VLOOKUP(F109,'Set up'!$A$2:$E$70,5,FALSE)</f>
        <v>Chq</v>
      </c>
      <c r="S109" s="1" t="s">
        <v>213</v>
      </c>
    </row>
    <row r="110" spans="1:19" x14ac:dyDescent="0.35">
      <c r="A110" s="4">
        <v>44145</v>
      </c>
      <c r="B110" s="5">
        <f t="shared" si="16"/>
        <v>11</v>
      </c>
      <c r="C110" s="5">
        <f t="shared" si="17"/>
        <v>2020</v>
      </c>
      <c r="D110" s="5" t="s">
        <v>153</v>
      </c>
      <c r="E110" s="5" t="str">
        <f>VLOOKUP(F110,'Set up'!$A$2:$C$70,2,FALSE)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up'!$A$2:$C$70,3,FALSE)</f>
        <v>Cash</v>
      </c>
      <c r="J110" s="5">
        <f>VLOOKUP(F110,'Set up'!$A$2:$D$70,4,FALSE)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3"/>
        <v>0</v>
      </c>
      <c r="Q110" s="7">
        <f t="shared" si="21"/>
        <v>148214.29999999999</v>
      </c>
      <c r="R110" s="44" t="str">
        <f>VLOOKUP(F110,'Set up'!$A$2:$E$70,5,FALSE)</f>
        <v>Trsf</v>
      </c>
      <c r="S110" s="1" t="s">
        <v>171</v>
      </c>
    </row>
    <row r="111" spans="1:19" x14ac:dyDescent="0.35">
      <c r="A111" s="4">
        <v>44145</v>
      </c>
      <c r="B111" s="5">
        <f t="shared" si="16"/>
        <v>11</v>
      </c>
      <c r="C111" s="5">
        <f t="shared" si="17"/>
        <v>2020</v>
      </c>
      <c r="D111" s="5" t="s">
        <v>153</v>
      </c>
      <c r="E111" s="5" t="str">
        <f>VLOOKUP(F111,'Set up'!$A$2:$C$70,2,FALSE)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up'!$A$2:$C$70,3,FALSE)</f>
        <v>Cash</v>
      </c>
      <c r="J111" s="5">
        <f>VLOOKUP(F111,'Set up'!$A$2:$D$70,4,FALSE)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3"/>
        <v>0</v>
      </c>
      <c r="Q111" s="7">
        <f t="shared" si="21"/>
        <v>148584.29999999999</v>
      </c>
      <c r="R111" s="44" t="str">
        <f>VLOOKUP(F111,'Set up'!$A$2:$E$70,5,FALSE)</f>
        <v>Trsf</v>
      </c>
      <c r="S111" s="1" t="s">
        <v>171</v>
      </c>
    </row>
    <row r="112" spans="1:19" x14ac:dyDescent="0.35">
      <c r="A112" s="4">
        <v>44145</v>
      </c>
      <c r="B112" s="5">
        <f t="shared" si="16"/>
        <v>11</v>
      </c>
      <c r="C112" s="5">
        <f t="shared" si="17"/>
        <v>2020</v>
      </c>
      <c r="D112" s="5" t="s">
        <v>154</v>
      </c>
      <c r="E112" s="5" t="str">
        <f>VLOOKUP(F112,'Set up'!$A$2:$C$70,2,FALSE)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up'!$A$2:$C$70,3,FALSE)</f>
        <v>Cash</v>
      </c>
      <c r="J112" s="5">
        <f>VLOOKUP(F112,'Set up'!$A$2:$D$70,4,FALSE)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3"/>
        <v>0</v>
      </c>
      <c r="Q112" s="7">
        <f t="shared" si="21"/>
        <v>150124.29999999999</v>
      </c>
      <c r="R112" s="44" t="str">
        <f>VLOOKUP(F112,'Set up'!$A$2:$E$70,5,FALSE)</f>
        <v>Chq</v>
      </c>
      <c r="S112" s="1" t="s">
        <v>189</v>
      </c>
    </row>
    <row r="113" spans="1:19" x14ac:dyDescent="0.35">
      <c r="A113" s="4">
        <v>44145</v>
      </c>
      <c r="B113" s="5">
        <f t="shared" si="16"/>
        <v>11</v>
      </c>
      <c r="C113" s="5">
        <f t="shared" si="17"/>
        <v>2020</v>
      </c>
      <c r="D113" s="5" t="s">
        <v>154</v>
      </c>
      <c r="E113" s="5" t="str">
        <f>VLOOKUP(F113,'Set up'!$A$2:$C$70,2,FALSE)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up'!$A$2:$C$70,3,FALSE)</f>
        <v>Cash</v>
      </c>
      <c r="J113" s="5">
        <f>VLOOKUP(F113,'Set up'!$A$2:$D$70,4,FALSE)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3"/>
        <v>0</v>
      </c>
      <c r="Q113" s="7">
        <f t="shared" si="21"/>
        <v>150214.29999999999</v>
      </c>
      <c r="R113" s="44" t="str">
        <f>VLOOKUP(F113,'Set up'!$A$2:$E$70,5,FALSE)</f>
        <v>Chq</v>
      </c>
      <c r="S113" s="1" t="s">
        <v>189</v>
      </c>
    </row>
    <row r="114" spans="1:19" x14ac:dyDescent="0.35">
      <c r="A114" s="4">
        <v>44146</v>
      </c>
      <c r="B114" s="5">
        <f t="shared" si="16"/>
        <v>11</v>
      </c>
      <c r="C114" s="5">
        <f t="shared" si="17"/>
        <v>2020</v>
      </c>
      <c r="D114" s="5" t="s">
        <v>155</v>
      </c>
      <c r="E114" s="5" t="str">
        <f>VLOOKUP(F114,'Set up'!$A$2:$C$70,2,FALSE)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up'!$A$2:$C$70,3,FALSE)</f>
        <v>60</v>
      </c>
      <c r="J114" s="5">
        <f>VLOOKUP(F114,'Set up'!$A$2:$D$70,4,FALSE)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3"/>
        <v>0</v>
      </c>
      <c r="Q114" s="7">
        <f t="shared" si="21"/>
        <v>151137.69999999998</v>
      </c>
      <c r="R114" s="44" t="str">
        <f>VLOOKUP(F114,'Set up'!$A$2:$E$70,5,FALSE)</f>
        <v>Chq</v>
      </c>
      <c r="S114" s="9" t="s">
        <v>264</v>
      </c>
    </row>
    <row r="115" spans="1:19" x14ac:dyDescent="0.35">
      <c r="A115" s="4">
        <v>44146</v>
      </c>
      <c r="B115" s="5">
        <f t="shared" si="16"/>
        <v>11</v>
      </c>
      <c r="C115" s="5">
        <f t="shared" si="17"/>
        <v>2020</v>
      </c>
      <c r="D115" s="5" t="s">
        <v>155</v>
      </c>
      <c r="E115" s="5" t="str">
        <f>VLOOKUP(F115,'Set up'!$A$2:$C$70,2,FALSE)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up'!$A$2:$C$70,3,FALSE)</f>
        <v>60</v>
      </c>
      <c r="J115" s="5">
        <f>VLOOKUP(F115,'Set up'!$A$2:$D$70,4,FALSE)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3"/>
        <v>0</v>
      </c>
      <c r="Q115" s="7">
        <f t="shared" si="21"/>
        <v>151445.49999999997</v>
      </c>
      <c r="R115" s="44" t="str">
        <f>VLOOKUP(F115,'Set up'!$A$2:$E$70,5,FALSE)</f>
        <v>Chq</v>
      </c>
      <c r="S115" s="9" t="s">
        <v>264</v>
      </c>
    </row>
    <row r="116" spans="1:19" x14ac:dyDescent="0.35">
      <c r="A116" s="4">
        <v>44153</v>
      </c>
      <c r="B116" s="5">
        <f t="shared" si="16"/>
        <v>11</v>
      </c>
      <c r="C116" s="5">
        <f t="shared" si="17"/>
        <v>2020</v>
      </c>
      <c r="D116" s="5" t="s">
        <v>165</v>
      </c>
      <c r="E116" s="5" t="str">
        <f>VLOOKUP(F116,'Set up'!$A$2:$C$70,2,FALSE)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up'!$A$2:$C$70,3,FALSE)</f>
        <v>Cash</v>
      </c>
      <c r="J116" s="5">
        <f>VLOOKUP(F116,'Set up'!$A$2:$D$70,4,FALSE)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3"/>
        <v>0</v>
      </c>
      <c r="Q116" s="7">
        <f t="shared" si="21"/>
        <v>153029.49999999997</v>
      </c>
      <c r="R116" s="44" t="str">
        <f>VLOOKUP(F116,'Set up'!$A$2:$E$70,5,FALSE)</f>
        <v>Trsf</v>
      </c>
      <c r="S116" s="1" t="s">
        <v>171</v>
      </c>
    </row>
    <row r="117" spans="1:19" x14ac:dyDescent="0.35">
      <c r="A117" s="4">
        <v>44159</v>
      </c>
      <c r="B117" s="5">
        <f t="shared" si="16"/>
        <v>11</v>
      </c>
      <c r="C117" s="5">
        <f t="shared" si="17"/>
        <v>2020</v>
      </c>
      <c r="D117" s="5" t="s">
        <v>166</v>
      </c>
      <c r="E117" s="5" t="str">
        <f>VLOOKUP(F117,'Set up'!$A$2:$C$70,2,FALSE)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up'!$A$2:$C$70,3,FALSE)</f>
        <v>Cash</v>
      </c>
      <c r="J117" s="5">
        <f>VLOOKUP(F117,'Set up'!$A$2:$D$70,4,FALSE)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3"/>
        <v>0</v>
      </c>
      <c r="Q117" s="7">
        <f t="shared" si="21"/>
        <v>153549.49999999997</v>
      </c>
      <c r="R117" s="44" t="str">
        <f>VLOOKUP(F117,'Set up'!$A$2:$E$70,5,FALSE)</f>
        <v>Trsf</v>
      </c>
      <c r="S117" s="1" t="s">
        <v>214</v>
      </c>
    </row>
    <row r="118" spans="1:19" x14ac:dyDescent="0.35">
      <c r="A118" s="4">
        <v>44155</v>
      </c>
      <c r="B118" s="5">
        <f t="shared" si="16"/>
        <v>11</v>
      </c>
      <c r="C118" s="5">
        <f t="shared" si="17"/>
        <v>2020</v>
      </c>
      <c r="D118" s="5" t="s">
        <v>167</v>
      </c>
      <c r="E118" s="5" t="str">
        <f>VLOOKUP(F118,'Set up'!$A$2:$C$70,2,FALSE)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up'!$A$2:$C$70,3,FALSE)</f>
        <v>120</v>
      </c>
      <c r="J118" s="5">
        <f>VLOOKUP(F118,'Set up'!$A$2:$D$70,4,FALSE)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3"/>
        <v>0</v>
      </c>
      <c r="Q118" s="7">
        <f t="shared" si="21"/>
        <v>157599.49999999997</v>
      </c>
      <c r="R118" s="44" t="str">
        <f>VLOOKUP(F118,'Set up'!$A$2:$E$70,5,FALSE)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16"/>
        <v>11</v>
      </c>
      <c r="C119" s="5">
        <f t="shared" si="17"/>
        <v>2020</v>
      </c>
      <c r="D119" s="5" t="s">
        <v>167</v>
      </c>
      <c r="E119" s="5" t="str">
        <f>VLOOKUP(F119,'Set up'!$A$2:$C$70,2,FALSE)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up'!$A$2:$C$70,3,FALSE)</f>
        <v>120</v>
      </c>
      <c r="J119" s="5">
        <f>VLOOKUP(F119,'Set up'!$A$2:$D$70,4,FALSE)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3"/>
        <v>0</v>
      </c>
      <c r="Q119" s="7">
        <f t="shared" si="21"/>
        <v>160239.49999999997</v>
      </c>
      <c r="R119" s="44" t="str">
        <f>VLOOKUP(F119,'Set up'!$A$2:$E$70,5,FALSE)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16"/>
        <v>11</v>
      </c>
      <c r="C120" s="5">
        <f t="shared" si="17"/>
        <v>2020</v>
      </c>
      <c r="D120" s="5" t="s">
        <v>167</v>
      </c>
      <c r="E120" s="5" t="str">
        <f>VLOOKUP(F120,'Set up'!$A$2:$C$70,2,FALSE)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up'!$A$2:$C$70,3,FALSE)</f>
        <v>120</v>
      </c>
      <c r="J120" s="5">
        <f>VLOOKUP(F120,'Set up'!$A$2:$D$70,4,FALSE)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3"/>
        <v>0</v>
      </c>
      <c r="Q120" s="7">
        <f t="shared" si="21"/>
        <v>162015.49999999997</v>
      </c>
      <c r="R120" s="44" t="str">
        <f>VLOOKUP(F120,'Set up'!$A$2:$E$70,5,FALSE)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16"/>
        <v>11</v>
      </c>
      <c r="C121" s="5">
        <f t="shared" si="17"/>
        <v>2020</v>
      </c>
      <c r="D121" s="5" t="s">
        <v>167</v>
      </c>
      <c r="E121" s="5" t="str">
        <f>VLOOKUP(F121,'Set up'!$A$2:$C$70,2,FALSE)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up'!$A$2:$C$70,3,FALSE)</f>
        <v>120</v>
      </c>
      <c r="J121" s="5">
        <f>VLOOKUP(F121,'Set up'!$A$2:$D$70,4,FALSE)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3"/>
        <v>0</v>
      </c>
      <c r="Q121" s="7">
        <f t="shared" si="21"/>
        <v>162290.49999999997</v>
      </c>
      <c r="R121" s="44" t="str">
        <f>VLOOKUP(F121,'Set up'!$A$2:$E$70,5,FALSE)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16"/>
        <v>11</v>
      </c>
      <c r="C122" s="5">
        <f t="shared" si="17"/>
        <v>2020</v>
      </c>
      <c r="D122" s="5" t="s">
        <v>167</v>
      </c>
      <c r="E122" s="5" t="str">
        <f>VLOOKUP(F122,'Set up'!$A$2:$C$70,2,FALSE)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up'!$A$2:$C$70,3,FALSE)</f>
        <v>120</v>
      </c>
      <c r="J122" s="5">
        <f>VLOOKUP(F122,'Set up'!$A$2:$D$70,4,FALSE)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3"/>
        <v>0</v>
      </c>
      <c r="Q122" s="7">
        <f t="shared" si="21"/>
        <v>162470.49999999997</v>
      </c>
      <c r="R122" s="44" t="str">
        <f>VLOOKUP(F122,'Set up'!$A$2:$E$70,5,FALSE)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16"/>
        <v>11</v>
      </c>
      <c r="C123" s="5">
        <f t="shared" si="17"/>
        <v>2020</v>
      </c>
      <c r="D123" s="5" t="s">
        <v>167</v>
      </c>
      <c r="E123" s="5" t="str">
        <f>VLOOKUP(F123,'Set up'!$A$2:$C$70,2,FALSE)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up'!$A$2:$C$70,3,FALSE)</f>
        <v>120</v>
      </c>
      <c r="J123" s="5">
        <f>VLOOKUP(F123,'Set up'!$A$2:$D$70,4,FALSE)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3"/>
        <v>0</v>
      </c>
      <c r="Q123" s="7">
        <f t="shared" si="21"/>
        <v>162845.49999999997</v>
      </c>
      <c r="R123" s="44" t="str">
        <f>VLOOKUP(F123,'Set up'!$A$2:$E$70,5,FALSE)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16"/>
        <v>11</v>
      </c>
      <c r="C124" s="5">
        <f t="shared" si="17"/>
        <v>2020</v>
      </c>
      <c r="D124" s="5" t="s">
        <v>170</v>
      </c>
      <c r="E124" s="5" t="str">
        <f>VLOOKUP(F124,'Set up'!$A$2:$C$70,2,FALSE)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up'!$A$2:$C$70,3,FALSE)</f>
        <v>Cash</v>
      </c>
      <c r="J124" s="5">
        <f>VLOOKUP(F124,'Set up'!$A$2:$D$70,4,FALSE)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3"/>
        <v>0</v>
      </c>
      <c r="Q124" s="7">
        <f t="shared" si="21"/>
        <v>164429.49999999997</v>
      </c>
      <c r="R124" s="44" t="str">
        <f>VLOOKUP(F124,'Set up'!$A$2:$E$70,5,FALSE)</f>
        <v>Trsf</v>
      </c>
    </row>
    <row r="125" spans="1:19" x14ac:dyDescent="0.35">
      <c r="A125" s="4">
        <v>44156</v>
      </c>
      <c r="B125" s="5">
        <f t="shared" si="16"/>
        <v>11</v>
      </c>
      <c r="C125" s="5">
        <f t="shared" si="17"/>
        <v>2020</v>
      </c>
      <c r="D125" s="5" t="s">
        <v>170</v>
      </c>
      <c r="E125" s="5" t="str">
        <f>VLOOKUP(F125,'Set up'!$A$2:$C$70,2,FALSE)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up'!$A$2:$C$70,3,FALSE)</f>
        <v>Cash</v>
      </c>
      <c r="J125" s="5">
        <f>VLOOKUP(F125,'Set up'!$A$2:$D$70,4,FALSE)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3"/>
        <v>0</v>
      </c>
      <c r="Q125" s="7">
        <f t="shared" si="21"/>
        <v>164849.49999999997</v>
      </c>
      <c r="R125" s="44" t="str">
        <f>VLOOKUP(F125,'Set up'!$A$2:$E$70,5,FALSE)</f>
        <v>Trsf</v>
      </c>
    </row>
    <row r="126" spans="1:19" x14ac:dyDescent="0.35">
      <c r="A126" s="4">
        <v>44156</v>
      </c>
      <c r="B126" s="5">
        <f t="shared" si="16"/>
        <v>11</v>
      </c>
      <c r="C126" s="5">
        <f t="shared" si="17"/>
        <v>2020</v>
      </c>
      <c r="D126" s="5" t="s">
        <v>170</v>
      </c>
      <c r="E126" s="5" t="str">
        <f>VLOOKUP(F126,'Set up'!$A$2:$C$70,2,FALSE)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up'!$A$2:$C$70,3,FALSE)</f>
        <v>Cash</v>
      </c>
      <c r="J126" s="5">
        <f>VLOOKUP(F126,'Set up'!$A$2:$D$70,4,FALSE)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3"/>
        <v>0</v>
      </c>
      <c r="Q126" s="7">
        <f t="shared" si="21"/>
        <v>164939.49999999997</v>
      </c>
      <c r="R126" s="44" t="str">
        <f>VLOOKUP(F126,'Set up'!$A$2:$E$70,5,FALSE)</f>
        <v>Trsf</v>
      </c>
    </row>
    <row r="127" spans="1:19" x14ac:dyDescent="0.35">
      <c r="A127" s="4">
        <v>44156</v>
      </c>
      <c r="B127" s="5">
        <f t="shared" si="16"/>
        <v>11</v>
      </c>
      <c r="C127" s="5">
        <f t="shared" si="17"/>
        <v>2020</v>
      </c>
      <c r="D127" s="5" t="s">
        <v>170</v>
      </c>
      <c r="E127" s="5" t="str">
        <f>VLOOKUP(F127,'Set up'!$A$2:$C$70,2,FALSE)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up'!$A$2:$C$70,3,FALSE)</f>
        <v>Cash</v>
      </c>
      <c r="J127" s="5">
        <f>VLOOKUP(F127,'Set up'!$A$2:$D$70,4,FALSE)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3"/>
        <v>0</v>
      </c>
      <c r="Q127" s="7">
        <f t="shared" si="21"/>
        <v>165457.49999999997</v>
      </c>
      <c r="R127" s="44" t="str">
        <f>VLOOKUP(F127,'Set up'!$A$2:$E$70,5,FALSE)</f>
        <v>Trsf</v>
      </c>
    </row>
    <row r="128" spans="1:19" x14ac:dyDescent="0.35">
      <c r="A128" s="4">
        <v>44158</v>
      </c>
      <c r="B128" s="5">
        <f t="shared" si="16"/>
        <v>11</v>
      </c>
      <c r="C128" s="5">
        <f t="shared" si="17"/>
        <v>2020</v>
      </c>
      <c r="D128" s="5" t="s">
        <v>172</v>
      </c>
      <c r="E128" s="5" t="str">
        <f>VLOOKUP(F128,'Set up'!$A$2:$C$70,2,FALSE)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up'!$A$2:$C$70,3,FALSE)</f>
        <v>Cash</v>
      </c>
      <c r="J128" s="5">
        <f>VLOOKUP(F128,'Set up'!$A$2:$D$70,4,FALSE)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4">SUM(-N128)</f>
        <v>-1540</v>
      </c>
      <c r="P128" s="6">
        <f t="shared" si="23"/>
        <v>0</v>
      </c>
      <c r="Q128" s="7">
        <f t="shared" si="21"/>
        <v>166997.49999999997</v>
      </c>
      <c r="R128" s="44" t="str">
        <f>VLOOKUP(F128,'Set up'!$A$2:$E$70,5,FALSE)</f>
        <v>Chq</v>
      </c>
      <c r="S128" s="1" t="s">
        <v>190</v>
      </c>
    </row>
    <row r="129" spans="1:19" x14ac:dyDescent="0.35">
      <c r="A129" s="4">
        <v>44159</v>
      </c>
      <c r="B129" s="5">
        <f t="shared" si="16"/>
        <v>11</v>
      </c>
      <c r="C129" s="5">
        <f t="shared" si="17"/>
        <v>2020</v>
      </c>
      <c r="D129" s="5" t="s">
        <v>175</v>
      </c>
      <c r="E129" s="5" t="str">
        <f>VLOOKUP(F129,'Set up'!$A$2:$C$70,2,FALSE)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up'!$A$2:$C$70,3,FALSE)</f>
        <v>Cash</v>
      </c>
      <c r="J129" s="5">
        <f>VLOOKUP(F129,'Set up'!$A$2:$D$70,4,FALSE)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4"/>
        <v>-982.80000000000007</v>
      </c>
      <c r="P129" s="6">
        <f t="shared" si="23"/>
        <v>0</v>
      </c>
      <c r="Q129" s="7">
        <f t="shared" si="21"/>
        <v>167980.29999999996</v>
      </c>
      <c r="R129" s="44" t="str">
        <f>VLOOKUP(F129,'Set up'!$A$2:$E$70,5,FALSE)</f>
        <v>Trsf</v>
      </c>
      <c r="S129" s="1" t="s">
        <v>188</v>
      </c>
    </row>
    <row r="130" spans="1:19" x14ac:dyDescent="0.35">
      <c r="A130" s="4">
        <v>44159</v>
      </c>
      <c r="B130" s="5">
        <f t="shared" si="16"/>
        <v>11</v>
      </c>
      <c r="C130" s="5">
        <f t="shared" si="17"/>
        <v>2020</v>
      </c>
      <c r="D130" s="5" t="s">
        <v>175</v>
      </c>
      <c r="E130" s="5" t="str">
        <f>VLOOKUP(F130,'Set up'!$A$2:$C$70,2,FALSE)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up'!$A$2:$C$70,3,FALSE)</f>
        <v>Cash</v>
      </c>
      <c r="J130" s="5">
        <f>VLOOKUP(F130,'Set up'!$A$2:$D$70,4,FALSE)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4"/>
        <v>-100</v>
      </c>
      <c r="P130" s="6">
        <f t="shared" ref="P130:P147" si="25">SUM(N130+O130)</f>
        <v>0</v>
      </c>
      <c r="Q130" s="7">
        <f t="shared" si="21"/>
        <v>168080.29999999996</v>
      </c>
      <c r="R130" s="44" t="str">
        <f>VLOOKUP(F130,'Set up'!$A$2:$E$70,5,FALSE)</f>
        <v>Trsf</v>
      </c>
      <c r="S130" s="1" t="s">
        <v>188</v>
      </c>
    </row>
    <row r="131" spans="1:19" x14ac:dyDescent="0.35">
      <c r="A131" s="4">
        <v>44159</v>
      </c>
      <c r="B131" s="5">
        <f t="shared" ref="B131:B194" si="26">MONTH(A131)</f>
        <v>11</v>
      </c>
      <c r="C131" s="5">
        <f t="shared" ref="C131:C194" si="27">YEAR(A131)</f>
        <v>2020</v>
      </c>
      <c r="D131" s="5" t="s">
        <v>179</v>
      </c>
      <c r="E131" s="5" t="str">
        <f>VLOOKUP(F131,'Set up'!$A$2:$C$70,2,FALSE)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up'!$A$2:$C$70,3,FALSE)</f>
        <v>45</v>
      </c>
      <c r="J131" s="5">
        <f>VLOOKUP(F131,'Set up'!$A$2:$D$70,4,FALSE)</f>
        <v>45</v>
      </c>
      <c r="K131" s="4">
        <f t="shared" ref="K131:K194" si="28">A131+J131</f>
        <v>44204</v>
      </c>
      <c r="L131" s="5">
        <f t="shared" ref="L131:L194" si="29">MONTH(K131)</f>
        <v>1</v>
      </c>
      <c r="M131" s="5">
        <f t="shared" ref="M131:M194" si="30">YEAR(K131)</f>
        <v>2021</v>
      </c>
      <c r="N131" s="6">
        <v>1628</v>
      </c>
      <c r="O131" s="6">
        <f t="shared" si="24"/>
        <v>-1628</v>
      </c>
      <c r="P131" s="6">
        <f t="shared" si="25"/>
        <v>0</v>
      </c>
      <c r="Q131" s="7">
        <f t="shared" ref="Q131:Q194" si="31">SUM(Q130+N131)</f>
        <v>169708.29999999996</v>
      </c>
      <c r="R131" s="44" t="str">
        <f>VLOOKUP(F131,'Set up'!$A$2:$E$70,5,FALSE)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6"/>
        <v>11</v>
      </c>
      <c r="C132" s="5">
        <f t="shared" si="27"/>
        <v>2020</v>
      </c>
      <c r="D132" s="5" t="s">
        <v>179</v>
      </c>
      <c r="E132" s="5" t="str">
        <f>VLOOKUP(F132,'Set up'!$A$2:$C$70,2,FALSE)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up'!$A$2:$C$70,3,FALSE)</f>
        <v>45</v>
      </c>
      <c r="J132" s="5">
        <f>VLOOKUP(F132,'Set up'!$A$2:$D$70,4,FALSE)</f>
        <v>45</v>
      </c>
      <c r="K132" s="4">
        <f t="shared" si="28"/>
        <v>44204</v>
      </c>
      <c r="L132" s="5">
        <f t="shared" si="29"/>
        <v>1</v>
      </c>
      <c r="M132" s="5">
        <f t="shared" si="30"/>
        <v>2021</v>
      </c>
      <c r="N132" s="6">
        <v>150</v>
      </c>
      <c r="O132" s="6">
        <f t="shared" si="24"/>
        <v>-150</v>
      </c>
      <c r="P132" s="6">
        <f t="shared" si="25"/>
        <v>0</v>
      </c>
      <c r="Q132" s="7">
        <f t="shared" si="31"/>
        <v>169858.29999999996</v>
      </c>
      <c r="R132" s="44" t="str">
        <f>VLOOKUP(F132,'Set up'!$A$2:$E$70,5,FALSE)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6"/>
        <v>11</v>
      </c>
      <c r="C133" s="5">
        <f t="shared" si="27"/>
        <v>2020</v>
      </c>
      <c r="D133" s="5" t="s">
        <v>179</v>
      </c>
      <c r="E133" s="5" t="str">
        <f>VLOOKUP(F133,'Set up'!$A$2:$C$70,2,FALSE)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up'!$A$2:$C$70,3,FALSE)</f>
        <v>45</v>
      </c>
      <c r="J133" s="5">
        <f>VLOOKUP(F133,'Set up'!$A$2:$D$70,4,FALSE)</f>
        <v>45</v>
      </c>
      <c r="K133" s="4">
        <f t="shared" si="28"/>
        <v>44204</v>
      </c>
      <c r="L133" s="5">
        <f t="shared" si="29"/>
        <v>1</v>
      </c>
      <c r="M133" s="5">
        <f t="shared" si="30"/>
        <v>2021</v>
      </c>
      <c r="N133" s="6">
        <v>185</v>
      </c>
      <c r="O133" s="6">
        <f t="shared" si="24"/>
        <v>-185</v>
      </c>
      <c r="P133" s="6">
        <f t="shared" si="25"/>
        <v>0</v>
      </c>
      <c r="Q133" s="7">
        <f t="shared" si="31"/>
        <v>170043.29999999996</v>
      </c>
      <c r="R133" s="44" t="str">
        <f>VLOOKUP(F133,'Set up'!$A$2:$E$70,5,FALSE)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6"/>
        <v>11</v>
      </c>
      <c r="C134" s="5">
        <f t="shared" si="27"/>
        <v>2020</v>
      </c>
      <c r="D134" s="5" t="s">
        <v>179</v>
      </c>
      <c r="E134" s="5" t="str">
        <f>VLOOKUP(F134,'Set up'!$A$2:$C$70,2,FALSE)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up'!$A$2:$C$70,3,FALSE)</f>
        <v>45</v>
      </c>
      <c r="J134" s="5">
        <f>VLOOKUP(F134,'Set up'!$A$2:$D$70,4,FALSE)</f>
        <v>45</v>
      </c>
      <c r="K134" s="4">
        <f t="shared" si="28"/>
        <v>44204</v>
      </c>
      <c r="L134" s="5">
        <f t="shared" si="29"/>
        <v>1</v>
      </c>
      <c r="M134" s="5">
        <f t="shared" si="30"/>
        <v>2021</v>
      </c>
      <c r="N134" s="6">
        <v>45</v>
      </c>
      <c r="O134" s="6">
        <f t="shared" si="24"/>
        <v>-45</v>
      </c>
      <c r="P134" s="6">
        <f t="shared" si="25"/>
        <v>0</v>
      </c>
      <c r="Q134" s="7">
        <f t="shared" si="31"/>
        <v>170088.29999999996</v>
      </c>
      <c r="R134" s="44" t="str">
        <f>VLOOKUP(F134,'Set up'!$A$2:$E$70,5,FALSE)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6"/>
        <v>11</v>
      </c>
      <c r="C135" s="5">
        <f t="shared" si="27"/>
        <v>2020</v>
      </c>
      <c r="D135" s="5" t="s">
        <v>181</v>
      </c>
      <c r="E135" s="5" t="str">
        <f>VLOOKUP(F135,'Set up'!$A$2:$C$70,2,FALSE)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up'!$A$2:$C$70,3,FALSE)</f>
        <v>Cash</v>
      </c>
      <c r="J135" s="5">
        <f>VLOOKUP(F135,'Set up'!$A$2:$D$70,4,FALSE)</f>
        <v>0</v>
      </c>
      <c r="K135" s="4">
        <f t="shared" si="28"/>
        <v>44162</v>
      </c>
      <c r="L135" s="5">
        <f t="shared" si="29"/>
        <v>11</v>
      </c>
      <c r="M135" s="5">
        <f t="shared" si="30"/>
        <v>2020</v>
      </c>
      <c r="N135" s="24">
        <v>1584</v>
      </c>
      <c r="O135" s="6">
        <f t="shared" si="24"/>
        <v>-1584</v>
      </c>
      <c r="P135" s="6">
        <f t="shared" si="25"/>
        <v>0</v>
      </c>
      <c r="Q135" s="7">
        <f t="shared" si="31"/>
        <v>171672.29999999996</v>
      </c>
      <c r="R135" s="44" t="str">
        <f>VLOOKUP(F135,'Set up'!$A$2:$E$70,5,FALSE)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6"/>
        <v>11</v>
      </c>
      <c r="C136" s="5">
        <f t="shared" si="27"/>
        <v>2020</v>
      </c>
      <c r="D136" s="5" t="s">
        <v>181</v>
      </c>
      <c r="E136" s="5" t="str">
        <f>VLOOKUP(F136,'Set up'!$A$2:$C$70,2,FALSE)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up'!$A$2:$C$70,3,FALSE)</f>
        <v>Cash</v>
      </c>
      <c r="J136" s="5">
        <f>VLOOKUP(F136,'Set up'!$A$2:$D$70,4,FALSE)</f>
        <v>0</v>
      </c>
      <c r="K136" s="4">
        <f t="shared" si="28"/>
        <v>44162</v>
      </c>
      <c r="L136" s="5">
        <f t="shared" si="29"/>
        <v>11</v>
      </c>
      <c r="M136" s="5">
        <f t="shared" si="30"/>
        <v>2020</v>
      </c>
      <c r="N136" s="46">
        <v>840</v>
      </c>
      <c r="O136" s="6">
        <f t="shared" si="24"/>
        <v>-840</v>
      </c>
      <c r="P136" s="6">
        <f t="shared" si="25"/>
        <v>0</v>
      </c>
      <c r="Q136" s="7">
        <f t="shared" si="31"/>
        <v>172512.29999999996</v>
      </c>
      <c r="R136" s="44" t="str">
        <f>VLOOKUP(F136,'Set up'!$A$2:$E$70,5,FALSE)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6"/>
        <v>11</v>
      </c>
      <c r="C137" s="5">
        <f t="shared" si="27"/>
        <v>2020</v>
      </c>
      <c r="D137" s="5" t="s">
        <v>182</v>
      </c>
      <c r="E137" s="5" t="str">
        <f>VLOOKUP(F137,'Set up'!$A$2:$C$70,2,FALSE)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up'!$A$2:$C$70,3,FALSE)</f>
        <v>60</v>
      </c>
      <c r="J137" s="5">
        <f>VLOOKUP(F137,'Set up'!$A$2:$D$70,4,FALSE)</f>
        <v>60</v>
      </c>
      <c r="K137" s="4">
        <f t="shared" si="28"/>
        <v>44223</v>
      </c>
      <c r="L137" s="5">
        <f t="shared" si="29"/>
        <v>1</v>
      </c>
      <c r="M137" s="5">
        <f t="shared" si="30"/>
        <v>2021</v>
      </c>
      <c r="N137" s="6">
        <v>408</v>
      </c>
      <c r="O137" s="6">
        <f t="shared" si="24"/>
        <v>-408</v>
      </c>
      <c r="P137" s="6">
        <f t="shared" si="25"/>
        <v>0</v>
      </c>
      <c r="Q137" s="7">
        <f t="shared" si="31"/>
        <v>172920.29999999996</v>
      </c>
      <c r="R137" s="44" t="str">
        <f>VLOOKUP(F137,'Set up'!$A$2:$E$70,5,FALSE)</f>
        <v>Chq</v>
      </c>
      <c r="S137" s="9" t="s">
        <v>264</v>
      </c>
    </row>
    <row r="138" spans="1:19" x14ac:dyDescent="0.35">
      <c r="A138" s="4">
        <v>44165</v>
      </c>
      <c r="B138" s="5">
        <f t="shared" si="26"/>
        <v>11</v>
      </c>
      <c r="C138" s="5">
        <f t="shared" si="27"/>
        <v>2020</v>
      </c>
      <c r="D138" s="5" t="s">
        <v>183</v>
      </c>
      <c r="E138" s="5" t="str">
        <f>VLOOKUP(F138,'Set up'!$A$2:$C$70,2,FALSE)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up'!$A$2:$C$70,3,FALSE)</f>
        <v>Cash</v>
      </c>
      <c r="J138" s="5">
        <f>VLOOKUP(F138,'Set up'!$A$2:$D$70,4,FALSE)</f>
        <v>0</v>
      </c>
      <c r="K138" s="4">
        <f t="shared" si="28"/>
        <v>44165</v>
      </c>
      <c r="L138" s="5">
        <f t="shared" si="29"/>
        <v>11</v>
      </c>
      <c r="M138" s="5">
        <f t="shared" si="30"/>
        <v>2020</v>
      </c>
      <c r="N138" s="6">
        <v>1050</v>
      </c>
      <c r="O138" s="6">
        <f t="shared" si="24"/>
        <v>-1050</v>
      </c>
      <c r="P138" s="6">
        <f t="shared" si="25"/>
        <v>0</v>
      </c>
      <c r="Q138" s="7">
        <f t="shared" si="31"/>
        <v>173970.29999999996</v>
      </c>
      <c r="R138" s="44" t="str">
        <f>VLOOKUP(F138,'Set up'!$A$2:$E$70,5,FALSE)</f>
        <v>Trsf</v>
      </c>
    </row>
    <row r="139" spans="1:19" x14ac:dyDescent="0.35">
      <c r="A139" s="4">
        <v>44165</v>
      </c>
      <c r="B139" s="5">
        <f t="shared" si="26"/>
        <v>11</v>
      </c>
      <c r="C139" s="5">
        <f t="shared" si="27"/>
        <v>2020</v>
      </c>
      <c r="D139" s="5" t="s">
        <v>184</v>
      </c>
      <c r="E139" s="5" t="str">
        <f>VLOOKUP(F139,'Set up'!$A$2:$C$70,2,FALSE)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up'!$A$2:$C$70,3,FALSE)</f>
        <v>120</v>
      </c>
      <c r="J139" s="5">
        <f>VLOOKUP(F139,'Set up'!$A$2:$D$70,4,FALSE)</f>
        <v>120</v>
      </c>
      <c r="K139" s="4">
        <f t="shared" si="28"/>
        <v>44285</v>
      </c>
      <c r="L139" s="5">
        <f t="shared" si="29"/>
        <v>3</v>
      </c>
      <c r="M139" s="5">
        <f t="shared" si="30"/>
        <v>2021</v>
      </c>
      <c r="N139" s="6">
        <v>6600</v>
      </c>
      <c r="O139" s="6">
        <f t="shared" si="24"/>
        <v>-6600</v>
      </c>
      <c r="P139" s="6">
        <f t="shared" si="25"/>
        <v>0</v>
      </c>
      <c r="Q139" s="7">
        <f t="shared" si="31"/>
        <v>180570.29999999996</v>
      </c>
      <c r="R139" s="44" t="str">
        <f>VLOOKUP(F139,'Set up'!$A$2:$E$70,5,FALSE)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6"/>
        <v>11</v>
      </c>
      <c r="C140" s="5">
        <f t="shared" si="27"/>
        <v>2020</v>
      </c>
      <c r="D140" s="5" t="s">
        <v>184</v>
      </c>
      <c r="E140" s="5" t="str">
        <f>VLOOKUP(F140,'Set up'!$A$2:$C$70,2,FALSE)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up'!$A$2:$C$70,3,FALSE)</f>
        <v>120</v>
      </c>
      <c r="J140" s="5">
        <f>VLOOKUP(F140,'Set up'!$A$2:$D$70,4,FALSE)</f>
        <v>120</v>
      </c>
      <c r="K140" s="4">
        <f t="shared" si="28"/>
        <v>44285</v>
      </c>
      <c r="L140" s="5">
        <f t="shared" si="29"/>
        <v>3</v>
      </c>
      <c r="M140" s="5">
        <f t="shared" si="30"/>
        <v>2021</v>
      </c>
      <c r="N140" s="6">
        <v>720</v>
      </c>
      <c r="O140" s="6">
        <f t="shared" si="24"/>
        <v>-720</v>
      </c>
      <c r="P140" s="6">
        <f t="shared" si="25"/>
        <v>0</v>
      </c>
      <c r="Q140" s="7">
        <f t="shared" si="31"/>
        <v>181290.29999999996</v>
      </c>
      <c r="R140" s="44" t="str">
        <f>VLOOKUP(F140,'Set up'!$A$2:$E$70,5,FALSE)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6"/>
        <v>11</v>
      </c>
      <c r="C141" s="5">
        <f t="shared" si="27"/>
        <v>2020</v>
      </c>
      <c r="D141" s="5" t="s">
        <v>184</v>
      </c>
      <c r="E141" s="5" t="str">
        <f>VLOOKUP(F141,'Set up'!$A$2:$C$70,2,FALSE)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up'!$A$2:$C$70,3,FALSE)</f>
        <v>120</v>
      </c>
      <c r="J141" s="5">
        <f>VLOOKUP(F141,'Set up'!$A$2:$D$70,4,FALSE)</f>
        <v>120</v>
      </c>
      <c r="K141" s="4">
        <f t="shared" si="28"/>
        <v>44285</v>
      </c>
      <c r="L141" s="5">
        <f t="shared" si="29"/>
        <v>3</v>
      </c>
      <c r="M141" s="5">
        <f t="shared" si="30"/>
        <v>2021</v>
      </c>
      <c r="N141" s="6">
        <v>275</v>
      </c>
      <c r="O141" s="6">
        <f t="shared" si="24"/>
        <v>-275</v>
      </c>
      <c r="P141" s="6">
        <f t="shared" si="25"/>
        <v>0</v>
      </c>
      <c r="Q141" s="7">
        <f t="shared" si="31"/>
        <v>181565.29999999996</v>
      </c>
      <c r="R141" s="44" t="str">
        <f>VLOOKUP(F141,'Set up'!$A$2:$E$70,5,FALSE)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6"/>
        <v>11</v>
      </c>
      <c r="C142" s="5">
        <f t="shared" si="27"/>
        <v>2020</v>
      </c>
      <c r="D142" s="5" t="s">
        <v>184</v>
      </c>
      <c r="E142" s="5" t="str">
        <f>VLOOKUP(F142,'Set up'!$A$2:$C$70,2,FALSE)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up'!$A$2:$C$70,3,FALSE)</f>
        <v>120</v>
      </c>
      <c r="J142" s="5">
        <f>VLOOKUP(F142,'Set up'!$A$2:$D$70,4,FALSE)</f>
        <v>120</v>
      </c>
      <c r="K142" s="4">
        <f t="shared" si="28"/>
        <v>44285</v>
      </c>
      <c r="L142" s="5">
        <f t="shared" si="29"/>
        <v>3</v>
      </c>
      <c r="M142" s="5">
        <f t="shared" si="30"/>
        <v>2021</v>
      </c>
      <c r="N142" s="6">
        <v>180</v>
      </c>
      <c r="O142" s="6">
        <f t="shared" si="24"/>
        <v>-180</v>
      </c>
      <c r="P142" s="6">
        <f t="shared" si="25"/>
        <v>0</v>
      </c>
      <c r="Q142" s="7">
        <f t="shared" si="31"/>
        <v>181745.29999999996</v>
      </c>
      <c r="R142" s="44" t="str">
        <f>VLOOKUP(F142,'Set up'!$A$2:$E$70,5,FALSE)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6"/>
        <v>11</v>
      </c>
      <c r="C143" s="5">
        <f t="shared" si="27"/>
        <v>2020</v>
      </c>
      <c r="D143" s="5" t="s">
        <v>200</v>
      </c>
      <c r="E143" s="5" t="str">
        <f>VLOOKUP(F143,'Set up'!$A$2:$C$70,2,FALSE)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up'!$A$2:$C$70,3,FALSE)</f>
        <v>120</v>
      </c>
      <c r="J143" s="5">
        <f>VLOOKUP(F143,'Set up'!$A$2:$D$70,4,FALSE)</f>
        <v>120</v>
      </c>
      <c r="K143" s="4">
        <f t="shared" si="28"/>
        <v>44285</v>
      </c>
      <c r="L143" s="5">
        <f t="shared" si="29"/>
        <v>3</v>
      </c>
      <c r="M143" s="5">
        <f t="shared" si="30"/>
        <v>2021</v>
      </c>
      <c r="N143" s="6">
        <v>275</v>
      </c>
      <c r="O143" s="6">
        <f t="shared" si="24"/>
        <v>-275</v>
      </c>
      <c r="P143" s="6">
        <f t="shared" si="25"/>
        <v>0</v>
      </c>
      <c r="Q143" s="7">
        <f t="shared" si="31"/>
        <v>182020.29999999996</v>
      </c>
      <c r="R143" s="44" t="str">
        <f>VLOOKUP(F143,'Set up'!$A$2:$E$70,5,FALSE)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6"/>
        <v>12</v>
      </c>
      <c r="C144" s="5">
        <f t="shared" si="27"/>
        <v>2020</v>
      </c>
      <c r="D144" s="5" t="s">
        <v>209</v>
      </c>
      <c r="E144" s="5" t="e">
        <f>VLOOKUP(F144,'Set up'!$A$2:$C$70,2,FALSE)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up'!$A$2:$C$70,3,FALSE)</f>
        <v>#N/A</v>
      </c>
      <c r="J144" s="5" t="e">
        <f>VLOOKUP(F144,'Set up'!$A$2:$D$70,4,FALSE)</f>
        <v>#N/A</v>
      </c>
      <c r="K144" s="4" t="e">
        <f t="shared" si="28"/>
        <v>#N/A</v>
      </c>
      <c r="L144" s="5" t="e">
        <f t="shared" si="29"/>
        <v>#N/A</v>
      </c>
      <c r="M144" s="5" t="e">
        <f t="shared" si="30"/>
        <v>#N/A</v>
      </c>
      <c r="N144" s="6">
        <v>799.2</v>
      </c>
      <c r="O144" s="6">
        <f t="shared" si="24"/>
        <v>-799.2</v>
      </c>
      <c r="P144" s="6">
        <f t="shared" si="25"/>
        <v>0</v>
      </c>
      <c r="Q144" s="7">
        <f t="shared" si="31"/>
        <v>182819.49999999997</v>
      </c>
      <c r="R144" s="44" t="e">
        <f>VLOOKUP(F144,'Set up'!$A$2:$E$70,5,FALSE)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6"/>
        <v>12</v>
      </c>
      <c r="C145" s="5">
        <f t="shared" si="27"/>
        <v>2020</v>
      </c>
      <c r="D145" s="5" t="s">
        <v>210</v>
      </c>
      <c r="E145" s="5" t="str">
        <f>VLOOKUP(F145,'Set up'!$A$2:$C$70,2,FALSE)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up'!$A$2:$C$70,3,FALSE)</f>
        <v>Cash</v>
      </c>
      <c r="J145" s="5">
        <f>VLOOKUP(F145,'Set up'!$A$2:$D$70,4,FALSE)</f>
        <v>0</v>
      </c>
      <c r="K145" s="4">
        <f t="shared" si="28"/>
        <v>44180</v>
      </c>
      <c r="L145" s="5">
        <f t="shared" si="29"/>
        <v>12</v>
      </c>
      <c r="M145" s="5">
        <f t="shared" si="30"/>
        <v>2020</v>
      </c>
      <c r="N145" s="24">
        <v>1716</v>
      </c>
      <c r="O145" s="6">
        <f t="shared" si="24"/>
        <v>-1716</v>
      </c>
      <c r="P145" s="6">
        <f t="shared" si="25"/>
        <v>0</v>
      </c>
      <c r="Q145" s="7">
        <f t="shared" si="31"/>
        <v>184535.49999999997</v>
      </c>
      <c r="R145" s="44" t="str">
        <f>VLOOKUP(F145,'Set up'!$A$2:$E$70,5,FALSE)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6"/>
        <v>12</v>
      </c>
      <c r="C146" s="5">
        <f t="shared" si="27"/>
        <v>2020</v>
      </c>
      <c r="D146" s="5" t="s">
        <v>210</v>
      </c>
      <c r="E146" s="5" t="str">
        <f>VLOOKUP(F146,'Set up'!$A$2:$C$70,2,FALSE)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up'!$A$2:$C$70,3,FALSE)</f>
        <v>Cash</v>
      </c>
      <c r="J146" s="5">
        <f>VLOOKUP(F146,'Set up'!$A$2:$D$70,4,FALSE)</f>
        <v>0</v>
      </c>
      <c r="K146" s="4">
        <f t="shared" si="28"/>
        <v>44180</v>
      </c>
      <c r="L146" s="5">
        <f t="shared" si="29"/>
        <v>12</v>
      </c>
      <c r="M146" s="5">
        <f t="shared" si="30"/>
        <v>2020</v>
      </c>
      <c r="N146" s="24">
        <v>512</v>
      </c>
      <c r="O146" s="6">
        <f t="shared" si="24"/>
        <v>-512</v>
      </c>
      <c r="P146" s="6">
        <f t="shared" si="25"/>
        <v>0</v>
      </c>
      <c r="Q146" s="7">
        <f t="shared" si="31"/>
        <v>185047.49999999997</v>
      </c>
      <c r="R146" s="44" t="str">
        <f>VLOOKUP(F146,'Set up'!$A$2:$E$70,5,FALSE)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6"/>
        <v>12</v>
      </c>
      <c r="C147" s="5">
        <f t="shared" si="27"/>
        <v>2020</v>
      </c>
      <c r="D147" s="5" t="s">
        <v>211</v>
      </c>
      <c r="E147" s="5" t="str">
        <f>VLOOKUP(F147,'Set up'!$A$2:$C$70,2,FALSE)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up'!$A$2:$C$70,3,FALSE)</f>
        <v>120</v>
      </c>
      <c r="J147" s="5">
        <f>VLOOKUP(F147,'Set up'!$A$2:$D$70,4,FALSE)</f>
        <v>120</v>
      </c>
      <c r="K147" s="4">
        <f t="shared" si="28"/>
        <v>44311</v>
      </c>
      <c r="L147" s="5">
        <f t="shared" si="29"/>
        <v>4</v>
      </c>
      <c r="M147" s="5">
        <f t="shared" si="30"/>
        <v>2021</v>
      </c>
      <c r="N147" s="24">
        <v>2860</v>
      </c>
      <c r="O147" s="6">
        <f t="shared" si="24"/>
        <v>-2860</v>
      </c>
      <c r="P147" s="6">
        <f t="shared" si="25"/>
        <v>0</v>
      </c>
      <c r="Q147" s="7">
        <f t="shared" si="31"/>
        <v>187907.49999999997</v>
      </c>
      <c r="R147" s="44" t="str">
        <f>VLOOKUP(F147,'Set up'!$A$2:$E$70,5,FALSE)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6"/>
        <v>12</v>
      </c>
      <c r="C148" s="5">
        <f t="shared" si="27"/>
        <v>2020</v>
      </c>
      <c r="D148" s="5" t="s">
        <v>216</v>
      </c>
      <c r="E148" s="5" t="str">
        <f>VLOOKUP(F148,'Set up'!$A$2:$C$70,2,FALSE)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up'!$A$2:$C$70,3,FALSE)</f>
        <v>45</v>
      </c>
      <c r="J148" s="5">
        <f>VLOOKUP(F148,'Set up'!$A$2:$D$70,4,FALSE)</f>
        <v>45</v>
      </c>
      <c r="K148" s="4">
        <f t="shared" si="28"/>
        <v>44240</v>
      </c>
      <c r="L148" s="5">
        <f t="shared" si="29"/>
        <v>2</v>
      </c>
      <c r="M148" s="5">
        <f t="shared" si="30"/>
        <v>2021</v>
      </c>
      <c r="N148" s="24">
        <v>5148</v>
      </c>
      <c r="O148" s="6">
        <f t="shared" si="24"/>
        <v>-5148</v>
      </c>
      <c r="P148" s="48"/>
      <c r="Q148" s="7">
        <f t="shared" si="31"/>
        <v>193055.49999999997</v>
      </c>
      <c r="R148" s="44" t="str">
        <f>VLOOKUP(F148,'Set up'!$A$2:$E$70,5,FALSE)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6"/>
        <v>12</v>
      </c>
      <c r="C149" s="5">
        <f t="shared" si="27"/>
        <v>2020</v>
      </c>
      <c r="D149" s="5" t="s">
        <v>216</v>
      </c>
      <c r="E149" s="5" t="str">
        <f>VLOOKUP(F149,'Set up'!$A$2:$C$70,2,FALSE)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up'!$A$2:$C$70,3,FALSE)</f>
        <v>45</v>
      </c>
      <c r="J149" s="5">
        <f>VLOOKUP(F149,'Set up'!$A$2:$D$70,4,FALSE)</f>
        <v>45</v>
      </c>
      <c r="K149" s="4">
        <f t="shared" si="28"/>
        <v>44240</v>
      </c>
      <c r="L149" s="5">
        <f t="shared" si="29"/>
        <v>2</v>
      </c>
      <c r="M149" s="5">
        <f t="shared" si="30"/>
        <v>2021</v>
      </c>
      <c r="N149" s="24">
        <v>405</v>
      </c>
      <c r="O149" s="6">
        <f t="shared" si="24"/>
        <v>-405</v>
      </c>
      <c r="P149" s="6">
        <f t="shared" ref="P149:P212" si="32">SUM(N149+O149)</f>
        <v>0</v>
      </c>
      <c r="Q149" s="7">
        <f t="shared" si="31"/>
        <v>193460.49999999997</v>
      </c>
      <c r="R149" s="44" t="str">
        <f>VLOOKUP(F149,'Set up'!$A$2:$E$70,5,FALSE)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6"/>
        <v>12</v>
      </c>
      <c r="C150" s="5">
        <f t="shared" si="27"/>
        <v>2020</v>
      </c>
      <c r="D150" s="5" t="s">
        <v>216</v>
      </c>
      <c r="E150" s="5" t="str">
        <f>VLOOKUP(F150,'Set up'!$A$2:$C$70,2,FALSE)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up'!$A$2:$C$70,3,FALSE)</f>
        <v>45</v>
      </c>
      <c r="J150" s="5">
        <f>VLOOKUP(F150,'Set up'!$A$2:$D$70,4,FALSE)</f>
        <v>45</v>
      </c>
      <c r="K150" s="4">
        <f t="shared" si="28"/>
        <v>44240</v>
      </c>
      <c r="L150" s="5">
        <f t="shared" si="29"/>
        <v>2</v>
      </c>
      <c r="M150" s="5">
        <f t="shared" si="30"/>
        <v>2021</v>
      </c>
      <c r="N150" s="24">
        <v>555</v>
      </c>
      <c r="O150" s="6">
        <f t="shared" si="24"/>
        <v>-555</v>
      </c>
      <c r="P150" s="6">
        <f t="shared" si="32"/>
        <v>0</v>
      </c>
      <c r="Q150" s="7">
        <f t="shared" si="31"/>
        <v>194015.49999999997</v>
      </c>
      <c r="R150" s="44" t="str">
        <f>VLOOKUP(F150,'Set up'!$A$2:$E$70,5,FALSE)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6"/>
        <v>12</v>
      </c>
      <c r="C151" s="5">
        <f t="shared" si="27"/>
        <v>2020</v>
      </c>
      <c r="D151" s="5" t="s">
        <v>217</v>
      </c>
      <c r="E151" s="5" t="str">
        <f>VLOOKUP(F151,'Set up'!$A$2:$C$70,2,FALSE)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up'!$A$2:$C$70,3,FALSE)</f>
        <v>120</v>
      </c>
      <c r="J151" s="5">
        <f>VLOOKUP(F151,'Set up'!$A$2:$D$70,4,FALSE)</f>
        <v>120</v>
      </c>
      <c r="K151" s="4">
        <f t="shared" si="28"/>
        <v>44316</v>
      </c>
      <c r="L151" s="5">
        <f t="shared" si="29"/>
        <v>4</v>
      </c>
      <c r="M151" s="5">
        <f t="shared" si="30"/>
        <v>2021</v>
      </c>
      <c r="N151" s="24">
        <v>7700</v>
      </c>
      <c r="O151" s="6">
        <f t="shared" si="24"/>
        <v>-7700</v>
      </c>
      <c r="P151" s="6">
        <f t="shared" si="32"/>
        <v>0</v>
      </c>
      <c r="Q151" s="7">
        <f t="shared" si="31"/>
        <v>201715.49999999997</v>
      </c>
      <c r="R151" s="44" t="str">
        <f>VLOOKUP(F151,'Set up'!$A$2:$E$70,5,FALSE)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6"/>
        <v>12</v>
      </c>
      <c r="C152" s="5">
        <f t="shared" si="27"/>
        <v>2020</v>
      </c>
      <c r="D152" s="5" t="s">
        <v>217</v>
      </c>
      <c r="E152" s="5" t="str">
        <f>VLOOKUP(F152,'Set up'!$A$2:$C$70,2,FALSE)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up'!$A$2:$C$70,3,FALSE)</f>
        <v>120</v>
      </c>
      <c r="J152" s="5">
        <f>VLOOKUP(F152,'Set up'!$A$2:$D$70,4,FALSE)</f>
        <v>120</v>
      </c>
      <c r="K152" s="4">
        <f t="shared" si="28"/>
        <v>44316</v>
      </c>
      <c r="L152" s="5">
        <f t="shared" si="29"/>
        <v>4</v>
      </c>
      <c r="M152" s="5">
        <f t="shared" si="30"/>
        <v>2021</v>
      </c>
      <c r="N152" s="24">
        <v>1680</v>
      </c>
      <c r="O152" s="6">
        <f t="shared" si="24"/>
        <v>-1680</v>
      </c>
      <c r="P152" s="6">
        <f t="shared" si="32"/>
        <v>0</v>
      </c>
      <c r="Q152" s="7">
        <f t="shared" si="31"/>
        <v>203395.49999999997</v>
      </c>
      <c r="R152" s="44" t="str">
        <f>VLOOKUP(F152,'Set up'!$A$2:$E$70,5,FALSE)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6"/>
        <v>12</v>
      </c>
      <c r="C153" s="5">
        <f t="shared" si="27"/>
        <v>2020</v>
      </c>
      <c r="D153" s="5" t="s">
        <v>217</v>
      </c>
      <c r="E153" s="5" t="str">
        <f>VLOOKUP(F153,'Set up'!$A$2:$C$70,2,FALSE)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up'!$A$2:$C$70,3,FALSE)</f>
        <v>120</v>
      </c>
      <c r="J153" s="5">
        <f>VLOOKUP(F153,'Set up'!$A$2:$D$70,4,FALSE)</f>
        <v>120</v>
      </c>
      <c r="K153" s="4">
        <f t="shared" si="28"/>
        <v>44316</v>
      </c>
      <c r="L153" s="5">
        <f t="shared" si="29"/>
        <v>4</v>
      </c>
      <c r="M153" s="5">
        <f t="shared" si="30"/>
        <v>2021</v>
      </c>
      <c r="N153" s="24">
        <v>550</v>
      </c>
      <c r="O153" s="6">
        <f t="shared" si="24"/>
        <v>-550</v>
      </c>
      <c r="P153" s="6">
        <f t="shared" si="32"/>
        <v>0</v>
      </c>
      <c r="Q153" s="7">
        <f t="shared" si="31"/>
        <v>203945.49999999997</v>
      </c>
      <c r="R153" s="44" t="str">
        <f>VLOOKUP(F153,'Set up'!$A$2:$E$70,5,FALSE)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6"/>
        <v>12</v>
      </c>
      <c r="C154" s="5">
        <f t="shared" si="27"/>
        <v>2020</v>
      </c>
      <c r="D154" s="5" t="s">
        <v>217</v>
      </c>
      <c r="E154" s="5" t="str">
        <f>VLOOKUP(F154,'Set up'!$A$2:$C$70,2,FALSE)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up'!$A$2:$C$70,3,FALSE)</f>
        <v>120</v>
      </c>
      <c r="J154" s="5">
        <f>VLOOKUP(F154,'Set up'!$A$2:$D$70,4,FALSE)</f>
        <v>120</v>
      </c>
      <c r="K154" s="4">
        <f t="shared" si="28"/>
        <v>44316</v>
      </c>
      <c r="L154" s="5">
        <f t="shared" si="29"/>
        <v>4</v>
      </c>
      <c r="M154" s="5">
        <f t="shared" si="30"/>
        <v>2021</v>
      </c>
      <c r="N154" s="24">
        <v>190</v>
      </c>
      <c r="O154" s="6">
        <f t="shared" si="24"/>
        <v>-190</v>
      </c>
      <c r="P154" s="6">
        <f t="shared" si="32"/>
        <v>0</v>
      </c>
      <c r="Q154" s="7">
        <f t="shared" si="31"/>
        <v>204135.49999999997</v>
      </c>
      <c r="R154" s="44" t="str">
        <f>VLOOKUP(F154,'Set up'!$A$2:$E$70,5,FALSE)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6"/>
        <v>1</v>
      </c>
      <c r="C155" s="5">
        <f t="shared" si="27"/>
        <v>2021</v>
      </c>
      <c r="D155" s="5" t="s">
        <v>226</v>
      </c>
      <c r="E155" s="5" t="str">
        <f>VLOOKUP(F155,'Set up'!$A$2:$C$70,2,FALSE)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up'!$A$2:$C$70,3,FALSE)</f>
        <v>Cash</v>
      </c>
      <c r="J155" s="5">
        <f>VLOOKUP(F155,'Set up'!$A$2:$D$70,4,FALSE)</f>
        <v>0</v>
      </c>
      <c r="K155" s="4">
        <f t="shared" si="28"/>
        <v>44200</v>
      </c>
      <c r="L155" s="5">
        <f t="shared" si="29"/>
        <v>1</v>
      </c>
      <c r="M155" s="5">
        <f t="shared" si="30"/>
        <v>2021</v>
      </c>
      <c r="N155" s="24">
        <v>1540</v>
      </c>
      <c r="O155" s="6">
        <f t="shared" ref="O155:O186" si="33">-N155</f>
        <v>-1540</v>
      </c>
      <c r="P155" s="6">
        <f t="shared" si="32"/>
        <v>0</v>
      </c>
      <c r="Q155" s="7">
        <f t="shared" si="31"/>
        <v>205675.49999999997</v>
      </c>
      <c r="R155" s="44" t="str">
        <f>VLOOKUP(F155,'Set up'!$A$2:$E$70,5,FALSE)</f>
        <v>Chq</v>
      </c>
      <c r="S155" s="1" t="s">
        <v>230</v>
      </c>
    </row>
    <row r="156" spans="1:19" x14ac:dyDescent="0.35">
      <c r="A156" s="4">
        <v>44200</v>
      </c>
      <c r="B156" s="5">
        <f t="shared" si="26"/>
        <v>1</v>
      </c>
      <c r="C156" s="5">
        <f t="shared" si="27"/>
        <v>2021</v>
      </c>
      <c r="D156" s="5" t="s">
        <v>226</v>
      </c>
      <c r="E156" s="5" t="str">
        <f>VLOOKUP(F156,'Set up'!$A$2:$C$70,2,FALSE)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up'!$A$2:$C$70,3,FALSE)</f>
        <v>Cash</v>
      </c>
      <c r="J156" s="5">
        <f>VLOOKUP(F156,'Set up'!$A$2:$D$70,4,FALSE)</f>
        <v>0</v>
      </c>
      <c r="K156" s="4">
        <f t="shared" si="28"/>
        <v>44200</v>
      </c>
      <c r="L156" s="5">
        <f t="shared" si="29"/>
        <v>1</v>
      </c>
      <c r="M156" s="5">
        <f t="shared" si="30"/>
        <v>2021</v>
      </c>
      <c r="N156" s="24">
        <v>810</v>
      </c>
      <c r="O156" s="6">
        <f t="shared" si="33"/>
        <v>-810</v>
      </c>
      <c r="P156" s="6">
        <f t="shared" si="32"/>
        <v>0</v>
      </c>
      <c r="Q156" s="7">
        <f t="shared" si="31"/>
        <v>206485.49999999997</v>
      </c>
      <c r="R156" s="44" t="str">
        <f>VLOOKUP(F156,'Set up'!$A$2:$E$70,5,FALSE)</f>
        <v>Chq</v>
      </c>
      <c r="S156" s="1" t="s">
        <v>230</v>
      </c>
    </row>
    <row r="157" spans="1:19" x14ac:dyDescent="0.35">
      <c r="A157" s="4">
        <v>44200</v>
      </c>
      <c r="B157" s="5">
        <f t="shared" si="26"/>
        <v>1</v>
      </c>
      <c r="C157" s="5">
        <f t="shared" si="27"/>
        <v>2021</v>
      </c>
      <c r="D157" s="5" t="s">
        <v>226</v>
      </c>
      <c r="E157" s="5" t="str">
        <f>VLOOKUP(F157,'Set up'!$A$2:$C$70,2,FALSE)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up'!$A$2:$C$70,3,FALSE)</f>
        <v>Cash</v>
      </c>
      <c r="J157" s="5">
        <f>VLOOKUP(F157,'Set up'!$A$2:$D$70,4,FALSE)</f>
        <v>0</v>
      </c>
      <c r="K157" s="4">
        <f t="shared" si="28"/>
        <v>44200</v>
      </c>
      <c r="L157" s="5">
        <f t="shared" si="29"/>
        <v>1</v>
      </c>
      <c r="M157" s="5">
        <f t="shared" si="30"/>
        <v>2021</v>
      </c>
      <c r="N157" s="24">
        <v>405</v>
      </c>
      <c r="O157" s="6">
        <f t="shared" si="33"/>
        <v>-405</v>
      </c>
      <c r="P157" s="6">
        <f t="shared" si="32"/>
        <v>0</v>
      </c>
      <c r="Q157" s="7">
        <f t="shared" si="31"/>
        <v>206890.49999999997</v>
      </c>
      <c r="R157" s="44" t="str">
        <f>VLOOKUP(F157,'Set up'!$A$2:$E$70,5,FALSE)</f>
        <v>Chq</v>
      </c>
      <c r="S157" s="1" t="s">
        <v>230</v>
      </c>
    </row>
    <row r="158" spans="1:19" x14ac:dyDescent="0.35">
      <c r="A158" s="4">
        <v>44200</v>
      </c>
      <c r="B158" s="5">
        <f t="shared" si="26"/>
        <v>1</v>
      </c>
      <c r="C158" s="5">
        <f t="shared" si="27"/>
        <v>2021</v>
      </c>
      <c r="D158" s="5" t="s">
        <v>226</v>
      </c>
      <c r="E158" s="5" t="str">
        <f>VLOOKUP(F158,'Set up'!$A$2:$C$70,2,FALSE)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up'!$A$2:$C$70,3,FALSE)</f>
        <v>Cash</v>
      </c>
      <c r="J158" s="5">
        <f>VLOOKUP(F158,'Set up'!$A$2:$D$70,4,FALSE)</f>
        <v>0</v>
      </c>
      <c r="K158" s="4">
        <f t="shared" si="28"/>
        <v>44200</v>
      </c>
      <c r="L158" s="5">
        <f t="shared" si="29"/>
        <v>1</v>
      </c>
      <c r="M158" s="5">
        <f t="shared" si="30"/>
        <v>2021</v>
      </c>
      <c r="N158" s="24">
        <v>5920</v>
      </c>
      <c r="O158" s="6">
        <f t="shared" si="33"/>
        <v>-5920</v>
      </c>
      <c r="P158" s="6">
        <f t="shared" si="32"/>
        <v>0</v>
      </c>
      <c r="Q158" s="7">
        <f t="shared" si="31"/>
        <v>212810.49999999997</v>
      </c>
      <c r="R158" s="44" t="str">
        <f>VLOOKUP(F158,'Set up'!$A$2:$E$70,5,FALSE)</f>
        <v>Chq</v>
      </c>
      <c r="S158" s="1" t="s">
        <v>230</v>
      </c>
    </row>
    <row r="159" spans="1:19" x14ac:dyDescent="0.35">
      <c r="A159" s="4">
        <v>44200</v>
      </c>
      <c r="B159" s="5">
        <f t="shared" si="26"/>
        <v>1</v>
      </c>
      <c r="C159" s="5">
        <f t="shared" si="27"/>
        <v>2021</v>
      </c>
      <c r="D159" s="5" t="s">
        <v>226</v>
      </c>
      <c r="E159" s="5" t="str">
        <f>VLOOKUP(F159,'Set up'!$A$2:$C$70,2,FALSE)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up'!$A$2:$C$70,3,FALSE)</f>
        <v>Cash</v>
      </c>
      <c r="J159" s="5">
        <f>VLOOKUP(F159,'Set up'!$A$2:$D$70,4,FALSE)</f>
        <v>0</v>
      </c>
      <c r="K159" s="4">
        <f t="shared" si="28"/>
        <v>44200</v>
      </c>
      <c r="L159" s="5">
        <f t="shared" si="29"/>
        <v>1</v>
      </c>
      <c r="M159" s="5">
        <f t="shared" si="30"/>
        <v>2021</v>
      </c>
      <c r="N159" s="24">
        <v>135</v>
      </c>
      <c r="O159" s="6">
        <f t="shared" si="33"/>
        <v>-135</v>
      </c>
      <c r="P159" s="6">
        <f t="shared" si="32"/>
        <v>0</v>
      </c>
      <c r="Q159" s="7">
        <f t="shared" si="31"/>
        <v>212945.49999999997</v>
      </c>
      <c r="R159" s="44" t="str">
        <f>VLOOKUP(F159,'Set up'!$A$2:$E$70,5,FALSE)</f>
        <v>Chq</v>
      </c>
      <c r="S159" s="1" t="s">
        <v>230</v>
      </c>
    </row>
    <row r="160" spans="1:19" x14ac:dyDescent="0.35">
      <c r="A160" s="4">
        <v>44200</v>
      </c>
      <c r="B160" s="5">
        <f t="shared" si="26"/>
        <v>1</v>
      </c>
      <c r="C160" s="5">
        <f t="shared" si="27"/>
        <v>2021</v>
      </c>
      <c r="D160" s="5" t="s">
        <v>226</v>
      </c>
      <c r="E160" s="5" t="str">
        <f>VLOOKUP(F160,'Set up'!$A$2:$C$70,2,FALSE)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up'!$A$2:$C$70,3,FALSE)</f>
        <v>Cash</v>
      </c>
      <c r="J160" s="5">
        <f>VLOOKUP(F160,'Set up'!$A$2:$D$70,4,FALSE)</f>
        <v>0</v>
      </c>
      <c r="K160" s="4">
        <f t="shared" si="28"/>
        <v>44200</v>
      </c>
      <c r="L160" s="5">
        <f t="shared" si="29"/>
        <v>1</v>
      </c>
      <c r="M160" s="5">
        <f t="shared" si="30"/>
        <v>2021</v>
      </c>
      <c r="N160" s="24">
        <v>130</v>
      </c>
      <c r="O160" s="6">
        <f t="shared" si="33"/>
        <v>-130</v>
      </c>
      <c r="P160" s="6">
        <f t="shared" si="32"/>
        <v>0</v>
      </c>
      <c r="Q160" s="7">
        <f t="shared" si="31"/>
        <v>213075.49999999997</v>
      </c>
      <c r="R160" s="44" t="str">
        <f>VLOOKUP(F160,'Set up'!$A$2:$E$70,5,FALSE)</f>
        <v>Chq</v>
      </c>
      <c r="S160" s="1" t="s">
        <v>230</v>
      </c>
    </row>
    <row r="161" spans="1:19" x14ac:dyDescent="0.35">
      <c r="A161" s="4">
        <v>44200</v>
      </c>
      <c r="B161" s="5">
        <f t="shared" si="26"/>
        <v>1</v>
      </c>
      <c r="C161" s="5">
        <f t="shared" si="27"/>
        <v>2021</v>
      </c>
      <c r="D161" s="5" t="s">
        <v>226</v>
      </c>
      <c r="E161" s="5" t="str">
        <f>VLOOKUP(F161,'Set up'!$A$2:$C$70,2,FALSE)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up'!$A$2:$C$70,3,FALSE)</f>
        <v>Cash</v>
      </c>
      <c r="J161" s="5">
        <f>VLOOKUP(F161,'Set up'!$A$2:$D$70,4,FALSE)</f>
        <v>0</v>
      </c>
      <c r="K161" s="4">
        <f t="shared" si="28"/>
        <v>44200</v>
      </c>
      <c r="L161" s="5">
        <f t="shared" si="29"/>
        <v>1</v>
      </c>
      <c r="M161" s="5">
        <f t="shared" si="30"/>
        <v>2021</v>
      </c>
      <c r="N161" s="24">
        <v>380</v>
      </c>
      <c r="O161" s="6">
        <f t="shared" si="33"/>
        <v>-380</v>
      </c>
      <c r="P161" s="6">
        <f t="shared" si="32"/>
        <v>0</v>
      </c>
      <c r="Q161" s="7">
        <f t="shared" si="31"/>
        <v>213455.49999999997</v>
      </c>
      <c r="R161" s="44" t="str">
        <f>VLOOKUP(F161,'Set up'!$A$2:$E$70,5,FALSE)</f>
        <v>Chq</v>
      </c>
      <c r="S161" s="1" t="s">
        <v>230</v>
      </c>
    </row>
    <row r="162" spans="1:19" x14ac:dyDescent="0.35">
      <c r="A162" s="4">
        <v>44200</v>
      </c>
      <c r="B162" s="5">
        <f t="shared" si="26"/>
        <v>1</v>
      </c>
      <c r="C162" s="5">
        <f t="shared" si="27"/>
        <v>2021</v>
      </c>
      <c r="D162" s="5" t="s">
        <v>226</v>
      </c>
      <c r="E162" s="5" t="str">
        <f>VLOOKUP(F162,'Set up'!$A$2:$C$70,2,FALSE)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up'!$A$2:$C$70,3,FALSE)</f>
        <v>Cash</v>
      </c>
      <c r="J162" s="5">
        <f>VLOOKUP(F162,'Set up'!$A$2:$D$70,4,FALSE)</f>
        <v>0</v>
      </c>
      <c r="K162" s="4">
        <f t="shared" si="28"/>
        <v>44200</v>
      </c>
      <c r="L162" s="5">
        <f t="shared" si="29"/>
        <v>1</v>
      </c>
      <c r="M162" s="5">
        <f t="shared" si="30"/>
        <v>2021</v>
      </c>
      <c r="N162" s="24">
        <v>180</v>
      </c>
      <c r="O162" s="6">
        <f t="shared" si="33"/>
        <v>-180</v>
      </c>
      <c r="P162" s="6">
        <f t="shared" si="32"/>
        <v>0</v>
      </c>
      <c r="Q162" s="7">
        <f t="shared" si="31"/>
        <v>213635.49999999997</v>
      </c>
      <c r="R162" s="44" t="str">
        <f>VLOOKUP(F162,'Set up'!$A$2:$E$70,5,FALSE)</f>
        <v>Chq</v>
      </c>
      <c r="S162" s="1" t="s">
        <v>230</v>
      </c>
    </row>
    <row r="163" spans="1:19" x14ac:dyDescent="0.35">
      <c r="A163" s="4">
        <v>44200</v>
      </c>
      <c r="B163" s="5">
        <f t="shared" si="26"/>
        <v>1</v>
      </c>
      <c r="C163" s="5">
        <f t="shared" si="27"/>
        <v>2021</v>
      </c>
      <c r="D163" s="5" t="s">
        <v>226</v>
      </c>
      <c r="E163" s="5" t="str">
        <f>VLOOKUP(F163,'Set up'!$A$2:$C$70,2,FALSE)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up'!$A$2:$C$70,3,FALSE)</f>
        <v>Cash</v>
      </c>
      <c r="J163" s="5">
        <f>VLOOKUP(F163,'Set up'!$A$2:$D$70,4,FALSE)</f>
        <v>0</v>
      </c>
      <c r="K163" s="4">
        <f t="shared" si="28"/>
        <v>44200</v>
      </c>
      <c r="L163" s="5">
        <f t="shared" si="29"/>
        <v>1</v>
      </c>
      <c r="M163" s="5">
        <f t="shared" si="30"/>
        <v>2021</v>
      </c>
      <c r="N163" s="24">
        <v>144</v>
      </c>
      <c r="O163" s="6">
        <f t="shared" si="33"/>
        <v>-144</v>
      </c>
      <c r="P163" s="6">
        <f t="shared" si="32"/>
        <v>0</v>
      </c>
      <c r="Q163" s="7">
        <f t="shared" si="31"/>
        <v>213779.49999999997</v>
      </c>
      <c r="R163" s="44" t="str">
        <f>VLOOKUP(F163,'Set up'!$A$2:$E$70,5,FALSE)</f>
        <v>Chq</v>
      </c>
      <c r="S163" s="1" t="s">
        <v>230</v>
      </c>
    </row>
    <row r="164" spans="1:19" x14ac:dyDescent="0.35">
      <c r="A164" s="4">
        <v>44200</v>
      </c>
      <c r="B164" s="5">
        <f t="shared" si="26"/>
        <v>1</v>
      </c>
      <c r="C164" s="5">
        <f t="shared" si="27"/>
        <v>2021</v>
      </c>
      <c r="D164" s="5" t="s">
        <v>226</v>
      </c>
      <c r="E164" s="5" t="str">
        <f>VLOOKUP(F164,'Set up'!$A$2:$C$70,2,FALSE)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up'!$A$2:$C$70,3,FALSE)</f>
        <v>Cash</v>
      </c>
      <c r="J164" s="5">
        <f>VLOOKUP(F164,'Set up'!$A$2:$D$70,4,FALSE)</f>
        <v>0</v>
      </c>
      <c r="K164" s="4">
        <f t="shared" si="28"/>
        <v>44200</v>
      </c>
      <c r="L164" s="5">
        <f t="shared" si="29"/>
        <v>1</v>
      </c>
      <c r="M164" s="5">
        <f t="shared" si="30"/>
        <v>2021</v>
      </c>
      <c r="N164" s="24">
        <v>360</v>
      </c>
      <c r="O164" s="6">
        <f t="shared" si="33"/>
        <v>-360</v>
      </c>
      <c r="P164" s="6">
        <f t="shared" si="32"/>
        <v>0</v>
      </c>
      <c r="Q164" s="7">
        <f t="shared" si="31"/>
        <v>214139.49999999997</v>
      </c>
      <c r="R164" s="44" t="str">
        <f>VLOOKUP(F164,'Set up'!$A$2:$E$70,5,FALSE)</f>
        <v>Chq</v>
      </c>
      <c r="S164" s="1" t="s">
        <v>230</v>
      </c>
    </row>
    <row r="165" spans="1:19" x14ac:dyDescent="0.35">
      <c r="A165" s="4">
        <v>44200</v>
      </c>
      <c r="B165" s="5">
        <f t="shared" si="26"/>
        <v>1</v>
      </c>
      <c r="C165" s="5">
        <f t="shared" si="27"/>
        <v>2021</v>
      </c>
      <c r="D165" s="5" t="s">
        <v>226</v>
      </c>
      <c r="E165" s="5" t="str">
        <f>VLOOKUP(F165,'Set up'!$A$2:$C$70,2,FALSE)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up'!$A$2:$C$70,3,FALSE)</f>
        <v>Cash</v>
      </c>
      <c r="J165" s="5">
        <f>VLOOKUP(F165,'Set up'!$A$2:$D$70,4,FALSE)</f>
        <v>0</v>
      </c>
      <c r="K165" s="4">
        <f t="shared" si="28"/>
        <v>44200</v>
      </c>
      <c r="L165" s="5">
        <f t="shared" si="29"/>
        <v>1</v>
      </c>
      <c r="M165" s="5">
        <f t="shared" si="30"/>
        <v>2021</v>
      </c>
      <c r="N165" s="24">
        <v>95</v>
      </c>
      <c r="O165" s="6">
        <f t="shared" si="33"/>
        <v>-95</v>
      </c>
      <c r="P165" s="6">
        <f t="shared" si="32"/>
        <v>0</v>
      </c>
      <c r="Q165" s="7">
        <f t="shared" si="31"/>
        <v>214234.49999999997</v>
      </c>
      <c r="R165" s="44" t="str">
        <f>VLOOKUP(F165,'Set up'!$A$2:$E$70,5,FALSE)</f>
        <v>Chq</v>
      </c>
      <c r="S165" s="1" t="s">
        <v>230</v>
      </c>
    </row>
    <row r="166" spans="1:19" x14ac:dyDescent="0.35">
      <c r="A166" s="4">
        <v>44200</v>
      </c>
      <c r="B166" s="5">
        <f t="shared" si="26"/>
        <v>1</v>
      </c>
      <c r="C166" s="5">
        <f t="shared" si="27"/>
        <v>2021</v>
      </c>
      <c r="D166" s="5" t="s">
        <v>226</v>
      </c>
      <c r="E166" s="5" t="str">
        <f>VLOOKUP(F166,'Set up'!$A$2:$C$70,2,FALSE)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up'!$A$2:$C$70,3,FALSE)</f>
        <v>Cash</v>
      </c>
      <c r="J166" s="5">
        <f>VLOOKUP(F166,'Set up'!$A$2:$D$70,4,FALSE)</f>
        <v>0</v>
      </c>
      <c r="K166" s="4">
        <f t="shared" si="28"/>
        <v>44200</v>
      </c>
      <c r="L166" s="5">
        <f t="shared" si="29"/>
        <v>1</v>
      </c>
      <c r="M166" s="5">
        <f t="shared" si="30"/>
        <v>2021</v>
      </c>
      <c r="N166" s="24">
        <v>300</v>
      </c>
      <c r="O166" s="6">
        <f t="shared" si="33"/>
        <v>-300</v>
      </c>
      <c r="P166" s="6">
        <f t="shared" si="32"/>
        <v>0</v>
      </c>
      <c r="Q166" s="7">
        <f t="shared" si="31"/>
        <v>214534.49999999997</v>
      </c>
      <c r="R166" s="44" t="str">
        <f>VLOOKUP(F166,'Set up'!$A$2:$E$70,5,FALSE)</f>
        <v>Chq</v>
      </c>
      <c r="S166" s="1" t="s">
        <v>230</v>
      </c>
    </row>
    <row r="167" spans="1:19" x14ac:dyDescent="0.35">
      <c r="A167" s="4">
        <v>44207</v>
      </c>
      <c r="B167" s="5">
        <f t="shared" si="26"/>
        <v>1</v>
      </c>
      <c r="C167" s="5">
        <f t="shared" si="27"/>
        <v>2021</v>
      </c>
      <c r="D167" s="5" t="s">
        <v>239</v>
      </c>
      <c r="E167" s="5" t="str">
        <f>VLOOKUP(F167,'Set up'!$A$2:$C$70,2,FALSE)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up'!$A$2:$C$70,3,FALSE)</f>
        <v>120</v>
      </c>
      <c r="J167" s="5">
        <f>VLOOKUP(F167,'Set up'!$A$2:$D$70,4,FALSE)</f>
        <v>120</v>
      </c>
      <c r="K167" s="4">
        <f t="shared" si="28"/>
        <v>44327</v>
      </c>
      <c r="L167" s="5">
        <f t="shared" si="29"/>
        <v>5</v>
      </c>
      <c r="M167" s="5">
        <f t="shared" si="30"/>
        <v>2021</v>
      </c>
      <c r="N167" s="41">
        <v>0</v>
      </c>
      <c r="O167" s="42">
        <f t="shared" si="33"/>
        <v>0</v>
      </c>
      <c r="P167" s="42">
        <f t="shared" si="32"/>
        <v>0</v>
      </c>
      <c r="Q167" s="7">
        <f t="shared" si="31"/>
        <v>214534.49999999997</v>
      </c>
      <c r="R167" s="44" t="str">
        <f>VLOOKUP(F167,'Set up'!$A$2:$E$70,5,FALSE)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26"/>
        <v>1</v>
      </c>
      <c r="C168" s="5">
        <f t="shared" si="27"/>
        <v>2021</v>
      </c>
      <c r="D168" s="5" t="s">
        <v>242</v>
      </c>
      <c r="E168" s="5" t="str">
        <f>VLOOKUP(F168,'Set up'!$A$2:$C$70,2,FALSE)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up'!$A$2:$C$70,3,FALSE)</f>
        <v>Cash</v>
      </c>
      <c r="J168" s="5">
        <f>VLOOKUP(F168,'Set up'!$A$2:$D$70,4,FALSE)</f>
        <v>0</v>
      </c>
      <c r="K168" s="4">
        <f t="shared" si="28"/>
        <v>44204</v>
      </c>
      <c r="L168" s="5">
        <f t="shared" si="29"/>
        <v>1</v>
      </c>
      <c r="M168" s="5">
        <f t="shared" si="30"/>
        <v>2021</v>
      </c>
      <c r="N168" s="24">
        <v>49</v>
      </c>
      <c r="O168" s="6">
        <f t="shared" si="33"/>
        <v>-49</v>
      </c>
      <c r="P168" s="6">
        <f t="shared" si="32"/>
        <v>0</v>
      </c>
      <c r="Q168" s="7">
        <f t="shared" si="31"/>
        <v>214583.49999999997</v>
      </c>
      <c r="R168" s="44" t="str">
        <f>VLOOKUP(F168,'Set up'!$A$2:$E$70,5,FALSE)</f>
        <v>Chq</v>
      </c>
      <c r="S168" s="1" t="s">
        <v>249</v>
      </c>
    </row>
    <row r="169" spans="1:19" x14ac:dyDescent="0.35">
      <c r="A169" s="4">
        <v>44205</v>
      </c>
      <c r="B169" s="5">
        <f t="shared" si="26"/>
        <v>1</v>
      </c>
      <c r="C169" s="5">
        <f t="shared" si="27"/>
        <v>2021</v>
      </c>
      <c r="D169" s="5" t="s">
        <v>244</v>
      </c>
      <c r="E169" s="5" t="str">
        <f>VLOOKUP(F169,'Set up'!$A$2:$C$70,2,FALSE)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up'!$A$2:$C$70,3,FALSE)</f>
        <v>45</v>
      </c>
      <c r="J169" s="5">
        <f>VLOOKUP(F169,'Set up'!$A$2:$D$70,4,FALSE)</f>
        <v>45</v>
      </c>
      <c r="K169" s="4">
        <f t="shared" si="28"/>
        <v>44250</v>
      </c>
      <c r="L169" s="5">
        <f t="shared" si="29"/>
        <v>2</v>
      </c>
      <c r="M169" s="5">
        <f t="shared" si="30"/>
        <v>2021</v>
      </c>
      <c r="N169" s="24">
        <v>250</v>
      </c>
      <c r="O169" s="6">
        <f t="shared" si="33"/>
        <v>-250</v>
      </c>
      <c r="P169" s="6">
        <f t="shared" si="32"/>
        <v>0</v>
      </c>
      <c r="Q169" s="7">
        <f t="shared" si="31"/>
        <v>214833.49999999997</v>
      </c>
      <c r="R169" s="44" t="str">
        <f>VLOOKUP(F169,'Set up'!$A$2:$E$70,5,FALSE)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26"/>
        <v>1</v>
      </c>
      <c r="C170" s="5">
        <f t="shared" si="27"/>
        <v>2021</v>
      </c>
      <c r="D170" s="5" t="s">
        <v>244</v>
      </c>
      <c r="E170" s="5" t="str">
        <f>VLOOKUP(F170,'Set up'!$A$2:$C$70,2,FALSE)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up'!$A$2:$C$70,3,FALSE)</f>
        <v>45</v>
      </c>
      <c r="J170" s="5">
        <f>VLOOKUP(F170,'Set up'!$A$2:$D$70,4,FALSE)</f>
        <v>45</v>
      </c>
      <c r="K170" s="4">
        <f t="shared" si="28"/>
        <v>44250</v>
      </c>
      <c r="L170" s="5">
        <f t="shared" si="29"/>
        <v>2</v>
      </c>
      <c r="M170" s="5">
        <f t="shared" si="30"/>
        <v>2021</v>
      </c>
      <c r="N170" s="24">
        <v>90</v>
      </c>
      <c r="O170" s="6">
        <f t="shared" si="33"/>
        <v>-90</v>
      </c>
      <c r="P170" s="6">
        <f t="shared" si="32"/>
        <v>0</v>
      </c>
      <c r="Q170" s="7">
        <f t="shared" si="31"/>
        <v>214923.49999999997</v>
      </c>
      <c r="R170" s="44" t="str">
        <f>VLOOKUP(F170,'Set up'!$A$2:$E$70,5,FALSE)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26"/>
        <v>1</v>
      </c>
      <c r="C171" s="5">
        <f t="shared" si="27"/>
        <v>2021</v>
      </c>
      <c r="D171" s="5" t="s">
        <v>246</v>
      </c>
      <c r="E171" s="5" t="str">
        <f>VLOOKUP(F171,'Set up'!$A$2:$C$70,2,FALSE)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up'!$A$2:$C$70,3,FALSE)</f>
        <v>Cash</v>
      </c>
      <c r="J171" s="5">
        <f>VLOOKUP(F171,'Set up'!$A$2:$D$70,4,FALSE)</f>
        <v>0</v>
      </c>
      <c r="K171" s="4">
        <f t="shared" si="28"/>
        <v>44214</v>
      </c>
      <c r="L171" s="5">
        <f t="shared" si="29"/>
        <v>1</v>
      </c>
      <c r="M171" s="5">
        <f t="shared" si="30"/>
        <v>2021</v>
      </c>
      <c r="N171" s="24">
        <v>472</v>
      </c>
      <c r="O171" s="6">
        <f t="shared" si="33"/>
        <v>-472</v>
      </c>
      <c r="P171" s="6">
        <f t="shared" si="32"/>
        <v>0</v>
      </c>
      <c r="Q171" s="7">
        <f t="shared" si="31"/>
        <v>215395.49999999997</v>
      </c>
      <c r="R171" s="44" t="str">
        <f>VLOOKUP(F171,'Set up'!$A$2:$E$70,5,FALSE)</f>
        <v>Chq</v>
      </c>
      <c r="S171" s="1" t="s">
        <v>249</v>
      </c>
    </row>
    <row r="172" spans="1:19" x14ac:dyDescent="0.35">
      <c r="A172" s="4">
        <v>44214</v>
      </c>
      <c r="B172" s="5">
        <f t="shared" si="26"/>
        <v>1</v>
      </c>
      <c r="C172" s="5">
        <f t="shared" si="27"/>
        <v>2021</v>
      </c>
      <c r="D172" s="5" t="s">
        <v>246</v>
      </c>
      <c r="E172" s="5" t="str">
        <f>VLOOKUP(F172,'Set up'!$A$2:$C$70,2,FALSE)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up'!$A$2:$C$70,3,FALSE)</f>
        <v>Cash</v>
      </c>
      <c r="J172" s="5">
        <f>VLOOKUP(F172,'Set up'!$A$2:$D$70,4,FALSE)</f>
        <v>0</v>
      </c>
      <c r="K172" s="4">
        <f t="shared" si="28"/>
        <v>44214</v>
      </c>
      <c r="L172" s="5">
        <f t="shared" si="29"/>
        <v>1</v>
      </c>
      <c r="M172" s="5">
        <f t="shared" si="30"/>
        <v>2021</v>
      </c>
      <c r="N172" s="24">
        <v>405</v>
      </c>
      <c r="O172" s="6">
        <f t="shared" si="33"/>
        <v>-405</v>
      </c>
      <c r="P172" s="6">
        <f t="shared" si="32"/>
        <v>0</v>
      </c>
      <c r="Q172" s="7">
        <f t="shared" si="31"/>
        <v>215800.49999999997</v>
      </c>
      <c r="R172" s="44" t="str">
        <f>VLOOKUP(F172,'Set up'!$A$2:$E$70,5,FALSE)</f>
        <v>Chq</v>
      </c>
      <c r="S172" s="1" t="s">
        <v>249</v>
      </c>
    </row>
    <row r="173" spans="1:19" x14ac:dyDescent="0.35">
      <c r="A173" s="4">
        <v>44214</v>
      </c>
      <c r="B173" s="5">
        <f t="shared" si="26"/>
        <v>1</v>
      </c>
      <c r="C173" s="5">
        <f t="shared" si="27"/>
        <v>2021</v>
      </c>
      <c r="D173" s="5" t="s">
        <v>246</v>
      </c>
      <c r="E173" s="5" t="str">
        <f>VLOOKUP(F173,'Set up'!$A$2:$C$70,2,FALSE)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up'!$A$2:$C$70,3,FALSE)</f>
        <v>Cash</v>
      </c>
      <c r="J173" s="5">
        <f>VLOOKUP(F173,'Set up'!$A$2:$D$70,4,FALSE)</f>
        <v>0</v>
      </c>
      <c r="K173" s="4">
        <f t="shared" si="28"/>
        <v>44214</v>
      </c>
      <c r="L173" s="5">
        <f t="shared" si="29"/>
        <v>1</v>
      </c>
      <c r="M173" s="5">
        <f t="shared" si="30"/>
        <v>2021</v>
      </c>
      <c r="N173" s="24">
        <v>405</v>
      </c>
      <c r="O173" s="6">
        <f t="shared" si="33"/>
        <v>-405</v>
      </c>
      <c r="P173" s="6">
        <f t="shared" si="32"/>
        <v>0</v>
      </c>
      <c r="Q173" s="7">
        <f t="shared" si="31"/>
        <v>216205.49999999997</v>
      </c>
      <c r="R173" s="44" t="str">
        <f>VLOOKUP(F173,'Set up'!$A$2:$E$70,5,FALSE)</f>
        <v>Chq</v>
      </c>
      <c r="S173" s="1" t="s">
        <v>249</v>
      </c>
    </row>
    <row r="174" spans="1:19" x14ac:dyDescent="0.35">
      <c r="A174" s="4">
        <v>44214</v>
      </c>
      <c r="B174" s="5">
        <f t="shared" si="26"/>
        <v>1</v>
      </c>
      <c r="C174" s="5">
        <f t="shared" si="27"/>
        <v>2021</v>
      </c>
      <c r="D174" s="5" t="s">
        <v>246</v>
      </c>
      <c r="E174" s="5" t="str">
        <f>VLOOKUP(F174,'Set up'!$A$2:$C$70,2,FALSE)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up'!$A$2:$C$70,3,FALSE)</f>
        <v>Cash</v>
      </c>
      <c r="J174" s="5">
        <f>VLOOKUP(F174,'Set up'!$A$2:$D$70,4,FALSE)</f>
        <v>0</v>
      </c>
      <c r="K174" s="4">
        <f t="shared" si="28"/>
        <v>44214</v>
      </c>
      <c r="L174" s="5">
        <f t="shared" si="29"/>
        <v>1</v>
      </c>
      <c r="M174" s="5">
        <f t="shared" si="30"/>
        <v>2021</v>
      </c>
      <c r="N174" s="24">
        <v>130</v>
      </c>
      <c r="O174" s="6">
        <f t="shared" si="33"/>
        <v>-130</v>
      </c>
      <c r="P174" s="6">
        <f t="shared" si="32"/>
        <v>0</v>
      </c>
      <c r="Q174" s="7">
        <f t="shared" si="31"/>
        <v>216335.49999999997</v>
      </c>
      <c r="R174" s="44" t="str">
        <f>VLOOKUP(F174,'Set up'!$A$2:$E$70,5,FALSE)</f>
        <v>Chq</v>
      </c>
      <c r="S174" s="1" t="s">
        <v>249</v>
      </c>
    </row>
    <row r="175" spans="1:19" x14ac:dyDescent="0.35">
      <c r="A175" s="4">
        <v>44214</v>
      </c>
      <c r="B175" s="5">
        <f t="shared" si="26"/>
        <v>1</v>
      </c>
      <c r="C175" s="5">
        <f t="shared" si="27"/>
        <v>2021</v>
      </c>
      <c r="D175" s="5" t="s">
        <v>246</v>
      </c>
      <c r="E175" s="5" t="str">
        <f>VLOOKUP(F175,'Set up'!$A$2:$C$70,2,FALSE)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up'!$A$2:$C$70,3,FALSE)</f>
        <v>Cash</v>
      </c>
      <c r="J175" s="5">
        <f>VLOOKUP(F175,'Set up'!$A$2:$D$70,4,FALSE)</f>
        <v>0</v>
      </c>
      <c r="K175" s="4">
        <f t="shared" si="28"/>
        <v>44214</v>
      </c>
      <c r="L175" s="5">
        <f t="shared" si="29"/>
        <v>1</v>
      </c>
      <c r="M175" s="5">
        <f t="shared" si="30"/>
        <v>2021</v>
      </c>
      <c r="N175" s="24">
        <v>90</v>
      </c>
      <c r="O175" s="6">
        <f t="shared" si="33"/>
        <v>-90</v>
      </c>
      <c r="P175" s="6">
        <f t="shared" si="32"/>
        <v>0</v>
      </c>
      <c r="Q175" s="7">
        <f t="shared" si="31"/>
        <v>216425.49999999997</v>
      </c>
      <c r="R175" s="44" t="str">
        <f>VLOOKUP(F175,'Set up'!$A$2:$E$70,5,FALSE)</f>
        <v>Chq</v>
      </c>
      <c r="S175" s="1" t="s">
        <v>249</v>
      </c>
    </row>
    <row r="176" spans="1:19" x14ac:dyDescent="0.35">
      <c r="A176" s="4">
        <v>44214</v>
      </c>
      <c r="B176" s="5">
        <f t="shared" si="26"/>
        <v>1</v>
      </c>
      <c r="C176" s="5">
        <f t="shared" si="27"/>
        <v>2021</v>
      </c>
      <c r="D176" s="5" t="s">
        <v>246</v>
      </c>
      <c r="E176" s="5" t="str">
        <f>VLOOKUP(F176,'Set up'!$A$2:$C$70,2,FALSE)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up'!$A$2:$C$70,3,FALSE)</f>
        <v>Cash</v>
      </c>
      <c r="J176" s="5">
        <f>VLOOKUP(F176,'Set up'!$A$2:$D$70,4,FALSE)</f>
        <v>0</v>
      </c>
      <c r="K176" s="4">
        <f t="shared" si="28"/>
        <v>44214</v>
      </c>
      <c r="L176" s="5">
        <f t="shared" si="29"/>
        <v>1</v>
      </c>
      <c r="M176" s="5">
        <f t="shared" si="30"/>
        <v>2021</v>
      </c>
      <c r="N176" s="24">
        <v>190</v>
      </c>
      <c r="O176" s="6">
        <f t="shared" si="33"/>
        <v>-190</v>
      </c>
      <c r="P176" s="6">
        <f t="shared" si="32"/>
        <v>0</v>
      </c>
      <c r="Q176" s="7">
        <f t="shared" si="31"/>
        <v>216615.49999999997</v>
      </c>
      <c r="R176" s="44" t="str">
        <f>VLOOKUP(F176,'Set up'!$A$2:$E$70,5,FALSE)</f>
        <v>Chq</v>
      </c>
      <c r="S176" s="1" t="s">
        <v>249</v>
      </c>
    </row>
    <row r="177" spans="1:19" x14ac:dyDescent="0.35">
      <c r="A177" s="4">
        <v>44214</v>
      </c>
      <c r="B177" s="5">
        <f t="shared" si="26"/>
        <v>1</v>
      </c>
      <c r="C177" s="5">
        <f t="shared" si="27"/>
        <v>2021</v>
      </c>
      <c r="D177" s="5" t="s">
        <v>246</v>
      </c>
      <c r="E177" s="5" t="str">
        <f>VLOOKUP(F177,'Set up'!$A$2:$C$70,2,FALSE)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up'!$A$2:$C$70,3,FALSE)</f>
        <v>Cash</v>
      </c>
      <c r="J177" s="5">
        <f>VLOOKUP(F177,'Set up'!$A$2:$D$70,4,FALSE)</f>
        <v>0</v>
      </c>
      <c r="K177" s="4">
        <f t="shared" si="28"/>
        <v>44214</v>
      </c>
      <c r="L177" s="5">
        <f t="shared" si="29"/>
        <v>1</v>
      </c>
      <c r="M177" s="5">
        <f t="shared" si="30"/>
        <v>2021</v>
      </c>
      <c r="N177" s="24">
        <v>1716</v>
      </c>
      <c r="O177" s="6">
        <f t="shared" si="33"/>
        <v>-1716</v>
      </c>
      <c r="P177" s="6">
        <f t="shared" si="32"/>
        <v>0</v>
      </c>
      <c r="Q177" s="7">
        <f t="shared" si="31"/>
        <v>218331.49999999997</v>
      </c>
      <c r="R177" s="44" t="str">
        <f>VLOOKUP(F177,'Set up'!$A$2:$E$70,5,FALSE)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26"/>
        <v>1</v>
      </c>
      <c r="C178" s="5">
        <f t="shared" si="27"/>
        <v>2021</v>
      </c>
      <c r="D178" s="5" t="s">
        <v>250</v>
      </c>
      <c r="E178" s="5" t="str">
        <f>VLOOKUP(F178,'Set up'!$A$2:$C$70,2,FALSE)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up'!$A$2:$C$70,3,FALSE)</f>
        <v>45</v>
      </c>
      <c r="J178" s="5">
        <f>VLOOKUP(F178,'Set up'!$A$2:$D$70,4,FALSE)</f>
        <v>45</v>
      </c>
      <c r="K178" s="4">
        <f t="shared" si="28"/>
        <v>44268</v>
      </c>
      <c r="L178" s="5">
        <f t="shared" si="29"/>
        <v>3</v>
      </c>
      <c r="M178" s="5">
        <f t="shared" si="30"/>
        <v>2021</v>
      </c>
      <c r="N178" s="24">
        <v>5082</v>
      </c>
      <c r="O178" s="6">
        <f t="shared" si="33"/>
        <v>-5082</v>
      </c>
      <c r="P178" s="6">
        <f t="shared" si="32"/>
        <v>0</v>
      </c>
      <c r="Q178" s="7">
        <f t="shared" si="31"/>
        <v>223413.49999999997</v>
      </c>
      <c r="R178" s="44" t="str">
        <f>VLOOKUP(F178,'Set up'!$A$2:$E$70,5,FALSE)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26"/>
        <v>1</v>
      </c>
      <c r="C179" s="5">
        <f t="shared" si="27"/>
        <v>2021</v>
      </c>
      <c r="D179" s="5" t="s">
        <v>250</v>
      </c>
      <c r="E179" s="5" t="str">
        <f>VLOOKUP(F179,'Set up'!$A$2:$C$70,2,FALSE)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up'!$A$2:$C$70,3,FALSE)</f>
        <v>45</v>
      </c>
      <c r="J179" s="5">
        <f>VLOOKUP(F179,'Set up'!$A$2:$D$70,4,FALSE)</f>
        <v>45</v>
      </c>
      <c r="K179" s="4">
        <f t="shared" si="28"/>
        <v>44268</v>
      </c>
      <c r="L179" s="5">
        <f t="shared" si="29"/>
        <v>3</v>
      </c>
      <c r="M179" s="5">
        <f t="shared" si="30"/>
        <v>2021</v>
      </c>
      <c r="N179" s="24">
        <v>250</v>
      </c>
      <c r="O179" s="6">
        <f t="shared" si="33"/>
        <v>-250</v>
      </c>
      <c r="P179" s="6">
        <f t="shared" si="32"/>
        <v>0</v>
      </c>
      <c r="Q179" s="7">
        <f t="shared" si="31"/>
        <v>223663.49999999997</v>
      </c>
      <c r="R179" s="44" t="str">
        <f>VLOOKUP(F179,'Set up'!$A$2:$E$70,5,FALSE)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26"/>
        <v>1</v>
      </c>
      <c r="C180" s="5">
        <f t="shared" si="27"/>
        <v>2021</v>
      </c>
      <c r="D180" s="5" t="s">
        <v>250</v>
      </c>
      <c r="E180" s="5" t="str">
        <f>VLOOKUP(F180,'Set up'!$A$2:$C$70,2,FALSE)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up'!$A$2:$C$70,3,FALSE)</f>
        <v>45</v>
      </c>
      <c r="J180" s="5">
        <f>VLOOKUP(F180,'Set up'!$A$2:$D$70,4,FALSE)</f>
        <v>45</v>
      </c>
      <c r="K180" s="4">
        <f t="shared" si="28"/>
        <v>44268</v>
      </c>
      <c r="L180" s="5">
        <f t="shared" si="29"/>
        <v>3</v>
      </c>
      <c r="M180" s="5">
        <f t="shared" si="30"/>
        <v>2021</v>
      </c>
      <c r="N180" s="24">
        <v>555</v>
      </c>
      <c r="O180" s="6">
        <f t="shared" si="33"/>
        <v>-555</v>
      </c>
      <c r="P180" s="6">
        <f t="shared" si="32"/>
        <v>0</v>
      </c>
      <c r="Q180" s="7">
        <f t="shared" si="31"/>
        <v>224218.49999999997</v>
      </c>
      <c r="R180" s="44" t="str">
        <f>VLOOKUP(F180,'Set up'!$A$2:$E$70,5,FALSE)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26"/>
        <v>1</v>
      </c>
      <c r="C181" s="5">
        <f t="shared" si="27"/>
        <v>2021</v>
      </c>
      <c r="D181" s="5" t="s">
        <v>252</v>
      </c>
      <c r="E181" s="5" t="str">
        <f>VLOOKUP(F181,'Set up'!$A$2:$C$70,2,FALSE)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up'!$A$2:$C$70,3,FALSE)</f>
        <v>Cash</v>
      </c>
      <c r="J181" s="5">
        <f>VLOOKUP(F181,'Set up'!$A$2:$D$70,4,FALSE)</f>
        <v>0</v>
      </c>
      <c r="K181" s="4">
        <f t="shared" si="28"/>
        <v>44225</v>
      </c>
      <c r="L181" s="5">
        <f t="shared" si="29"/>
        <v>1</v>
      </c>
      <c r="M181" s="5">
        <f t="shared" si="30"/>
        <v>2021</v>
      </c>
      <c r="N181" s="24">
        <v>1694</v>
      </c>
      <c r="O181" s="6">
        <f t="shared" si="33"/>
        <v>-1694</v>
      </c>
      <c r="P181" s="6">
        <f t="shared" si="32"/>
        <v>0</v>
      </c>
      <c r="Q181" s="7">
        <f t="shared" si="31"/>
        <v>225912.49999999997</v>
      </c>
      <c r="R181" s="44" t="str">
        <f>VLOOKUP(F181,'Set up'!$A$2:$E$70,5,FALSE)</f>
        <v>Trsf</v>
      </c>
      <c r="S181" s="1" t="s">
        <v>267</v>
      </c>
    </row>
    <row r="182" spans="1:19" x14ac:dyDescent="0.35">
      <c r="A182" s="4">
        <v>44225</v>
      </c>
      <c r="B182" s="5">
        <f t="shared" si="26"/>
        <v>1</v>
      </c>
      <c r="C182" s="5">
        <f t="shared" si="27"/>
        <v>2021</v>
      </c>
      <c r="D182" s="5" t="s">
        <v>252</v>
      </c>
      <c r="E182" s="5" t="str">
        <f>VLOOKUP(F182,'Set up'!$A$2:$C$70,2,FALSE)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up'!$A$2:$C$70,3,FALSE)</f>
        <v>Cash</v>
      </c>
      <c r="J182" s="5">
        <f>VLOOKUP(F182,'Set up'!$A$2:$D$70,4,FALSE)</f>
        <v>0</v>
      </c>
      <c r="K182" s="4">
        <f t="shared" si="28"/>
        <v>44225</v>
      </c>
      <c r="L182" s="5">
        <f t="shared" si="29"/>
        <v>1</v>
      </c>
      <c r="M182" s="5">
        <f t="shared" si="30"/>
        <v>2021</v>
      </c>
      <c r="N182" s="24">
        <v>900</v>
      </c>
      <c r="O182" s="6">
        <f t="shared" si="33"/>
        <v>-900</v>
      </c>
      <c r="P182" s="6">
        <f t="shared" si="32"/>
        <v>0</v>
      </c>
      <c r="Q182" s="7">
        <f t="shared" si="31"/>
        <v>226812.49999999997</v>
      </c>
      <c r="R182" s="44" t="str">
        <f>VLOOKUP(F182,'Set up'!$A$2:$E$70,5,FALSE)</f>
        <v>Trsf</v>
      </c>
      <c r="S182" s="1" t="s">
        <v>267</v>
      </c>
    </row>
    <row r="183" spans="1:19" x14ac:dyDescent="0.35">
      <c r="A183" s="4">
        <v>44225</v>
      </c>
      <c r="B183" s="5">
        <f t="shared" si="26"/>
        <v>1</v>
      </c>
      <c r="C183" s="5">
        <f t="shared" si="27"/>
        <v>2021</v>
      </c>
      <c r="D183" s="5" t="s">
        <v>252</v>
      </c>
      <c r="E183" s="5" t="str">
        <f>VLOOKUP(F183,'Set up'!$A$2:$C$70,2,FALSE)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up'!$A$2:$C$70,3,FALSE)</f>
        <v>Cash</v>
      </c>
      <c r="J183" s="5">
        <f>VLOOKUP(F183,'Set up'!$A$2:$D$70,4,FALSE)</f>
        <v>0</v>
      </c>
      <c r="K183" s="4">
        <f t="shared" si="28"/>
        <v>44225</v>
      </c>
      <c r="L183" s="5">
        <f t="shared" si="29"/>
        <v>1</v>
      </c>
      <c r="M183" s="5">
        <f t="shared" si="30"/>
        <v>2021</v>
      </c>
      <c r="N183" s="24">
        <v>272</v>
      </c>
      <c r="O183" s="6">
        <f t="shared" si="33"/>
        <v>-272</v>
      </c>
      <c r="P183" s="6">
        <f t="shared" si="32"/>
        <v>0</v>
      </c>
      <c r="Q183" s="7">
        <f t="shared" si="31"/>
        <v>227084.49999999997</v>
      </c>
      <c r="R183" s="44" t="str">
        <f>VLOOKUP(F183,'Set up'!$A$2:$E$70,5,FALSE)</f>
        <v>Trsf</v>
      </c>
      <c r="S183" s="1" t="s">
        <v>267</v>
      </c>
    </row>
    <row r="184" spans="1:19" x14ac:dyDescent="0.35">
      <c r="A184" s="4">
        <v>44225</v>
      </c>
      <c r="B184" s="5">
        <f t="shared" si="26"/>
        <v>1</v>
      </c>
      <c r="C184" s="5">
        <f t="shared" si="27"/>
        <v>2021</v>
      </c>
      <c r="D184" s="5" t="s">
        <v>253</v>
      </c>
      <c r="E184" s="5" t="str">
        <f>VLOOKUP(F184,'Set up'!$A$2:$C$70,2,FALSE)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up'!$A$2:$C$70,3,FALSE)</f>
        <v>120</v>
      </c>
      <c r="J184" s="5">
        <f>VLOOKUP(F184,'Set up'!$A$2:$D$70,4,FALSE)</f>
        <v>120</v>
      </c>
      <c r="K184" s="4">
        <f t="shared" si="28"/>
        <v>44345</v>
      </c>
      <c r="L184" s="5">
        <f t="shared" si="29"/>
        <v>5</v>
      </c>
      <c r="M184" s="5">
        <f t="shared" si="30"/>
        <v>2021</v>
      </c>
      <c r="N184" s="24">
        <v>7700</v>
      </c>
      <c r="O184" s="6">
        <f t="shared" si="33"/>
        <v>-7700</v>
      </c>
      <c r="P184" s="6">
        <f t="shared" si="32"/>
        <v>0</v>
      </c>
      <c r="Q184" s="7">
        <f t="shared" si="31"/>
        <v>234784.49999999997</v>
      </c>
      <c r="R184" s="44" t="str">
        <f>VLOOKUP(F184,'Set up'!$A$2:$E$70,5,FALSE)</f>
        <v>Trsf</v>
      </c>
      <c r="S184" s="1" t="s">
        <v>343</v>
      </c>
    </row>
    <row r="185" spans="1:19" x14ac:dyDescent="0.35">
      <c r="A185" s="4">
        <v>44225</v>
      </c>
      <c r="B185" s="5">
        <f t="shared" si="26"/>
        <v>1</v>
      </c>
      <c r="C185" s="5">
        <f t="shared" si="27"/>
        <v>2021</v>
      </c>
      <c r="D185" s="5" t="s">
        <v>253</v>
      </c>
      <c r="E185" s="5" t="str">
        <f>VLOOKUP(F185,'Set up'!$A$2:$C$70,2,FALSE)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up'!$A$2:$C$70,3,FALSE)</f>
        <v>120</v>
      </c>
      <c r="J185" s="5">
        <f>VLOOKUP(F185,'Set up'!$A$2:$D$70,4,FALSE)</f>
        <v>120</v>
      </c>
      <c r="K185" s="4">
        <f t="shared" si="28"/>
        <v>44345</v>
      </c>
      <c r="L185" s="5">
        <f t="shared" si="29"/>
        <v>5</v>
      </c>
      <c r="M185" s="5">
        <f t="shared" si="30"/>
        <v>2021</v>
      </c>
      <c r="N185" s="24">
        <v>1680</v>
      </c>
      <c r="O185" s="6">
        <f t="shared" si="33"/>
        <v>-1680</v>
      </c>
      <c r="P185" s="6">
        <f t="shared" si="32"/>
        <v>0</v>
      </c>
      <c r="Q185" s="7">
        <f t="shared" si="31"/>
        <v>236464.49999999997</v>
      </c>
      <c r="R185" s="44" t="str">
        <f>VLOOKUP(F185,'Set up'!$A$2:$E$70,5,FALSE)</f>
        <v>Trsf</v>
      </c>
      <c r="S185" s="1" t="s">
        <v>343</v>
      </c>
    </row>
    <row r="186" spans="1:19" x14ac:dyDescent="0.35">
      <c r="A186" s="4">
        <v>44225</v>
      </c>
      <c r="B186" s="5">
        <f t="shared" si="26"/>
        <v>1</v>
      </c>
      <c r="C186" s="5">
        <f t="shared" si="27"/>
        <v>2021</v>
      </c>
      <c r="D186" s="5" t="s">
        <v>253</v>
      </c>
      <c r="E186" s="5" t="str">
        <f>VLOOKUP(F186,'Set up'!$A$2:$C$70,2,FALSE)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up'!$A$2:$C$70,3,FALSE)</f>
        <v>120</v>
      </c>
      <c r="J186" s="5">
        <f>VLOOKUP(F186,'Set up'!$A$2:$D$70,4,FALSE)</f>
        <v>120</v>
      </c>
      <c r="K186" s="4">
        <f t="shared" si="28"/>
        <v>44345</v>
      </c>
      <c r="L186" s="5">
        <f t="shared" si="29"/>
        <v>5</v>
      </c>
      <c r="M186" s="5">
        <f t="shared" si="30"/>
        <v>2021</v>
      </c>
      <c r="N186" s="24">
        <v>550</v>
      </c>
      <c r="O186" s="6">
        <f t="shared" si="33"/>
        <v>-550</v>
      </c>
      <c r="P186" s="6">
        <f t="shared" si="32"/>
        <v>0</v>
      </c>
      <c r="Q186" s="7">
        <f t="shared" si="31"/>
        <v>237014.49999999997</v>
      </c>
      <c r="R186" s="44" t="str">
        <f>VLOOKUP(F186,'Set up'!$A$2:$E$70,5,FALSE)</f>
        <v>Trsf</v>
      </c>
      <c r="S186" s="1" t="s">
        <v>343</v>
      </c>
    </row>
    <row r="187" spans="1:19" x14ac:dyDescent="0.35">
      <c r="A187" s="4">
        <v>44225</v>
      </c>
      <c r="B187" s="5">
        <f t="shared" si="26"/>
        <v>1</v>
      </c>
      <c r="C187" s="5">
        <f t="shared" si="27"/>
        <v>2021</v>
      </c>
      <c r="D187" s="5" t="s">
        <v>253</v>
      </c>
      <c r="E187" s="5" t="str">
        <f>VLOOKUP(F187,'Set up'!$A$2:$C$70,2,FALSE)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up'!$A$2:$C$70,3,FALSE)</f>
        <v>120</v>
      </c>
      <c r="J187" s="5">
        <f>VLOOKUP(F187,'Set up'!$A$2:$D$70,4,FALSE)</f>
        <v>120</v>
      </c>
      <c r="K187" s="4">
        <f t="shared" si="28"/>
        <v>44345</v>
      </c>
      <c r="L187" s="5">
        <f t="shared" si="29"/>
        <v>5</v>
      </c>
      <c r="M187" s="5">
        <f t="shared" si="30"/>
        <v>2021</v>
      </c>
      <c r="N187" s="24">
        <v>380</v>
      </c>
      <c r="O187" s="6">
        <f t="shared" ref="O187:O218" si="34">-N187</f>
        <v>-380</v>
      </c>
      <c r="P187" s="6">
        <f t="shared" si="32"/>
        <v>0</v>
      </c>
      <c r="Q187" s="7">
        <f t="shared" si="31"/>
        <v>237394.49999999997</v>
      </c>
      <c r="R187" s="44" t="str">
        <f>VLOOKUP(F187,'Set up'!$A$2:$E$70,5,FALSE)</f>
        <v>Trsf</v>
      </c>
      <c r="S187" s="1" t="s">
        <v>343</v>
      </c>
    </row>
    <row r="188" spans="1:19" x14ac:dyDescent="0.35">
      <c r="A188" s="4">
        <v>44230</v>
      </c>
      <c r="B188" s="5">
        <f t="shared" si="26"/>
        <v>2</v>
      </c>
      <c r="C188" s="5">
        <f t="shared" si="27"/>
        <v>2021</v>
      </c>
      <c r="D188" s="5" t="s">
        <v>256</v>
      </c>
      <c r="E188" s="5" t="str">
        <f>VLOOKUP(F188,'Set up'!$A$2:$C$70,2,FALSE)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up'!$A$2:$C$70,3,FALSE)</f>
        <v>Cash</v>
      </c>
      <c r="J188" s="5">
        <f>VLOOKUP(F188,'Set up'!$A$2:$D$70,4,FALSE)</f>
        <v>0</v>
      </c>
      <c r="K188" s="4">
        <f t="shared" si="28"/>
        <v>44230</v>
      </c>
      <c r="L188" s="5">
        <f t="shared" si="29"/>
        <v>2</v>
      </c>
      <c r="M188" s="5">
        <f t="shared" si="30"/>
        <v>2021</v>
      </c>
      <c r="N188" s="24">
        <v>3344</v>
      </c>
      <c r="O188" s="6">
        <f t="shared" si="34"/>
        <v>-3344</v>
      </c>
      <c r="P188" s="6">
        <f t="shared" si="32"/>
        <v>0</v>
      </c>
      <c r="Q188" s="7">
        <f t="shared" si="31"/>
        <v>240738.49999999997</v>
      </c>
      <c r="R188" s="44" t="str">
        <f>VLOOKUP(F188,'Set up'!$A$2:$E$70,5,FALSE)</f>
        <v>Cash</v>
      </c>
      <c r="S188" s="1" t="s">
        <v>268</v>
      </c>
    </row>
    <row r="189" spans="1:19" x14ac:dyDescent="0.35">
      <c r="A189" s="4">
        <v>44230</v>
      </c>
      <c r="B189" s="5">
        <f t="shared" si="26"/>
        <v>2</v>
      </c>
      <c r="C189" s="5">
        <f t="shared" si="27"/>
        <v>2021</v>
      </c>
      <c r="D189" s="5" t="s">
        <v>256</v>
      </c>
      <c r="E189" s="5" t="str">
        <f>VLOOKUP(F189,'Set up'!$A$2:$C$70,2,FALSE)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up'!$A$2:$C$70,3,FALSE)</f>
        <v>Cash</v>
      </c>
      <c r="J189" s="5">
        <f>VLOOKUP(F189,'Set up'!$A$2:$D$70,4,FALSE)</f>
        <v>0</v>
      </c>
      <c r="K189" s="4">
        <f t="shared" si="28"/>
        <v>44230</v>
      </c>
      <c r="L189" s="5">
        <f t="shared" si="29"/>
        <v>2</v>
      </c>
      <c r="M189" s="5">
        <f t="shared" si="30"/>
        <v>2021</v>
      </c>
      <c r="N189" s="24">
        <v>1125</v>
      </c>
      <c r="O189" s="6">
        <f t="shared" si="34"/>
        <v>-1125</v>
      </c>
      <c r="P189" s="6">
        <f t="shared" si="32"/>
        <v>0</v>
      </c>
      <c r="Q189" s="7">
        <f t="shared" si="31"/>
        <v>241863.49999999997</v>
      </c>
      <c r="R189" s="44" t="str">
        <f>VLOOKUP(F189,'Set up'!$A$2:$E$70,5,FALSE)</f>
        <v>Cash</v>
      </c>
      <c r="S189" s="1" t="s">
        <v>268</v>
      </c>
    </row>
    <row r="190" spans="1:19" x14ac:dyDescent="0.35">
      <c r="A190" s="4">
        <v>44230</v>
      </c>
      <c r="B190" s="5">
        <f t="shared" si="26"/>
        <v>2</v>
      </c>
      <c r="C190" s="5">
        <f t="shared" si="27"/>
        <v>2021</v>
      </c>
      <c r="D190" s="5" t="s">
        <v>256</v>
      </c>
      <c r="E190" s="5" t="str">
        <f>VLOOKUP(F190,'Set up'!$A$2:$C$70,2,FALSE)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up'!$A$2:$C$70,3,FALSE)</f>
        <v>Cash</v>
      </c>
      <c r="J190" s="5">
        <f>VLOOKUP(F190,'Set up'!$A$2:$D$70,4,FALSE)</f>
        <v>0</v>
      </c>
      <c r="K190" s="4">
        <f t="shared" si="28"/>
        <v>44230</v>
      </c>
      <c r="L190" s="5">
        <f t="shared" si="29"/>
        <v>2</v>
      </c>
      <c r="M190" s="5">
        <f t="shared" si="30"/>
        <v>2021</v>
      </c>
      <c r="N190" s="24">
        <v>280</v>
      </c>
      <c r="O190" s="6">
        <f t="shared" si="34"/>
        <v>-280</v>
      </c>
      <c r="P190" s="6">
        <f t="shared" si="32"/>
        <v>0</v>
      </c>
      <c r="Q190" s="7">
        <f t="shared" si="31"/>
        <v>242143.49999999997</v>
      </c>
      <c r="R190" s="44" t="str">
        <f>VLOOKUP(F190,'Set up'!$A$2:$E$70,5,FALSE)</f>
        <v>Cash</v>
      </c>
      <c r="S190" s="1" t="s">
        <v>268</v>
      </c>
    </row>
    <row r="191" spans="1:19" x14ac:dyDescent="0.35">
      <c r="A191" s="4">
        <v>44230</v>
      </c>
      <c r="B191" s="5">
        <f t="shared" si="26"/>
        <v>2</v>
      </c>
      <c r="C191" s="5">
        <f t="shared" si="27"/>
        <v>2021</v>
      </c>
      <c r="D191" s="5" t="s">
        <v>256</v>
      </c>
      <c r="E191" s="5" t="str">
        <f>VLOOKUP(F191,'Set up'!$A$2:$C$70,2,FALSE)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up'!$A$2:$C$70,3,FALSE)</f>
        <v>Cash</v>
      </c>
      <c r="J191" s="5">
        <f>VLOOKUP(F191,'Set up'!$A$2:$D$70,4,FALSE)</f>
        <v>0</v>
      </c>
      <c r="K191" s="4">
        <f t="shared" si="28"/>
        <v>44230</v>
      </c>
      <c r="L191" s="5">
        <f t="shared" si="29"/>
        <v>2</v>
      </c>
      <c r="M191" s="5">
        <f t="shared" si="30"/>
        <v>2021</v>
      </c>
      <c r="N191" s="24">
        <v>195</v>
      </c>
      <c r="O191" s="6">
        <f t="shared" si="34"/>
        <v>-195</v>
      </c>
      <c r="P191" s="6">
        <f t="shared" si="32"/>
        <v>0</v>
      </c>
      <c r="Q191" s="7">
        <f t="shared" si="31"/>
        <v>242338.49999999997</v>
      </c>
      <c r="R191" s="44" t="str">
        <f>VLOOKUP(F191,'Set up'!$A$2:$E$70,5,FALSE)</f>
        <v>Cash</v>
      </c>
      <c r="S191" s="1" t="s">
        <v>268</v>
      </c>
    </row>
    <row r="192" spans="1:19" x14ac:dyDescent="0.35">
      <c r="A192" s="4">
        <v>44230</v>
      </c>
      <c r="B192" s="5">
        <f t="shared" si="26"/>
        <v>2</v>
      </c>
      <c r="C192" s="5">
        <f t="shared" si="27"/>
        <v>2021</v>
      </c>
      <c r="D192" s="5" t="s">
        <v>256</v>
      </c>
      <c r="E192" s="5" t="str">
        <f>VLOOKUP(F192,'Set up'!$A$2:$C$70,2,FALSE)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up'!$A$2:$C$70,3,FALSE)</f>
        <v>Cash</v>
      </c>
      <c r="J192" s="5">
        <f>VLOOKUP(F192,'Set up'!$A$2:$D$70,4,FALSE)</f>
        <v>0</v>
      </c>
      <c r="K192" s="4">
        <f t="shared" si="28"/>
        <v>44230</v>
      </c>
      <c r="L192" s="5">
        <f t="shared" si="29"/>
        <v>2</v>
      </c>
      <c r="M192" s="5">
        <f t="shared" si="30"/>
        <v>2021</v>
      </c>
      <c r="N192" s="24">
        <v>180</v>
      </c>
      <c r="O192" s="6">
        <f t="shared" si="34"/>
        <v>-180</v>
      </c>
      <c r="P192" s="6">
        <f t="shared" si="32"/>
        <v>0</v>
      </c>
      <c r="Q192" s="7">
        <f t="shared" si="31"/>
        <v>242518.49999999997</v>
      </c>
      <c r="R192" s="44" t="str">
        <f>VLOOKUP(F192,'Set up'!$A$2:$E$70,5,FALSE)</f>
        <v>Cash</v>
      </c>
      <c r="S192" s="1" t="s">
        <v>268</v>
      </c>
    </row>
    <row r="193" spans="1:19" x14ac:dyDescent="0.35">
      <c r="A193" s="4">
        <v>44230</v>
      </c>
      <c r="B193" s="5">
        <f t="shared" si="26"/>
        <v>2</v>
      </c>
      <c r="C193" s="5">
        <f t="shared" si="27"/>
        <v>2021</v>
      </c>
      <c r="D193" s="5" t="s">
        <v>256</v>
      </c>
      <c r="E193" s="5" t="str">
        <f>VLOOKUP(F193,'Set up'!$A$2:$C$70,2,FALSE)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up'!$A$2:$C$70,3,FALSE)</f>
        <v>Cash</v>
      </c>
      <c r="J193" s="5">
        <f>VLOOKUP(F193,'Set up'!$A$2:$D$70,4,FALSE)</f>
        <v>0</v>
      </c>
      <c r="K193" s="4">
        <f t="shared" si="28"/>
        <v>44230</v>
      </c>
      <c r="L193" s="5">
        <f t="shared" si="29"/>
        <v>2</v>
      </c>
      <c r="M193" s="5">
        <f t="shared" si="30"/>
        <v>2021</v>
      </c>
      <c r="N193" s="24">
        <v>232</v>
      </c>
      <c r="O193" s="6">
        <f t="shared" si="34"/>
        <v>-232</v>
      </c>
      <c r="P193" s="6">
        <f t="shared" si="32"/>
        <v>0</v>
      </c>
      <c r="Q193" s="7">
        <f t="shared" si="31"/>
        <v>242750.49999999997</v>
      </c>
      <c r="R193" s="44" t="str">
        <f>VLOOKUP(F193,'Set up'!$A$2:$E$70,5,FALSE)</f>
        <v>Cash</v>
      </c>
      <c r="S193" s="1" t="s">
        <v>268</v>
      </c>
    </row>
    <row r="194" spans="1:19" x14ac:dyDescent="0.35">
      <c r="A194" s="4">
        <v>44229</v>
      </c>
      <c r="B194" s="5">
        <f t="shared" si="26"/>
        <v>2</v>
      </c>
      <c r="C194" s="5">
        <f t="shared" si="27"/>
        <v>2021</v>
      </c>
      <c r="D194" s="5" t="s">
        <v>260</v>
      </c>
      <c r="E194" s="5" t="str">
        <f>VLOOKUP(F194,'Set up'!$A$2:$C$70,2,FALSE)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up'!$A$2:$C$70,3,FALSE)</f>
        <v>Cash</v>
      </c>
      <c r="J194" s="5">
        <f>VLOOKUP(F194,'Set up'!$A$2:$D$70,4,FALSE)</f>
        <v>0</v>
      </c>
      <c r="K194" s="4">
        <f t="shared" si="28"/>
        <v>44229</v>
      </c>
      <c r="L194" s="5">
        <f t="shared" si="29"/>
        <v>2</v>
      </c>
      <c r="M194" s="5">
        <f t="shared" si="30"/>
        <v>2021</v>
      </c>
      <c r="N194" s="24">
        <v>1650</v>
      </c>
      <c r="O194" s="6">
        <f t="shared" si="34"/>
        <v>-1650</v>
      </c>
      <c r="P194" s="6">
        <f t="shared" si="32"/>
        <v>0</v>
      </c>
      <c r="Q194" s="7">
        <f t="shared" si="31"/>
        <v>244400.49999999997</v>
      </c>
      <c r="R194" s="44" t="str">
        <f>VLOOKUP(F194,'Set up'!$A$2:$E$70,5,FALSE)</f>
        <v>Chq</v>
      </c>
      <c r="S194" s="1" t="s">
        <v>269</v>
      </c>
    </row>
    <row r="195" spans="1:19" x14ac:dyDescent="0.35">
      <c r="A195" s="4">
        <v>44229</v>
      </c>
      <c r="B195" s="5">
        <f t="shared" ref="B195:B258" si="35">MONTH(A195)</f>
        <v>2</v>
      </c>
      <c r="C195" s="5">
        <f t="shared" ref="C195:C258" si="36">YEAR(A195)</f>
        <v>2021</v>
      </c>
      <c r="D195" s="5" t="s">
        <v>260</v>
      </c>
      <c r="E195" s="5" t="str">
        <f>VLOOKUP(F195,'Set up'!$A$2:$C$70,2,FALSE)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up'!$A$2:$C$70,3,FALSE)</f>
        <v>Cash</v>
      </c>
      <c r="J195" s="5">
        <f>VLOOKUP(F195,'Set up'!$A$2:$D$70,4,FALSE)</f>
        <v>0</v>
      </c>
      <c r="K195" s="4">
        <f t="shared" ref="K195:K258" si="37">A195+J195</f>
        <v>44229</v>
      </c>
      <c r="L195" s="5">
        <f t="shared" ref="L195:L258" si="38">MONTH(K195)</f>
        <v>2</v>
      </c>
      <c r="M195" s="5">
        <f t="shared" ref="M195:M258" si="39">YEAR(K195)</f>
        <v>2021</v>
      </c>
      <c r="N195" s="24">
        <v>100</v>
      </c>
      <c r="O195" s="6">
        <f t="shared" si="34"/>
        <v>-100</v>
      </c>
      <c r="P195" s="6">
        <f t="shared" si="32"/>
        <v>0</v>
      </c>
      <c r="Q195" s="7">
        <f t="shared" ref="Q195:Q258" si="40">SUM(Q194+N195)</f>
        <v>244500.49999999997</v>
      </c>
      <c r="R195" s="44" t="str">
        <f>VLOOKUP(F195,'Set up'!$A$2:$E$70,5,FALSE)</f>
        <v>Chq</v>
      </c>
      <c r="S195" s="1" t="s">
        <v>269</v>
      </c>
    </row>
    <row r="196" spans="1:19" x14ac:dyDescent="0.35">
      <c r="A196" s="4">
        <v>44233</v>
      </c>
      <c r="B196" s="5">
        <f t="shared" si="35"/>
        <v>2</v>
      </c>
      <c r="C196" s="5">
        <f t="shared" si="36"/>
        <v>2021</v>
      </c>
      <c r="D196" s="5" t="s">
        <v>261</v>
      </c>
      <c r="E196" s="5" t="str">
        <f>VLOOKUP(F196,'Set up'!$A$2:$C$70,2,FALSE)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up'!$A$2:$C$70,3,FALSE)</f>
        <v>Cash</v>
      </c>
      <c r="J196" s="5">
        <f>VLOOKUP(F196,'Set up'!$A$2:$D$70,4,FALSE)</f>
        <v>0</v>
      </c>
      <c r="K196" s="4">
        <f t="shared" si="37"/>
        <v>44233</v>
      </c>
      <c r="L196" s="5">
        <f t="shared" si="38"/>
        <v>2</v>
      </c>
      <c r="M196" s="5">
        <f t="shared" si="39"/>
        <v>2021</v>
      </c>
      <c r="N196" s="24">
        <v>130</v>
      </c>
      <c r="O196" s="6">
        <f t="shared" si="34"/>
        <v>-130</v>
      </c>
      <c r="P196" s="6">
        <f t="shared" si="32"/>
        <v>0</v>
      </c>
      <c r="Q196" s="7">
        <f t="shared" si="40"/>
        <v>244630.49999999997</v>
      </c>
      <c r="R196" s="44" t="str">
        <f>VLOOKUP(F196,'Set up'!$A$2:$E$70,5,FALSE)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5"/>
        <v>2</v>
      </c>
      <c r="C197" s="5">
        <f t="shared" si="36"/>
        <v>2021</v>
      </c>
      <c r="D197" s="5" t="s">
        <v>265</v>
      </c>
      <c r="E197" s="5" t="str">
        <f>VLOOKUP(F197,'Set up'!$A$2:$C$70,2,FALSE)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up'!$A$2:$C$70,3,FALSE)</f>
        <v>Cash</v>
      </c>
      <c r="J197" s="5">
        <f>VLOOKUP(F197,'Set up'!$A$2:$D$70,4,FALSE)</f>
        <v>0</v>
      </c>
      <c r="K197" s="4">
        <f t="shared" si="37"/>
        <v>44236</v>
      </c>
      <c r="L197" s="5">
        <f t="shared" si="38"/>
        <v>2</v>
      </c>
      <c r="M197" s="5">
        <f t="shared" si="39"/>
        <v>2021</v>
      </c>
      <c r="N197" s="24">
        <v>380</v>
      </c>
      <c r="O197" s="6">
        <f t="shared" si="34"/>
        <v>-380</v>
      </c>
      <c r="P197" s="6">
        <f t="shared" si="32"/>
        <v>0</v>
      </c>
      <c r="Q197" s="7">
        <f t="shared" si="40"/>
        <v>245010.49999999997</v>
      </c>
      <c r="R197" s="44" t="str">
        <f>VLOOKUP(F197,'Set up'!$A$2:$E$70,5,FALSE)</f>
        <v>Chq</v>
      </c>
      <c r="S197" s="1" t="s">
        <v>270</v>
      </c>
    </row>
    <row r="198" spans="1:19" x14ac:dyDescent="0.35">
      <c r="A198" s="4">
        <v>44236</v>
      </c>
      <c r="B198" s="5">
        <f t="shared" si="35"/>
        <v>2</v>
      </c>
      <c r="C198" s="5">
        <f t="shared" si="36"/>
        <v>2021</v>
      </c>
      <c r="D198" s="5" t="s">
        <v>265</v>
      </c>
      <c r="E198" s="5" t="str">
        <f>VLOOKUP(F198,'Set up'!$A$2:$C$70,2,FALSE)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up'!$A$2:$C$70,3,FALSE)</f>
        <v>Cash</v>
      </c>
      <c r="J198" s="5">
        <f>VLOOKUP(F198,'Set up'!$A$2:$D$70,4,FALSE)</f>
        <v>0</v>
      </c>
      <c r="K198" s="4">
        <f t="shared" si="37"/>
        <v>44236</v>
      </c>
      <c r="L198" s="5">
        <f t="shared" si="38"/>
        <v>2</v>
      </c>
      <c r="M198" s="5">
        <f t="shared" si="39"/>
        <v>2021</v>
      </c>
      <c r="N198" s="24">
        <v>472</v>
      </c>
      <c r="O198" s="6">
        <f t="shared" si="34"/>
        <v>-472</v>
      </c>
      <c r="P198" s="6">
        <f t="shared" si="32"/>
        <v>0</v>
      </c>
      <c r="Q198" s="7">
        <f t="shared" si="40"/>
        <v>245482.49999999997</v>
      </c>
      <c r="R198" s="44" t="str">
        <f>VLOOKUP(F198,'Set up'!$A$2:$E$70,5,FALSE)</f>
        <v>Chq</v>
      </c>
      <c r="S198" s="1" t="s">
        <v>270</v>
      </c>
    </row>
    <row r="199" spans="1:19" x14ac:dyDescent="0.35">
      <c r="A199" s="4">
        <v>44236</v>
      </c>
      <c r="B199" s="5">
        <f t="shared" si="35"/>
        <v>2</v>
      </c>
      <c r="C199" s="5">
        <f t="shared" si="36"/>
        <v>2021</v>
      </c>
      <c r="D199" s="5" t="s">
        <v>265</v>
      </c>
      <c r="E199" s="5" t="str">
        <f>VLOOKUP(F199,'Set up'!$A$2:$C$70,2,FALSE)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up'!$A$2:$C$70,3,FALSE)</f>
        <v>Cash</v>
      </c>
      <c r="J199" s="5">
        <f>VLOOKUP(F199,'Set up'!$A$2:$D$70,4,FALSE)</f>
        <v>0</v>
      </c>
      <c r="K199" s="4">
        <f t="shared" si="37"/>
        <v>44236</v>
      </c>
      <c r="L199" s="5">
        <f t="shared" si="38"/>
        <v>2</v>
      </c>
      <c r="M199" s="5">
        <f t="shared" si="39"/>
        <v>2021</v>
      </c>
      <c r="N199" s="24">
        <v>1716</v>
      </c>
      <c r="O199" s="6">
        <f t="shared" si="34"/>
        <v>-1716</v>
      </c>
      <c r="P199" s="6">
        <f t="shared" si="32"/>
        <v>0</v>
      </c>
      <c r="Q199" s="7">
        <f t="shared" si="40"/>
        <v>247198.49999999997</v>
      </c>
      <c r="R199" s="44" t="str">
        <f>VLOOKUP(F199,'Set up'!$A$2:$E$70,5,FALSE)</f>
        <v>Chq</v>
      </c>
      <c r="S199" s="1" t="s">
        <v>270</v>
      </c>
    </row>
    <row r="200" spans="1:19" x14ac:dyDescent="0.35">
      <c r="A200" s="4">
        <v>44236</v>
      </c>
      <c r="B200" s="5">
        <f t="shared" si="35"/>
        <v>2</v>
      </c>
      <c r="C200" s="5">
        <f t="shared" si="36"/>
        <v>2021</v>
      </c>
      <c r="D200" s="5" t="s">
        <v>265</v>
      </c>
      <c r="E200" s="5" t="str">
        <f>VLOOKUP(F200,'Set up'!$A$2:$C$70,2,FALSE)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up'!$A$2:$C$70,3,FALSE)</f>
        <v>Cash</v>
      </c>
      <c r="J200" s="5">
        <f>VLOOKUP(F200,'Set up'!$A$2:$D$70,4,FALSE)</f>
        <v>0</v>
      </c>
      <c r="K200" s="4">
        <f t="shared" si="37"/>
        <v>44236</v>
      </c>
      <c r="L200" s="5">
        <f t="shared" si="38"/>
        <v>2</v>
      </c>
      <c r="M200" s="5">
        <f t="shared" si="39"/>
        <v>2021</v>
      </c>
      <c r="N200" s="24">
        <v>405</v>
      </c>
      <c r="O200" s="6">
        <f t="shared" si="34"/>
        <v>-405</v>
      </c>
      <c r="P200" s="6">
        <f t="shared" si="32"/>
        <v>0</v>
      </c>
      <c r="Q200" s="7">
        <f t="shared" si="40"/>
        <v>247603.49999999997</v>
      </c>
      <c r="R200" s="44" t="str">
        <f>VLOOKUP(F200,'Set up'!$A$2:$E$70,5,FALSE)</f>
        <v>Chq</v>
      </c>
      <c r="S200" s="1" t="s">
        <v>270</v>
      </c>
    </row>
    <row r="201" spans="1:19" x14ac:dyDescent="0.35">
      <c r="A201" s="4">
        <v>44236</v>
      </c>
      <c r="B201" s="5">
        <f t="shared" si="35"/>
        <v>2</v>
      </c>
      <c r="C201" s="5">
        <f t="shared" si="36"/>
        <v>2021</v>
      </c>
      <c r="D201" s="5" t="s">
        <v>265</v>
      </c>
      <c r="E201" s="5" t="str">
        <f>VLOOKUP(F201,'Set up'!$A$2:$C$70,2,FALSE)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up'!$A$2:$C$70,3,FALSE)</f>
        <v>Cash</v>
      </c>
      <c r="J201" s="5">
        <f>VLOOKUP(F201,'Set up'!$A$2:$D$70,4,FALSE)</f>
        <v>0</v>
      </c>
      <c r="K201" s="4">
        <f t="shared" si="37"/>
        <v>44236</v>
      </c>
      <c r="L201" s="5">
        <f t="shared" si="38"/>
        <v>2</v>
      </c>
      <c r="M201" s="5">
        <f t="shared" si="39"/>
        <v>2021</v>
      </c>
      <c r="N201" s="24">
        <v>95</v>
      </c>
      <c r="O201" s="6">
        <f t="shared" si="34"/>
        <v>-95</v>
      </c>
      <c r="P201" s="6">
        <f t="shared" si="32"/>
        <v>0</v>
      </c>
      <c r="Q201" s="7">
        <f t="shared" si="40"/>
        <v>247698.49999999997</v>
      </c>
      <c r="R201" s="44" t="str">
        <f>VLOOKUP(F201,'Set up'!$A$2:$E$70,5,FALSE)</f>
        <v>Chq</v>
      </c>
      <c r="S201" s="1" t="s">
        <v>271</v>
      </c>
    </row>
    <row r="202" spans="1:19" x14ac:dyDescent="0.35">
      <c r="A202" s="4">
        <v>44236</v>
      </c>
      <c r="B202" s="5">
        <f t="shared" si="35"/>
        <v>2</v>
      </c>
      <c r="C202" s="5">
        <f t="shared" si="36"/>
        <v>2021</v>
      </c>
      <c r="D202" s="5" t="s">
        <v>265</v>
      </c>
      <c r="E202" s="5" t="str">
        <f>VLOOKUP(F202,'Set up'!$A$2:$C$70,2,FALSE)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up'!$A$2:$C$70,3,FALSE)</f>
        <v>Cash</v>
      </c>
      <c r="J202" s="5">
        <f>VLOOKUP(F202,'Set up'!$A$2:$D$70,4,FALSE)</f>
        <v>0</v>
      </c>
      <c r="K202" s="4">
        <f t="shared" si="37"/>
        <v>44236</v>
      </c>
      <c r="L202" s="5">
        <f t="shared" si="38"/>
        <v>2</v>
      </c>
      <c r="M202" s="5">
        <f t="shared" si="39"/>
        <v>2021</v>
      </c>
      <c r="N202" s="24">
        <v>130</v>
      </c>
      <c r="O202" s="6">
        <f t="shared" si="34"/>
        <v>-130</v>
      </c>
      <c r="P202" s="6">
        <f t="shared" si="32"/>
        <v>0</v>
      </c>
      <c r="Q202" s="7">
        <f t="shared" si="40"/>
        <v>247828.49999999997</v>
      </c>
      <c r="R202" s="44" t="str">
        <f>VLOOKUP(F202,'Set up'!$A$2:$E$70,5,FALSE)</f>
        <v>Chq</v>
      </c>
      <c r="S202" s="1" t="s">
        <v>271</v>
      </c>
    </row>
    <row r="203" spans="1:19" x14ac:dyDescent="0.35">
      <c r="A203" s="4">
        <v>44244</v>
      </c>
      <c r="B203" s="5">
        <f t="shared" si="35"/>
        <v>2</v>
      </c>
      <c r="C203" s="5">
        <f t="shared" si="36"/>
        <v>2021</v>
      </c>
      <c r="D203" s="5" t="s">
        <v>266</v>
      </c>
      <c r="E203" s="5" t="str">
        <f>VLOOKUP(F203,'Set up'!$A$2:$C$70,2,FALSE)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up'!$A$2:$C$70,3,FALSE)</f>
        <v>Cash</v>
      </c>
      <c r="J203" s="5">
        <f>VLOOKUP(F203,'Set up'!$A$2:$D$70,4,FALSE)</f>
        <v>0</v>
      </c>
      <c r="K203" s="4">
        <f t="shared" si="37"/>
        <v>44244</v>
      </c>
      <c r="L203" s="5">
        <f t="shared" si="38"/>
        <v>2</v>
      </c>
      <c r="M203" s="5">
        <f t="shared" si="39"/>
        <v>2021</v>
      </c>
      <c r="N203" s="24">
        <v>225</v>
      </c>
      <c r="O203" s="6">
        <f t="shared" si="34"/>
        <v>-225</v>
      </c>
      <c r="P203" s="6">
        <f t="shared" si="32"/>
        <v>0</v>
      </c>
      <c r="Q203" s="7">
        <f t="shared" si="40"/>
        <v>248053.49999999997</v>
      </c>
      <c r="R203" s="44" t="str">
        <f>VLOOKUP(F203,'Set up'!$A$2:$E$70,5,FALSE)</f>
        <v>Chq</v>
      </c>
    </row>
    <row r="204" spans="1:19" x14ac:dyDescent="0.35">
      <c r="A204" s="4">
        <v>44246</v>
      </c>
      <c r="B204" s="5">
        <f t="shared" si="35"/>
        <v>2</v>
      </c>
      <c r="C204" s="5">
        <f t="shared" si="36"/>
        <v>2021</v>
      </c>
      <c r="D204" s="5" t="s">
        <v>273</v>
      </c>
      <c r="E204" s="5" t="str">
        <f>VLOOKUP(F204,'Set up'!$A$2:$C$70,2,FALSE)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up'!$A$2:$C$70,3,FALSE)</f>
        <v>Cash</v>
      </c>
      <c r="J204" s="5">
        <f>VLOOKUP(F204,'Set up'!$A$2:$D$70,4,FALSE)</f>
        <v>0</v>
      </c>
      <c r="K204" s="4">
        <f t="shared" si="37"/>
        <v>44246</v>
      </c>
      <c r="L204" s="5">
        <f t="shared" si="38"/>
        <v>2</v>
      </c>
      <c r="M204" s="5">
        <f t="shared" si="39"/>
        <v>2021</v>
      </c>
      <c r="N204" s="24">
        <v>1694</v>
      </c>
      <c r="O204" s="6">
        <f t="shared" si="34"/>
        <v>-1694</v>
      </c>
      <c r="P204" s="6">
        <f t="shared" si="32"/>
        <v>0</v>
      </c>
      <c r="Q204" s="7">
        <f t="shared" si="40"/>
        <v>249747.49999999997</v>
      </c>
      <c r="R204" s="44" t="str">
        <f>VLOOKUP(F204,'Set up'!$A$2:$E$70,5,FALSE)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5"/>
        <v>2</v>
      </c>
      <c r="C205" s="5">
        <f t="shared" si="36"/>
        <v>2021</v>
      </c>
      <c r="D205" s="5" t="s">
        <v>274</v>
      </c>
      <c r="E205" s="5" t="str">
        <f>VLOOKUP(F205,'Set up'!$A$2:$C$70,2,FALSE)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up'!$A$2:$C$70,3,FALSE)</f>
        <v>120</v>
      </c>
      <c r="J205" s="5">
        <f>VLOOKUP(F205,'Set up'!$A$2:$D$70,4,FALSE)</f>
        <v>120</v>
      </c>
      <c r="K205" s="4">
        <f t="shared" si="37"/>
        <v>44371</v>
      </c>
      <c r="L205" s="5">
        <f t="shared" si="38"/>
        <v>6</v>
      </c>
      <c r="M205" s="5">
        <f t="shared" si="39"/>
        <v>2021</v>
      </c>
      <c r="N205" s="24">
        <v>7370</v>
      </c>
      <c r="O205" s="6">
        <f t="shared" si="34"/>
        <v>-7370</v>
      </c>
      <c r="P205" s="6">
        <f t="shared" si="32"/>
        <v>0</v>
      </c>
      <c r="Q205" s="7">
        <f t="shared" si="40"/>
        <v>257117.49999999997</v>
      </c>
      <c r="R205" s="44" t="str">
        <f>VLOOKUP(F205,'Set up'!$A$2:$E$70,5,FALSE)</f>
        <v>Chq</v>
      </c>
      <c r="S205" s="1" t="s">
        <v>385</v>
      </c>
    </row>
    <row r="206" spans="1:19" x14ac:dyDescent="0.35">
      <c r="A206" s="4">
        <v>44251</v>
      </c>
      <c r="B206" s="5">
        <f t="shared" si="35"/>
        <v>2</v>
      </c>
      <c r="C206" s="5">
        <f t="shared" si="36"/>
        <v>2021</v>
      </c>
      <c r="D206" s="5" t="s">
        <v>274</v>
      </c>
      <c r="E206" s="5" t="str">
        <f>VLOOKUP(F206,'Set up'!$A$2:$C$70,2,FALSE)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up'!$A$2:$C$70,3,FALSE)</f>
        <v>120</v>
      </c>
      <c r="J206" s="5">
        <f>VLOOKUP(F206,'Set up'!$A$2:$D$70,4,FALSE)</f>
        <v>120</v>
      </c>
      <c r="K206" s="4">
        <f t="shared" si="37"/>
        <v>44371</v>
      </c>
      <c r="L206" s="5">
        <f t="shared" si="38"/>
        <v>6</v>
      </c>
      <c r="M206" s="5">
        <f t="shared" si="39"/>
        <v>2021</v>
      </c>
      <c r="N206" s="24">
        <v>1069.2</v>
      </c>
      <c r="O206" s="6">
        <f t="shared" si="34"/>
        <v>-1069.2</v>
      </c>
      <c r="P206" s="6">
        <f t="shared" si="32"/>
        <v>0</v>
      </c>
      <c r="Q206" s="7">
        <f t="shared" si="40"/>
        <v>258186.69999999998</v>
      </c>
      <c r="R206" s="44" t="str">
        <f>VLOOKUP(F206,'Set up'!$A$2:$E$70,5,FALSE)</f>
        <v>Chq</v>
      </c>
      <c r="S206" s="1" t="s">
        <v>385</v>
      </c>
    </row>
    <row r="207" spans="1:19" x14ac:dyDescent="0.35">
      <c r="A207" s="4">
        <v>44251</v>
      </c>
      <c r="B207" s="5">
        <f t="shared" si="35"/>
        <v>2</v>
      </c>
      <c r="C207" s="5">
        <f t="shared" si="36"/>
        <v>2021</v>
      </c>
      <c r="D207" s="5" t="s">
        <v>274</v>
      </c>
      <c r="E207" s="5" t="str">
        <f>VLOOKUP(F207,'Set up'!$A$2:$C$70,2,FALSE)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up'!$A$2:$C$70,3,FALSE)</f>
        <v>120</v>
      </c>
      <c r="J207" s="5">
        <f>VLOOKUP(F207,'Set up'!$A$2:$D$70,4,FALSE)</f>
        <v>120</v>
      </c>
      <c r="K207" s="4">
        <f t="shared" si="37"/>
        <v>44371</v>
      </c>
      <c r="L207" s="5">
        <f t="shared" si="38"/>
        <v>6</v>
      </c>
      <c r="M207" s="5">
        <f t="shared" si="39"/>
        <v>2021</v>
      </c>
      <c r="N207" s="24">
        <v>360</v>
      </c>
      <c r="O207" s="6">
        <f t="shared" si="34"/>
        <v>-360</v>
      </c>
      <c r="P207" s="6">
        <f t="shared" si="32"/>
        <v>0</v>
      </c>
      <c r="Q207" s="7">
        <f t="shared" si="40"/>
        <v>258546.69999999998</v>
      </c>
      <c r="R207" s="44" t="str">
        <f>VLOOKUP(F207,'Set up'!$A$2:$E$70,5,FALSE)</f>
        <v>Chq</v>
      </c>
      <c r="S207" s="1" t="s">
        <v>385</v>
      </c>
    </row>
    <row r="208" spans="1:19" x14ac:dyDescent="0.35">
      <c r="A208" s="4">
        <v>44251</v>
      </c>
      <c r="B208" s="5">
        <f t="shared" si="35"/>
        <v>2</v>
      </c>
      <c r="C208" s="5">
        <f t="shared" si="36"/>
        <v>2021</v>
      </c>
      <c r="D208" s="5" t="s">
        <v>274</v>
      </c>
      <c r="E208" s="5" t="str">
        <f>VLOOKUP(F208,'Set up'!$A$2:$C$70,2,FALSE)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up'!$A$2:$C$70,3,FALSE)</f>
        <v>120</v>
      </c>
      <c r="J208" s="5">
        <f>VLOOKUP(F208,'Set up'!$A$2:$D$70,4,FALSE)</f>
        <v>120</v>
      </c>
      <c r="K208" s="4">
        <f t="shared" si="37"/>
        <v>44371</v>
      </c>
      <c r="L208" s="5">
        <f t="shared" si="38"/>
        <v>6</v>
      </c>
      <c r="M208" s="5">
        <f t="shared" si="39"/>
        <v>2021</v>
      </c>
      <c r="N208" s="24">
        <v>312</v>
      </c>
      <c r="O208" s="6">
        <f t="shared" si="34"/>
        <v>-312</v>
      </c>
      <c r="P208" s="6">
        <f t="shared" si="32"/>
        <v>0</v>
      </c>
      <c r="Q208" s="7">
        <f t="shared" si="40"/>
        <v>258858.69999999998</v>
      </c>
      <c r="R208" s="44" t="str">
        <f>VLOOKUP(F208,'Set up'!$A$2:$E$70,5,FALSE)</f>
        <v>Chq</v>
      </c>
      <c r="S208" s="1" t="s">
        <v>385</v>
      </c>
    </row>
    <row r="209" spans="1:19" x14ac:dyDescent="0.35">
      <c r="A209" s="4">
        <v>44250</v>
      </c>
      <c r="B209" s="5">
        <f t="shared" si="35"/>
        <v>2</v>
      </c>
      <c r="C209" s="5">
        <f t="shared" si="36"/>
        <v>2021</v>
      </c>
      <c r="D209" s="5" t="s">
        <v>275</v>
      </c>
      <c r="E209" s="5" t="str">
        <f>VLOOKUP(F209,'Set up'!$A$2:$C$70,2,FALSE)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up'!$A$2:$C$70,3,FALSE)</f>
        <v>Cash</v>
      </c>
      <c r="J209" s="5">
        <f>VLOOKUP(F209,'Set up'!$A$2:$D$70,4,FALSE)</f>
        <v>0</v>
      </c>
      <c r="K209" s="4">
        <f t="shared" si="37"/>
        <v>44250</v>
      </c>
      <c r="L209" s="5">
        <f t="shared" si="38"/>
        <v>2</v>
      </c>
      <c r="M209" s="5">
        <f t="shared" si="39"/>
        <v>2021</v>
      </c>
      <c r="N209" s="24">
        <v>920</v>
      </c>
      <c r="O209" s="6">
        <f t="shared" si="34"/>
        <v>-920</v>
      </c>
      <c r="P209" s="6">
        <f t="shared" si="32"/>
        <v>0</v>
      </c>
      <c r="Q209" s="7">
        <f t="shared" si="40"/>
        <v>259778.69999999998</v>
      </c>
      <c r="R209" s="44" t="str">
        <f>VLOOKUP(F209,'Set up'!$A$2:$E$70,5,FALSE)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5"/>
        <v>2</v>
      </c>
      <c r="C210" s="5">
        <f t="shared" si="36"/>
        <v>2021</v>
      </c>
      <c r="D210" s="5" t="s">
        <v>275</v>
      </c>
      <c r="E210" s="5" t="str">
        <f>VLOOKUP(F210,'Set up'!$A$2:$C$70,2,FALSE)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up'!$A$2:$C$70,3,FALSE)</f>
        <v>Cash</v>
      </c>
      <c r="J210" s="5">
        <f>VLOOKUP(F210,'Set up'!$A$2:$D$70,4,FALSE)</f>
        <v>0</v>
      </c>
      <c r="K210" s="4">
        <f t="shared" si="37"/>
        <v>44250</v>
      </c>
      <c r="L210" s="5">
        <f t="shared" si="38"/>
        <v>2</v>
      </c>
      <c r="M210" s="5">
        <f t="shared" si="39"/>
        <v>2021</v>
      </c>
      <c r="N210" s="24">
        <v>100</v>
      </c>
      <c r="O210" s="6">
        <f t="shared" si="34"/>
        <v>-100</v>
      </c>
      <c r="P210" s="6">
        <f t="shared" si="32"/>
        <v>0</v>
      </c>
      <c r="Q210" s="7">
        <f t="shared" si="40"/>
        <v>259878.69999999998</v>
      </c>
      <c r="R210" s="44" t="str">
        <f>VLOOKUP(F210,'Set up'!$A$2:$E$70,5,FALSE)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5"/>
        <v>2</v>
      </c>
      <c r="C211" s="5">
        <f t="shared" si="36"/>
        <v>2021</v>
      </c>
      <c r="D211" s="5" t="s">
        <v>275</v>
      </c>
      <c r="E211" s="5" t="str">
        <f>VLOOKUP(F211,'Set up'!$A$2:$C$70,2,FALSE)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up'!$A$2:$C$70,3,FALSE)</f>
        <v>Cash</v>
      </c>
      <c r="J211" s="5">
        <f>VLOOKUP(F211,'Set up'!$A$2:$D$70,4,FALSE)</f>
        <v>0</v>
      </c>
      <c r="K211" s="4">
        <f t="shared" si="37"/>
        <v>44250</v>
      </c>
      <c r="L211" s="5">
        <f t="shared" si="38"/>
        <v>2</v>
      </c>
      <c r="M211" s="5">
        <f t="shared" si="39"/>
        <v>2021</v>
      </c>
      <c r="N211" s="24">
        <v>180</v>
      </c>
      <c r="O211" s="6">
        <f t="shared" si="34"/>
        <v>-180</v>
      </c>
      <c r="P211" s="6">
        <f t="shared" si="32"/>
        <v>0</v>
      </c>
      <c r="Q211" s="7">
        <f t="shared" si="40"/>
        <v>260058.69999999998</v>
      </c>
      <c r="R211" s="44" t="str">
        <f>VLOOKUP(F211,'Set up'!$A$2:$E$70,5,FALSE)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5"/>
        <v>2</v>
      </c>
      <c r="C212" s="5">
        <f t="shared" si="36"/>
        <v>2021</v>
      </c>
      <c r="D212" s="5" t="s">
        <v>278</v>
      </c>
      <c r="E212" s="5" t="str">
        <f>VLOOKUP(F212,'Set up'!$A$2:$C$70,2,FALSE)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up'!$A$2:$C$70,3,FALSE)</f>
        <v>Cash</v>
      </c>
      <c r="J212" s="5">
        <f>VLOOKUP(F212,'Set up'!$A$2:$D$70,4,FALSE)</f>
        <v>0</v>
      </c>
      <c r="K212" s="4">
        <f t="shared" si="37"/>
        <v>44253</v>
      </c>
      <c r="L212" s="5">
        <f t="shared" si="38"/>
        <v>2</v>
      </c>
      <c r="M212" s="5">
        <f t="shared" si="39"/>
        <v>2021</v>
      </c>
      <c r="N212" s="24">
        <v>1694</v>
      </c>
      <c r="O212" s="6">
        <f t="shared" si="34"/>
        <v>-1694</v>
      </c>
      <c r="P212" s="6">
        <f t="shared" si="32"/>
        <v>0</v>
      </c>
      <c r="Q212" s="7">
        <f t="shared" si="40"/>
        <v>261752.69999999998</v>
      </c>
      <c r="R212" s="44" t="str">
        <f>VLOOKUP(F212,'Set up'!$A$2:$E$70,5,FALSE)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5"/>
        <v>2</v>
      </c>
      <c r="C213" s="5">
        <f t="shared" si="36"/>
        <v>2021</v>
      </c>
      <c r="D213" s="5" t="s">
        <v>278</v>
      </c>
      <c r="E213" s="5" t="str">
        <f>VLOOKUP(F213,'Set up'!$A$2:$C$70,2,FALSE)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up'!$A$2:$C$70,3,FALSE)</f>
        <v>Cash</v>
      </c>
      <c r="J213" s="5">
        <f>VLOOKUP(F213,'Set up'!$A$2:$D$70,4,FALSE)</f>
        <v>0</v>
      </c>
      <c r="K213" s="4">
        <f t="shared" si="37"/>
        <v>44253</v>
      </c>
      <c r="L213" s="5">
        <f t="shared" si="38"/>
        <v>2</v>
      </c>
      <c r="M213" s="5">
        <f t="shared" si="39"/>
        <v>2021</v>
      </c>
      <c r="N213" s="24">
        <v>228</v>
      </c>
      <c r="O213" s="6">
        <f t="shared" si="34"/>
        <v>-228</v>
      </c>
      <c r="P213" s="6">
        <f t="shared" ref="P213:P276" si="41">SUM(N213+O213)</f>
        <v>0</v>
      </c>
      <c r="Q213" s="7">
        <f t="shared" si="40"/>
        <v>261980.69999999998</v>
      </c>
      <c r="R213" s="44" t="str">
        <f>VLOOKUP(F213,'Set up'!$A$2:$E$70,5,FALSE)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5"/>
        <v>2</v>
      </c>
      <c r="C214" s="5">
        <f t="shared" si="36"/>
        <v>2021</v>
      </c>
      <c r="D214" s="5" t="s">
        <v>278</v>
      </c>
      <c r="E214" s="5" t="str">
        <f>VLOOKUP(F214,'Set up'!$A$2:$C$70,2,FALSE)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up'!$A$2:$C$70,3,FALSE)</f>
        <v>Cash</v>
      </c>
      <c r="J214" s="5">
        <f>VLOOKUP(F214,'Set up'!$A$2:$D$70,4,FALSE)</f>
        <v>0</v>
      </c>
      <c r="K214" s="4">
        <f t="shared" si="37"/>
        <v>44253</v>
      </c>
      <c r="L214" s="5">
        <f t="shared" si="38"/>
        <v>2</v>
      </c>
      <c r="M214" s="5">
        <f t="shared" si="39"/>
        <v>2021</v>
      </c>
      <c r="N214" s="24">
        <v>100</v>
      </c>
      <c r="O214" s="6">
        <f t="shared" si="34"/>
        <v>-100</v>
      </c>
      <c r="P214" s="6">
        <f t="shared" si="41"/>
        <v>0</v>
      </c>
      <c r="Q214" s="7">
        <f t="shared" si="40"/>
        <v>262080.69999999998</v>
      </c>
      <c r="R214" s="44" t="str">
        <f>VLOOKUP(F214,'Set up'!$A$2:$E$70,5,FALSE)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5"/>
        <v>3</v>
      </c>
      <c r="C215" s="5">
        <f t="shared" si="36"/>
        <v>2021</v>
      </c>
      <c r="D215" s="5" t="s">
        <v>285</v>
      </c>
      <c r="E215" s="5" t="str">
        <f>VLOOKUP(F215,'Set up'!$A$2:$C$70,2,FALSE)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up'!$A$2:$C$70,3,FALSE)</f>
        <v>120</v>
      </c>
      <c r="J215" s="5">
        <f>VLOOKUP(F215,'Set up'!$A$2:$D$70,4,FALSE)</f>
        <v>120</v>
      </c>
      <c r="K215" s="4">
        <f t="shared" si="37"/>
        <v>44383</v>
      </c>
      <c r="L215" s="5">
        <f t="shared" si="38"/>
        <v>7</v>
      </c>
      <c r="M215" s="5">
        <f t="shared" si="39"/>
        <v>2021</v>
      </c>
      <c r="N215" s="24">
        <v>8976</v>
      </c>
      <c r="O215" s="6">
        <f t="shared" si="34"/>
        <v>-8976</v>
      </c>
      <c r="P215" s="12">
        <f t="shared" si="41"/>
        <v>0</v>
      </c>
      <c r="Q215" s="7">
        <f t="shared" si="40"/>
        <v>271056.69999999995</v>
      </c>
      <c r="R215" s="44" t="str">
        <f>VLOOKUP(F215,'Set up'!$A$2:$E$70,5,FALSE)</f>
        <v>Chq</v>
      </c>
      <c r="S215" s="1" t="s">
        <v>389</v>
      </c>
    </row>
    <row r="216" spans="1:19" x14ac:dyDescent="0.35">
      <c r="A216" s="4">
        <v>44263</v>
      </c>
      <c r="B216" s="5">
        <f t="shared" si="35"/>
        <v>3</v>
      </c>
      <c r="C216" s="5">
        <f t="shared" si="36"/>
        <v>2021</v>
      </c>
      <c r="D216" s="5" t="s">
        <v>285</v>
      </c>
      <c r="E216" s="5" t="str">
        <f>VLOOKUP(F216,'Set up'!$A$2:$C$70,2,FALSE)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up'!$A$2:$C$70,3,FALSE)</f>
        <v>120</v>
      </c>
      <c r="J216" s="5">
        <f>VLOOKUP(F216,'Set up'!$A$2:$D$70,4,FALSE)</f>
        <v>120</v>
      </c>
      <c r="K216" s="4">
        <f t="shared" si="37"/>
        <v>44383</v>
      </c>
      <c r="L216" s="5">
        <f t="shared" si="38"/>
        <v>7</v>
      </c>
      <c r="M216" s="5">
        <f t="shared" si="39"/>
        <v>2021</v>
      </c>
      <c r="N216" s="24">
        <v>1496</v>
      </c>
      <c r="O216" s="6">
        <f t="shared" si="34"/>
        <v>-1496</v>
      </c>
      <c r="P216" s="12">
        <f t="shared" si="41"/>
        <v>0</v>
      </c>
      <c r="Q216" s="7">
        <f t="shared" si="40"/>
        <v>272552.69999999995</v>
      </c>
      <c r="R216" s="44" t="str">
        <f>VLOOKUP(F216,'Set up'!$A$2:$E$70,5,FALSE)</f>
        <v>Chq</v>
      </c>
      <c r="S216" s="1" t="s">
        <v>389</v>
      </c>
    </row>
    <row r="217" spans="1:19" x14ac:dyDescent="0.35">
      <c r="A217" s="4">
        <v>44263</v>
      </c>
      <c r="B217" s="5">
        <f t="shared" si="35"/>
        <v>3</v>
      </c>
      <c r="C217" s="5">
        <f t="shared" si="36"/>
        <v>2021</v>
      </c>
      <c r="D217" s="5" t="s">
        <v>285</v>
      </c>
      <c r="E217" s="5" t="str">
        <f>VLOOKUP(F217,'Set up'!$A$2:$C$70,2,FALSE)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up'!$A$2:$C$70,3,FALSE)</f>
        <v>120</v>
      </c>
      <c r="J217" s="5">
        <f>VLOOKUP(F217,'Set up'!$A$2:$D$70,4,FALSE)</f>
        <v>120</v>
      </c>
      <c r="K217" s="4">
        <f t="shared" si="37"/>
        <v>44383</v>
      </c>
      <c r="L217" s="5">
        <f t="shared" si="38"/>
        <v>7</v>
      </c>
      <c r="M217" s="5">
        <f t="shared" si="39"/>
        <v>2021</v>
      </c>
      <c r="N217" s="24">
        <v>2532.6</v>
      </c>
      <c r="O217" s="6">
        <f t="shared" si="34"/>
        <v>-2532.6</v>
      </c>
      <c r="P217" s="12">
        <f t="shared" si="41"/>
        <v>0</v>
      </c>
      <c r="Q217" s="7">
        <f t="shared" si="40"/>
        <v>275085.29999999993</v>
      </c>
      <c r="R217" s="44" t="str">
        <f>VLOOKUP(F217,'Set up'!$A$2:$E$70,5,FALSE)</f>
        <v>Chq</v>
      </c>
      <c r="S217" s="1" t="s">
        <v>389</v>
      </c>
    </row>
    <row r="218" spans="1:19" x14ac:dyDescent="0.35">
      <c r="A218" s="4">
        <v>44263</v>
      </c>
      <c r="B218" s="5">
        <f t="shared" si="35"/>
        <v>3</v>
      </c>
      <c r="C218" s="5">
        <f t="shared" si="36"/>
        <v>2021</v>
      </c>
      <c r="D218" s="5" t="s">
        <v>285</v>
      </c>
      <c r="E218" s="5" t="str">
        <f>VLOOKUP(F218,'Set up'!$A$2:$C$70,2,FALSE)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up'!$A$2:$C$70,3,FALSE)</f>
        <v>120</v>
      </c>
      <c r="J218" s="5">
        <f>VLOOKUP(F218,'Set up'!$A$2:$D$70,4,FALSE)</f>
        <v>120</v>
      </c>
      <c r="K218" s="4">
        <f t="shared" si="37"/>
        <v>44383</v>
      </c>
      <c r="L218" s="5">
        <f t="shared" si="38"/>
        <v>7</v>
      </c>
      <c r="M218" s="5">
        <f t="shared" si="39"/>
        <v>2021</v>
      </c>
      <c r="N218" s="24">
        <v>1809</v>
      </c>
      <c r="O218" s="6">
        <f t="shared" si="34"/>
        <v>-1809</v>
      </c>
      <c r="P218" s="12">
        <f t="shared" si="41"/>
        <v>0</v>
      </c>
      <c r="Q218" s="7">
        <f t="shared" si="40"/>
        <v>276894.29999999993</v>
      </c>
      <c r="R218" s="44" t="str">
        <f>VLOOKUP(F218,'Set up'!$A$2:$E$70,5,FALSE)</f>
        <v>Chq</v>
      </c>
      <c r="S218" s="1" t="s">
        <v>389</v>
      </c>
    </row>
    <row r="219" spans="1:19" x14ac:dyDescent="0.35">
      <c r="A219" s="4">
        <v>44265</v>
      </c>
      <c r="B219" s="5">
        <f t="shared" si="35"/>
        <v>3</v>
      </c>
      <c r="C219" s="5">
        <f t="shared" si="36"/>
        <v>2021</v>
      </c>
      <c r="D219" s="5" t="s">
        <v>315</v>
      </c>
      <c r="E219" s="5" t="str">
        <f>VLOOKUP(F219,'Set up'!$A$2:$C$70,2,FALSE)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up'!$A$2:$C$70,3,FALSE)</f>
        <v>Cash</v>
      </c>
      <c r="J219" s="5">
        <f>VLOOKUP(F219,'Set up'!$A$2:$D$70,4,FALSE)</f>
        <v>0</v>
      </c>
      <c r="K219" s="4">
        <f t="shared" si="37"/>
        <v>44265</v>
      </c>
      <c r="L219" s="5">
        <f t="shared" si="38"/>
        <v>3</v>
      </c>
      <c r="M219" s="5">
        <f t="shared" si="39"/>
        <v>2021</v>
      </c>
      <c r="N219" s="44">
        <v>3058</v>
      </c>
      <c r="O219" s="6">
        <f t="shared" ref="O219:O250" si="42">-N219</f>
        <v>-3058</v>
      </c>
      <c r="P219" s="6">
        <f t="shared" si="41"/>
        <v>0</v>
      </c>
      <c r="Q219" s="7">
        <f t="shared" si="40"/>
        <v>279952.29999999993</v>
      </c>
      <c r="R219" s="44" t="str">
        <f>VLOOKUP(F219,'Set up'!$A$2:$E$70,5,FALSE)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5"/>
        <v>3</v>
      </c>
      <c r="C220" s="5">
        <f t="shared" si="36"/>
        <v>2021</v>
      </c>
      <c r="D220" s="5" t="s">
        <v>315</v>
      </c>
      <c r="E220" s="5" t="str">
        <f>VLOOKUP(F220,'Set up'!$A$2:$C$70,2,FALSE)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up'!$A$2:$C$70,3,FALSE)</f>
        <v>Cash</v>
      </c>
      <c r="J220" s="5">
        <f>VLOOKUP(F220,'Set up'!$A$2:$D$70,4,FALSE)</f>
        <v>0</v>
      </c>
      <c r="K220" s="4">
        <f t="shared" si="37"/>
        <v>44265</v>
      </c>
      <c r="L220" s="5">
        <f t="shared" si="38"/>
        <v>3</v>
      </c>
      <c r="M220" s="5">
        <f t="shared" si="39"/>
        <v>2021</v>
      </c>
      <c r="N220" s="44">
        <v>3058</v>
      </c>
      <c r="O220" s="6">
        <f t="shared" si="42"/>
        <v>-3058</v>
      </c>
      <c r="P220" s="6">
        <f t="shared" si="41"/>
        <v>0</v>
      </c>
      <c r="Q220" s="7">
        <f t="shared" si="40"/>
        <v>283010.29999999993</v>
      </c>
      <c r="R220" s="44" t="str">
        <f>VLOOKUP(F220,'Set up'!$A$2:$E$70,5,FALSE)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5"/>
        <v>3</v>
      </c>
      <c r="C221" s="5">
        <f t="shared" si="36"/>
        <v>2021</v>
      </c>
      <c r="D221" s="5" t="s">
        <v>315</v>
      </c>
      <c r="E221" s="5" t="str">
        <f>VLOOKUP(F221,'Set up'!$A$2:$C$70,2,FALSE)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up'!$A$2:$C$70,3,FALSE)</f>
        <v>Cash</v>
      </c>
      <c r="J221" s="5">
        <f>VLOOKUP(F221,'Set up'!$A$2:$D$70,4,FALSE)</f>
        <v>0</v>
      </c>
      <c r="K221" s="4">
        <f t="shared" si="37"/>
        <v>44265</v>
      </c>
      <c r="L221" s="5">
        <f t="shared" si="38"/>
        <v>3</v>
      </c>
      <c r="M221" s="5">
        <f t="shared" si="39"/>
        <v>2021</v>
      </c>
      <c r="N221" s="44">
        <v>4691.25</v>
      </c>
      <c r="O221" s="6">
        <f t="shared" si="42"/>
        <v>-4691.25</v>
      </c>
      <c r="P221" s="6">
        <f t="shared" si="41"/>
        <v>0</v>
      </c>
      <c r="Q221" s="7">
        <f t="shared" si="40"/>
        <v>287701.54999999993</v>
      </c>
      <c r="R221" s="44" t="str">
        <f>VLOOKUP(F221,'Set up'!$A$2:$E$70,5,FALSE)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5"/>
        <v>3</v>
      </c>
      <c r="C222" s="5">
        <f t="shared" si="36"/>
        <v>2021</v>
      </c>
      <c r="D222" s="5" t="s">
        <v>316</v>
      </c>
      <c r="E222" s="5" t="str">
        <f>VLOOKUP(F222,'Set up'!$A$2:$C$70,2,FALSE)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up'!$A$2:$C$70,3,FALSE)</f>
        <v>60</v>
      </c>
      <c r="J222" s="5">
        <f>VLOOKUP(F222,'Set up'!$A$2:$D$70,4,FALSE)</f>
        <v>60</v>
      </c>
      <c r="K222" s="4">
        <f t="shared" si="37"/>
        <v>44326</v>
      </c>
      <c r="L222" s="5">
        <f t="shared" si="38"/>
        <v>5</v>
      </c>
      <c r="M222" s="5">
        <f t="shared" si="39"/>
        <v>2021</v>
      </c>
      <c r="N222" s="44">
        <v>3212</v>
      </c>
      <c r="O222" s="6">
        <f t="shared" si="42"/>
        <v>-3212</v>
      </c>
      <c r="P222" s="6">
        <f t="shared" si="41"/>
        <v>0</v>
      </c>
      <c r="Q222" s="7">
        <f t="shared" si="40"/>
        <v>290913.54999999993</v>
      </c>
      <c r="R222" s="44" t="str">
        <f>VLOOKUP(F222,'Set up'!$A$2:$E$70,5,FALSE)</f>
        <v>Chq</v>
      </c>
      <c r="S222" s="1" t="s">
        <v>461</v>
      </c>
    </row>
    <row r="223" spans="1:19" x14ac:dyDescent="0.35">
      <c r="A223" s="4">
        <v>44266</v>
      </c>
      <c r="B223" s="5">
        <f t="shared" si="35"/>
        <v>3</v>
      </c>
      <c r="C223" s="5">
        <f t="shared" si="36"/>
        <v>2021</v>
      </c>
      <c r="D223" s="5" t="s">
        <v>316</v>
      </c>
      <c r="E223" s="5" t="str">
        <f>VLOOKUP(F223,'Set up'!$A$2:$C$70,2,FALSE)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up'!$A$2:$C$70,3,FALSE)</f>
        <v>60</v>
      </c>
      <c r="J223" s="5">
        <f>VLOOKUP(F223,'Set up'!$A$2:$D$70,4,FALSE)</f>
        <v>60</v>
      </c>
      <c r="K223" s="4">
        <f t="shared" si="37"/>
        <v>44326</v>
      </c>
      <c r="L223" s="5">
        <f t="shared" si="38"/>
        <v>5</v>
      </c>
      <c r="M223" s="5">
        <f t="shared" si="39"/>
        <v>2021</v>
      </c>
      <c r="N223" s="44">
        <v>1606</v>
      </c>
      <c r="O223" s="6">
        <f t="shared" si="42"/>
        <v>-1606</v>
      </c>
      <c r="P223" s="6">
        <f t="shared" si="41"/>
        <v>0</v>
      </c>
      <c r="Q223" s="7">
        <f t="shared" si="40"/>
        <v>292519.54999999993</v>
      </c>
      <c r="R223" s="44" t="str">
        <f>VLOOKUP(F223,'Set up'!$A$2:$E$70,5,FALSE)</f>
        <v>Chq</v>
      </c>
      <c r="S223" s="1" t="s">
        <v>461</v>
      </c>
    </row>
    <row r="224" spans="1:19" x14ac:dyDescent="0.35">
      <c r="A224" s="4">
        <v>44266</v>
      </c>
      <c r="B224" s="5">
        <f t="shared" si="35"/>
        <v>3</v>
      </c>
      <c r="C224" s="5">
        <f t="shared" si="36"/>
        <v>2021</v>
      </c>
      <c r="D224" s="5" t="s">
        <v>316</v>
      </c>
      <c r="E224" s="5" t="str">
        <f>VLOOKUP(F224,'Set up'!$A$2:$C$70,2,FALSE)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up'!$A$2:$C$70,3,FALSE)</f>
        <v>60</v>
      </c>
      <c r="J224" s="5">
        <f>VLOOKUP(F224,'Set up'!$A$2:$D$70,4,FALSE)</f>
        <v>60</v>
      </c>
      <c r="K224" s="4">
        <f t="shared" si="37"/>
        <v>44326</v>
      </c>
      <c r="L224" s="5">
        <f t="shared" si="38"/>
        <v>5</v>
      </c>
      <c r="M224" s="5">
        <f t="shared" si="39"/>
        <v>2021</v>
      </c>
      <c r="N224" s="44">
        <v>820.8</v>
      </c>
      <c r="O224" s="6">
        <f t="shared" si="42"/>
        <v>-820.8</v>
      </c>
      <c r="P224" s="6">
        <f t="shared" si="41"/>
        <v>0</v>
      </c>
      <c r="Q224" s="7">
        <f t="shared" si="40"/>
        <v>293340.34999999992</v>
      </c>
      <c r="R224" s="44" t="str">
        <f>VLOOKUP(F224,'Set up'!$A$2:$E$70,5,FALSE)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5"/>
        <v>3</v>
      </c>
      <c r="C225" s="5">
        <f t="shared" si="36"/>
        <v>2021</v>
      </c>
      <c r="D225" s="5" t="s">
        <v>316</v>
      </c>
      <c r="E225" s="5" t="str">
        <f>VLOOKUP(F225,'Set up'!$A$2:$C$70,2,FALSE)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up'!$A$2:$C$70,3,FALSE)</f>
        <v>60</v>
      </c>
      <c r="J225" s="5">
        <f>VLOOKUP(F225,'Set up'!$A$2:$D$70,4,FALSE)</f>
        <v>60</v>
      </c>
      <c r="K225" s="4">
        <f t="shared" si="37"/>
        <v>44326</v>
      </c>
      <c r="L225" s="5">
        <f t="shared" si="38"/>
        <v>5</v>
      </c>
      <c r="M225" s="5">
        <f t="shared" si="39"/>
        <v>2021</v>
      </c>
      <c r="N225" s="44">
        <v>820.8</v>
      </c>
      <c r="O225" s="6">
        <f t="shared" si="42"/>
        <v>-820.8</v>
      </c>
      <c r="P225" s="6">
        <f t="shared" si="41"/>
        <v>0</v>
      </c>
      <c r="Q225" s="7">
        <f t="shared" si="40"/>
        <v>294161.14999999991</v>
      </c>
      <c r="R225" s="44" t="str">
        <f>VLOOKUP(F225,'Set up'!$A$2:$E$70,5,FALSE)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si="35"/>
        <v>3</v>
      </c>
      <c r="C226" s="5">
        <f t="shared" si="36"/>
        <v>2021</v>
      </c>
      <c r="D226" s="5" t="s">
        <v>318</v>
      </c>
      <c r="E226" s="5" t="str">
        <f>VLOOKUP(F226,'Set up'!$A$2:$C$70,2,FALSE)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up'!$A$2:$C$70,3,FALSE)</f>
        <v>120</v>
      </c>
      <c r="J226" s="5">
        <f>VLOOKUP(F226,'Set up'!$A$2:$D$70,4,FALSE)</f>
        <v>120</v>
      </c>
      <c r="K226" s="4">
        <f t="shared" si="37"/>
        <v>44398</v>
      </c>
      <c r="L226" s="5">
        <f t="shared" si="38"/>
        <v>7</v>
      </c>
      <c r="M226" s="5">
        <f t="shared" si="39"/>
        <v>2021</v>
      </c>
      <c r="N226" s="44">
        <v>8140</v>
      </c>
      <c r="O226" s="6">
        <f t="shared" si="42"/>
        <v>-8140</v>
      </c>
      <c r="P226" s="12">
        <f t="shared" si="41"/>
        <v>0</v>
      </c>
      <c r="Q226" s="7">
        <f t="shared" si="40"/>
        <v>302301.14999999991</v>
      </c>
      <c r="R226" s="44" t="str">
        <f>VLOOKUP(F226,'Set up'!$A$2:$E$70,5,FALSE)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35"/>
        <v>3</v>
      </c>
      <c r="C227" s="5">
        <f t="shared" si="36"/>
        <v>2021</v>
      </c>
      <c r="D227" s="5" t="s">
        <v>318</v>
      </c>
      <c r="E227" s="5" t="str">
        <f>VLOOKUP(F227,'Set up'!$A$2:$C$70,2,FALSE)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up'!$A$2:$C$70,3,FALSE)</f>
        <v>120</v>
      </c>
      <c r="J227" s="5">
        <f>VLOOKUP(F227,'Set up'!$A$2:$D$70,4,FALSE)</f>
        <v>120</v>
      </c>
      <c r="K227" s="4">
        <f t="shared" si="37"/>
        <v>44398</v>
      </c>
      <c r="L227" s="5">
        <f t="shared" si="38"/>
        <v>7</v>
      </c>
      <c r="M227" s="5">
        <f t="shared" si="39"/>
        <v>2021</v>
      </c>
      <c r="N227" s="44">
        <v>1641.6</v>
      </c>
      <c r="O227" s="6">
        <f t="shared" si="42"/>
        <v>-1641.6</v>
      </c>
      <c r="P227" s="12">
        <f t="shared" si="41"/>
        <v>0</v>
      </c>
      <c r="Q227" s="7">
        <f t="shared" si="40"/>
        <v>303942.74999999988</v>
      </c>
      <c r="R227" s="44" t="str">
        <f>VLOOKUP(F227,'Set up'!$A$2:$E$70,5,FALSE)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35"/>
        <v>3</v>
      </c>
      <c r="C228" s="5">
        <f t="shared" si="36"/>
        <v>2021</v>
      </c>
      <c r="D228" s="5" t="s">
        <v>318</v>
      </c>
      <c r="E228" s="5" t="str">
        <f>VLOOKUP(F228,'Set up'!$A$2:$C$70,2,FALSE)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up'!$A$2:$C$70,3,FALSE)</f>
        <v>120</v>
      </c>
      <c r="J228" s="5">
        <f>VLOOKUP(F228,'Set up'!$A$2:$D$70,4,FALSE)</f>
        <v>120</v>
      </c>
      <c r="K228" s="4">
        <f t="shared" si="37"/>
        <v>44398</v>
      </c>
      <c r="L228" s="5">
        <f t="shared" si="38"/>
        <v>7</v>
      </c>
      <c r="M228" s="5">
        <f t="shared" si="39"/>
        <v>2021</v>
      </c>
      <c r="N228" s="44">
        <v>1641.6</v>
      </c>
      <c r="O228" s="6">
        <f t="shared" si="42"/>
        <v>-1641.6</v>
      </c>
      <c r="P228" s="12">
        <f t="shared" si="41"/>
        <v>0</v>
      </c>
      <c r="Q228" s="7">
        <f t="shared" si="40"/>
        <v>305584.34999999986</v>
      </c>
      <c r="R228" s="44" t="str">
        <f>VLOOKUP(F228,'Set up'!$A$2:$E$70,5,FALSE)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35"/>
        <v>3</v>
      </c>
      <c r="C229" s="5">
        <f t="shared" si="36"/>
        <v>2021</v>
      </c>
      <c r="D229" s="5" t="s">
        <v>318</v>
      </c>
      <c r="E229" s="5" t="str">
        <f>VLOOKUP(F229,'Set up'!$A$2:$C$70,2,FALSE)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up'!$A$2:$C$70,3,FALSE)</f>
        <v>120</v>
      </c>
      <c r="J229" s="5">
        <f>VLOOKUP(F229,'Set up'!$A$2:$D$70,4,FALSE)</f>
        <v>120</v>
      </c>
      <c r="K229" s="4">
        <f t="shared" si="37"/>
        <v>44398</v>
      </c>
      <c r="L229" s="5">
        <f t="shared" si="38"/>
        <v>7</v>
      </c>
      <c r="M229" s="5">
        <f t="shared" si="39"/>
        <v>2021</v>
      </c>
      <c r="N229" s="44">
        <v>380</v>
      </c>
      <c r="O229" s="6">
        <f t="shared" si="42"/>
        <v>-380</v>
      </c>
      <c r="P229" s="12">
        <f t="shared" si="41"/>
        <v>0</v>
      </c>
      <c r="Q229" s="7">
        <f t="shared" si="40"/>
        <v>305964.34999999986</v>
      </c>
      <c r="R229" s="44" t="str">
        <f>VLOOKUP(F229,'Set up'!$A$2:$E$70,5,FALSE)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35"/>
        <v>3</v>
      </c>
      <c r="C230" s="5">
        <f t="shared" si="36"/>
        <v>2021</v>
      </c>
      <c r="D230" s="5" t="s">
        <v>319</v>
      </c>
      <c r="E230" s="5" t="str">
        <f>VLOOKUP(F230,'Set up'!$A$2:$C$70,2,FALSE)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up'!$A$2:$C$70,3,FALSE)</f>
        <v>60</v>
      </c>
      <c r="J230" s="5">
        <f>VLOOKUP(F230,'Set up'!$A$2:$D$70,4,FALSE)</f>
        <v>60</v>
      </c>
      <c r="K230" s="4">
        <f t="shared" si="37"/>
        <v>44339</v>
      </c>
      <c r="L230" s="5">
        <f t="shared" si="38"/>
        <v>5</v>
      </c>
      <c r="M230" s="5">
        <f t="shared" si="39"/>
        <v>2021</v>
      </c>
      <c r="N230" s="44">
        <v>90</v>
      </c>
      <c r="O230" s="6">
        <f t="shared" si="42"/>
        <v>-90</v>
      </c>
      <c r="P230" s="6">
        <f t="shared" si="41"/>
        <v>0</v>
      </c>
      <c r="Q230" s="7">
        <f t="shared" si="40"/>
        <v>306054.34999999986</v>
      </c>
      <c r="R230" s="44" t="str">
        <f>VLOOKUP(F230,'Set up'!$A$2:$E$70,5,FALSE)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35"/>
        <v>3</v>
      </c>
      <c r="C231" s="5">
        <f t="shared" si="36"/>
        <v>2021</v>
      </c>
      <c r="D231" s="5" t="s">
        <v>320</v>
      </c>
      <c r="E231" s="5" t="str">
        <f>VLOOKUP(F231,'Set up'!$A$2:$C$70,2,FALSE)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up'!$A$2:$C$70,3,FALSE)</f>
        <v>120</v>
      </c>
      <c r="J231" s="5">
        <f>VLOOKUP(F231,'Set up'!$A$2:$D$70,4,FALSE)</f>
        <v>120</v>
      </c>
      <c r="K231" s="4">
        <f t="shared" si="37"/>
        <v>44399</v>
      </c>
      <c r="L231" s="5">
        <f t="shared" si="38"/>
        <v>7</v>
      </c>
      <c r="M231" s="5">
        <f t="shared" si="39"/>
        <v>2021</v>
      </c>
      <c r="N231" s="44">
        <v>8250</v>
      </c>
      <c r="O231" s="6">
        <f t="shared" si="42"/>
        <v>-8250</v>
      </c>
      <c r="P231" s="6">
        <f t="shared" si="41"/>
        <v>0</v>
      </c>
      <c r="Q231" s="7">
        <f t="shared" si="40"/>
        <v>314304.34999999986</v>
      </c>
      <c r="R231" s="44" t="str">
        <f>VLOOKUP(F231,'Set up'!$A$2:$E$70,5,FALSE)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35"/>
        <v>3</v>
      </c>
      <c r="C232" s="5">
        <f t="shared" si="36"/>
        <v>2021</v>
      </c>
      <c r="D232" s="5" t="s">
        <v>320</v>
      </c>
      <c r="E232" s="5" t="str">
        <f>VLOOKUP(F232,'Set up'!$A$2:$C$70,2,FALSE)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up'!$A$2:$C$70,3,FALSE)</f>
        <v>120</v>
      </c>
      <c r="J232" s="5">
        <f>VLOOKUP(F232,'Set up'!$A$2:$D$70,4,FALSE)</f>
        <v>120</v>
      </c>
      <c r="K232" s="4">
        <f t="shared" si="37"/>
        <v>44399</v>
      </c>
      <c r="L232" s="5">
        <f t="shared" si="38"/>
        <v>7</v>
      </c>
      <c r="M232" s="5">
        <f t="shared" si="39"/>
        <v>2021</v>
      </c>
      <c r="N232" s="44">
        <v>1170</v>
      </c>
      <c r="O232" s="6">
        <f t="shared" si="42"/>
        <v>-1170</v>
      </c>
      <c r="P232" s="6">
        <f t="shared" si="41"/>
        <v>0</v>
      </c>
      <c r="Q232" s="7">
        <f t="shared" si="40"/>
        <v>315474.34999999986</v>
      </c>
      <c r="R232" s="44" t="str">
        <f>VLOOKUP(F232,'Set up'!$A$2:$E$70,5,FALSE)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35"/>
        <v>3</v>
      </c>
      <c r="C233" s="5">
        <f t="shared" si="36"/>
        <v>2021</v>
      </c>
      <c r="D233" s="5" t="s">
        <v>320</v>
      </c>
      <c r="E233" s="5" t="str">
        <f>VLOOKUP(F233,'Set up'!$A$2:$C$70,2,FALSE)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up'!$A$2:$C$70,3,FALSE)</f>
        <v>120</v>
      </c>
      <c r="J233" s="5">
        <f>VLOOKUP(F233,'Set up'!$A$2:$D$70,4,FALSE)</f>
        <v>120</v>
      </c>
      <c r="K233" s="4">
        <f t="shared" si="37"/>
        <v>44399</v>
      </c>
      <c r="L233" s="5">
        <f t="shared" si="38"/>
        <v>7</v>
      </c>
      <c r="M233" s="5">
        <f t="shared" si="39"/>
        <v>2021</v>
      </c>
      <c r="N233" s="44">
        <v>275</v>
      </c>
      <c r="O233" s="6">
        <f t="shared" si="42"/>
        <v>-275</v>
      </c>
      <c r="P233" s="6">
        <f t="shared" si="41"/>
        <v>0</v>
      </c>
      <c r="Q233" s="7">
        <f t="shared" si="40"/>
        <v>315749.34999999986</v>
      </c>
      <c r="R233" s="44" t="str">
        <f>VLOOKUP(F233,'Set up'!$A$2:$E$70,5,FALSE)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35"/>
        <v>3</v>
      </c>
      <c r="C234" s="5">
        <f t="shared" si="36"/>
        <v>2021</v>
      </c>
      <c r="D234" s="5" t="s">
        <v>320</v>
      </c>
      <c r="E234" s="5" t="str">
        <f>VLOOKUP(F234,'Set up'!$A$2:$C$70,2,FALSE)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up'!$A$2:$C$70,3,FALSE)</f>
        <v>120</v>
      </c>
      <c r="J234" s="5">
        <f>VLOOKUP(F234,'Set up'!$A$2:$D$70,4,FALSE)</f>
        <v>120</v>
      </c>
      <c r="K234" s="4">
        <f t="shared" si="37"/>
        <v>44399</v>
      </c>
      <c r="L234" s="5">
        <f t="shared" si="38"/>
        <v>7</v>
      </c>
      <c r="M234" s="5">
        <f t="shared" si="39"/>
        <v>2021</v>
      </c>
      <c r="N234" s="44">
        <v>380</v>
      </c>
      <c r="O234" s="6">
        <f t="shared" si="42"/>
        <v>-380</v>
      </c>
      <c r="P234" s="6">
        <f t="shared" si="41"/>
        <v>0</v>
      </c>
      <c r="Q234" s="7">
        <f t="shared" si="40"/>
        <v>316129.34999999986</v>
      </c>
      <c r="R234" s="44" t="str">
        <f>VLOOKUP(F234,'Set up'!$A$2:$E$70,5,FALSE)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35"/>
        <v>3</v>
      </c>
      <c r="C235" s="5">
        <f t="shared" si="36"/>
        <v>2021</v>
      </c>
      <c r="D235" s="5" t="s">
        <v>321</v>
      </c>
      <c r="E235" s="5" t="str">
        <f>VLOOKUP(F235,'Set up'!$A$2:$C$70,2,FALSE)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up'!$A$2:$C$70,3,FALSE)</f>
        <v>Cash</v>
      </c>
      <c r="J235" s="5">
        <f>VLOOKUP(F235,'Set up'!$A$2:$D$70,4,FALSE)</f>
        <v>0</v>
      </c>
      <c r="K235" s="4">
        <f t="shared" si="37"/>
        <v>44280</v>
      </c>
      <c r="L235" s="5">
        <f t="shared" si="38"/>
        <v>3</v>
      </c>
      <c r="M235" s="5">
        <f t="shared" si="39"/>
        <v>2021</v>
      </c>
      <c r="N235" s="44">
        <v>240</v>
      </c>
      <c r="O235" s="6">
        <f t="shared" si="42"/>
        <v>-240</v>
      </c>
      <c r="P235" s="6">
        <f t="shared" si="41"/>
        <v>0</v>
      </c>
      <c r="Q235" s="7">
        <f t="shared" si="40"/>
        <v>316369.34999999986</v>
      </c>
      <c r="R235" s="44" t="str">
        <f>VLOOKUP(F235,'Set up'!$A$2:$E$70,5,FALSE)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35"/>
        <v>3</v>
      </c>
      <c r="C236" s="5">
        <f t="shared" si="36"/>
        <v>2021</v>
      </c>
      <c r="D236" s="5" t="s">
        <v>322</v>
      </c>
      <c r="E236" s="5" t="str">
        <f>VLOOKUP(F236,'Set up'!$A$2:$C$70,2,FALSE)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up'!$A$2:$C$70,3,FALSE)</f>
        <v>120</v>
      </c>
      <c r="J236" s="5">
        <f>VLOOKUP(F236,'Set up'!$A$2:$D$70,4,FALSE)</f>
        <v>120</v>
      </c>
      <c r="K236" s="4">
        <f t="shared" si="37"/>
        <v>44405</v>
      </c>
      <c r="L236" s="5">
        <f t="shared" si="38"/>
        <v>7</v>
      </c>
      <c r="M236" s="5">
        <f t="shared" si="39"/>
        <v>2021</v>
      </c>
      <c r="N236" s="44">
        <v>3510</v>
      </c>
      <c r="O236" s="6">
        <f t="shared" si="42"/>
        <v>-3510</v>
      </c>
      <c r="P236" s="12">
        <f t="shared" si="41"/>
        <v>0</v>
      </c>
      <c r="Q236" s="7">
        <f t="shared" si="40"/>
        <v>319879.34999999986</v>
      </c>
      <c r="R236" s="44" t="str">
        <f>VLOOKUP(F236,'Set up'!$A$2:$E$70,5,FALSE)</f>
        <v>Chq</v>
      </c>
      <c r="S236" s="1" t="s">
        <v>389</v>
      </c>
    </row>
    <row r="237" spans="1:19" x14ac:dyDescent="0.35">
      <c r="A237" s="4">
        <v>44287</v>
      </c>
      <c r="B237" s="5">
        <f t="shared" si="35"/>
        <v>4</v>
      </c>
      <c r="C237" s="5">
        <f t="shared" si="36"/>
        <v>2021</v>
      </c>
      <c r="D237" s="5" t="s">
        <v>323</v>
      </c>
      <c r="E237" s="5" t="str">
        <f>VLOOKUP(F237,'Set up'!$A$2:$C$70,2,FALSE)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up'!$A$2:$C$70,3,FALSE)</f>
        <v>45</v>
      </c>
      <c r="J237" s="5">
        <f>VLOOKUP(F237,'Set up'!$A$2:$D$70,4,FALSE)</f>
        <v>45</v>
      </c>
      <c r="K237" s="4">
        <f t="shared" si="37"/>
        <v>44332</v>
      </c>
      <c r="L237" s="5">
        <f t="shared" si="38"/>
        <v>5</v>
      </c>
      <c r="M237" s="5">
        <f t="shared" si="39"/>
        <v>2021</v>
      </c>
      <c r="N237" s="44">
        <v>5412</v>
      </c>
      <c r="O237" s="6">
        <f t="shared" si="42"/>
        <v>-5412</v>
      </c>
      <c r="P237" s="6">
        <f t="shared" si="41"/>
        <v>0</v>
      </c>
      <c r="Q237" s="7">
        <f t="shared" si="40"/>
        <v>325291.34999999986</v>
      </c>
      <c r="R237" s="44" t="str">
        <f>VLOOKUP(F237,'Set up'!$A$2:$E$70,5,FALSE)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35"/>
        <v>4</v>
      </c>
      <c r="C238" s="5">
        <f t="shared" si="36"/>
        <v>2021</v>
      </c>
      <c r="D238" s="5" t="s">
        <v>323</v>
      </c>
      <c r="E238" s="5" t="str">
        <f>VLOOKUP(F238,'Set up'!$A$2:$C$70,2,FALSE)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up'!$A$2:$C$70,3,FALSE)</f>
        <v>45</v>
      </c>
      <c r="J238" s="5">
        <f>VLOOKUP(F238,'Set up'!$A$2:$D$70,4,FALSE)</f>
        <v>45</v>
      </c>
      <c r="K238" s="4">
        <f t="shared" si="37"/>
        <v>44332</v>
      </c>
      <c r="L238" s="5">
        <f t="shared" si="38"/>
        <v>5</v>
      </c>
      <c r="M238" s="5">
        <f t="shared" si="39"/>
        <v>2021</v>
      </c>
      <c r="N238" s="44">
        <v>459</v>
      </c>
      <c r="O238" s="6">
        <f t="shared" si="42"/>
        <v>-459</v>
      </c>
      <c r="P238" s="6">
        <f t="shared" si="41"/>
        <v>0</v>
      </c>
      <c r="Q238" s="7">
        <f t="shared" si="40"/>
        <v>325750.34999999986</v>
      </c>
      <c r="R238" s="44" t="str">
        <f>VLOOKUP(F238,'Set up'!$A$2:$E$70,5,FALSE)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35"/>
        <v>4</v>
      </c>
      <c r="C239" s="5">
        <f t="shared" si="36"/>
        <v>2021</v>
      </c>
      <c r="D239" s="5" t="s">
        <v>323</v>
      </c>
      <c r="E239" s="5" t="str">
        <f>VLOOKUP(F239,'Set up'!$A$2:$C$70,2,FALSE)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up'!$A$2:$C$70,3,FALSE)</f>
        <v>45</v>
      </c>
      <c r="J239" s="5">
        <f>VLOOKUP(F239,'Set up'!$A$2:$D$70,4,FALSE)</f>
        <v>45</v>
      </c>
      <c r="K239" s="4">
        <f t="shared" si="37"/>
        <v>44332</v>
      </c>
      <c r="L239" s="5">
        <f t="shared" si="38"/>
        <v>5</v>
      </c>
      <c r="M239" s="5">
        <f t="shared" si="39"/>
        <v>2021</v>
      </c>
      <c r="N239" s="44">
        <v>250</v>
      </c>
      <c r="O239" s="6">
        <f t="shared" si="42"/>
        <v>-250</v>
      </c>
      <c r="P239" s="6">
        <f t="shared" si="41"/>
        <v>0</v>
      </c>
      <c r="Q239" s="7">
        <f t="shared" si="40"/>
        <v>326000.34999999986</v>
      </c>
      <c r="R239" s="44" t="str">
        <f>VLOOKUP(F239,'Set up'!$A$2:$E$70,5,FALSE)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35"/>
        <v>4</v>
      </c>
      <c r="C240" s="5">
        <f t="shared" si="36"/>
        <v>2021</v>
      </c>
      <c r="D240" s="5" t="s">
        <v>323</v>
      </c>
      <c r="E240" s="5" t="str">
        <f>VLOOKUP(F240,'Set up'!$A$2:$C$70,2,FALSE)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up'!$A$2:$C$70,3,FALSE)</f>
        <v>45</v>
      </c>
      <c r="J240" s="5">
        <f>VLOOKUP(F240,'Set up'!$A$2:$D$70,4,FALSE)</f>
        <v>45</v>
      </c>
      <c r="K240" s="4">
        <f t="shared" si="37"/>
        <v>44332</v>
      </c>
      <c r="L240" s="5">
        <f t="shared" si="38"/>
        <v>5</v>
      </c>
      <c r="M240" s="5">
        <f t="shared" si="39"/>
        <v>2021</v>
      </c>
      <c r="N240" s="44">
        <v>500</v>
      </c>
      <c r="O240" s="6">
        <f t="shared" si="42"/>
        <v>-500</v>
      </c>
      <c r="P240" s="6">
        <f t="shared" si="41"/>
        <v>0</v>
      </c>
      <c r="Q240" s="7">
        <f t="shared" si="40"/>
        <v>326500.34999999986</v>
      </c>
      <c r="R240" s="44" t="str">
        <f>VLOOKUP(F240,'Set up'!$A$2:$E$70,5,FALSE)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35"/>
        <v>4</v>
      </c>
      <c r="C241" s="5">
        <f t="shared" si="36"/>
        <v>2021</v>
      </c>
      <c r="D241" s="5" t="s">
        <v>324</v>
      </c>
      <c r="E241" s="5" t="str">
        <f>VLOOKUP(F241,'Set up'!$A$2:$C$70,2,FALSE)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up'!$A$2:$C$70,3,FALSE)</f>
        <v>45</v>
      </c>
      <c r="J241" s="5">
        <f>VLOOKUP(F241,'Set up'!$A$2:$D$70,4,FALSE)</f>
        <v>45</v>
      </c>
      <c r="K241" s="4">
        <f t="shared" si="37"/>
        <v>44332</v>
      </c>
      <c r="L241" s="5">
        <f t="shared" si="38"/>
        <v>5</v>
      </c>
      <c r="M241" s="5">
        <f t="shared" si="39"/>
        <v>2021</v>
      </c>
      <c r="N241" s="44">
        <v>90</v>
      </c>
      <c r="O241" s="6">
        <f t="shared" si="42"/>
        <v>-90</v>
      </c>
      <c r="P241" s="6">
        <f t="shared" si="41"/>
        <v>0</v>
      </c>
      <c r="Q241" s="7">
        <f t="shared" si="40"/>
        <v>326590.34999999986</v>
      </c>
      <c r="R241" s="44" t="str">
        <f>VLOOKUP(F241,'Set up'!$A$2:$E$70,5,FALSE)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35"/>
        <v>4</v>
      </c>
      <c r="C242" s="5">
        <f t="shared" si="36"/>
        <v>2021</v>
      </c>
      <c r="D242" s="5" t="s">
        <v>325</v>
      </c>
      <c r="E242" s="5" t="str">
        <f>VLOOKUP(F242,'Set up'!$A$2:$C$70,2,FALSE)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up'!$A$2:$C$70,3,FALSE)</f>
        <v>Cash</v>
      </c>
      <c r="J242" s="5">
        <f>VLOOKUP(F242,'Set up'!$A$2:$D$70,4,FALSE)</f>
        <v>0</v>
      </c>
      <c r="K242" s="4">
        <f t="shared" si="37"/>
        <v>44294</v>
      </c>
      <c r="L242" s="5">
        <f t="shared" si="38"/>
        <v>4</v>
      </c>
      <c r="M242" s="5">
        <f t="shared" si="39"/>
        <v>2021</v>
      </c>
      <c r="N242" s="44">
        <v>1870</v>
      </c>
      <c r="O242" s="6">
        <f t="shared" si="42"/>
        <v>-1870</v>
      </c>
      <c r="P242" s="6">
        <f t="shared" si="41"/>
        <v>0</v>
      </c>
      <c r="Q242" s="7">
        <f t="shared" si="40"/>
        <v>328460.34999999986</v>
      </c>
      <c r="R242" s="44" t="str">
        <f>VLOOKUP(F242,'Set up'!$A$2:$E$70,5,FALSE)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35"/>
        <v>4</v>
      </c>
      <c r="C243" s="5">
        <f t="shared" si="36"/>
        <v>2021</v>
      </c>
      <c r="D243" s="5" t="s">
        <v>325</v>
      </c>
      <c r="E243" s="5" t="str">
        <f>VLOOKUP(F243,'Set up'!$A$2:$C$70,2,FALSE)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up'!$A$2:$C$70,3,FALSE)</f>
        <v>Cash</v>
      </c>
      <c r="J243" s="5">
        <f>VLOOKUP(F243,'Set up'!$A$2:$D$70,4,FALSE)</f>
        <v>0</v>
      </c>
      <c r="K243" s="4">
        <f t="shared" si="37"/>
        <v>44294</v>
      </c>
      <c r="L243" s="5">
        <f t="shared" si="38"/>
        <v>4</v>
      </c>
      <c r="M243" s="5">
        <f t="shared" si="39"/>
        <v>2021</v>
      </c>
      <c r="N243" s="44">
        <v>255</v>
      </c>
      <c r="O243" s="6">
        <f t="shared" si="42"/>
        <v>-255</v>
      </c>
      <c r="P243" s="6">
        <f t="shared" si="41"/>
        <v>0</v>
      </c>
      <c r="Q243" s="7">
        <f t="shared" si="40"/>
        <v>328715.34999999986</v>
      </c>
      <c r="R243" s="44" t="str">
        <f>VLOOKUP(F243,'Set up'!$A$2:$E$70,5,FALSE)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35"/>
        <v>4</v>
      </c>
      <c r="C244" s="5">
        <f t="shared" si="36"/>
        <v>2021</v>
      </c>
      <c r="D244" s="5" t="s">
        <v>325</v>
      </c>
      <c r="E244" s="5" t="str">
        <f>VLOOKUP(F244,'Set up'!$A$2:$C$70,2,FALSE)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up'!$A$2:$C$70,3,FALSE)</f>
        <v>Cash</v>
      </c>
      <c r="J244" s="5">
        <f>VLOOKUP(F244,'Set up'!$A$2:$D$70,4,FALSE)</f>
        <v>0</v>
      </c>
      <c r="K244" s="4">
        <f t="shared" si="37"/>
        <v>44294</v>
      </c>
      <c r="L244" s="5">
        <f t="shared" si="38"/>
        <v>4</v>
      </c>
      <c r="M244" s="5">
        <f t="shared" si="39"/>
        <v>2021</v>
      </c>
      <c r="N244" s="44">
        <v>100</v>
      </c>
      <c r="O244" s="6">
        <f t="shared" si="42"/>
        <v>-100</v>
      </c>
      <c r="P244" s="6">
        <f t="shared" si="41"/>
        <v>0</v>
      </c>
      <c r="Q244" s="7">
        <f t="shared" si="40"/>
        <v>328815.34999999986</v>
      </c>
      <c r="R244" s="44" t="str">
        <f>VLOOKUP(F244,'Set up'!$A$2:$E$70,5,FALSE)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35"/>
        <v>4</v>
      </c>
      <c r="C245" s="5">
        <f t="shared" si="36"/>
        <v>2021</v>
      </c>
      <c r="D245" s="5" t="s">
        <v>326</v>
      </c>
      <c r="E245" s="5" t="str">
        <f>VLOOKUP(F245,'Set up'!$A$2:$C$70,2,FALSE)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up'!$A$2:$C$70,3,FALSE)</f>
        <v>120</v>
      </c>
      <c r="J245" s="5">
        <f>VLOOKUP(F245,'Set up'!$A$2:$D$70,4,FALSE)</f>
        <v>120</v>
      </c>
      <c r="K245" s="4">
        <f t="shared" si="37"/>
        <v>44414</v>
      </c>
      <c r="L245" s="5">
        <f t="shared" si="38"/>
        <v>8</v>
      </c>
      <c r="M245" s="5">
        <f t="shared" si="39"/>
        <v>2021</v>
      </c>
      <c r="N245" s="44">
        <v>8690</v>
      </c>
      <c r="O245" s="6">
        <f t="shared" si="42"/>
        <v>-8690</v>
      </c>
      <c r="P245" s="6">
        <f t="shared" si="41"/>
        <v>0</v>
      </c>
      <c r="Q245" s="7">
        <f t="shared" si="40"/>
        <v>337505.34999999986</v>
      </c>
      <c r="R245" s="44" t="str">
        <f>VLOOKUP(F245,'Set up'!$A$2:$E$70,5,FALSE)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35"/>
        <v>4</v>
      </c>
      <c r="C246" s="5">
        <f t="shared" si="36"/>
        <v>2021</v>
      </c>
      <c r="D246" s="5" t="s">
        <v>326</v>
      </c>
      <c r="E246" s="5" t="str">
        <f>VLOOKUP(F246,'Set up'!$A$2:$C$70,2,FALSE)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up'!$A$2:$C$70,3,FALSE)</f>
        <v>120</v>
      </c>
      <c r="J246" s="5">
        <f>VLOOKUP(F246,'Set up'!$A$2:$D$70,4,FALSE)</f>
        <v>120</v>
      </c>
      <c r="K246" s="4">
        <f t="shared" si="37"/>
        <v>44414</v>
      </c>
      <c r="L246" s="5">
        <f t="shared" si="38"/>
        <v>8</v>
      </c>
      <c r="M246" s="5">
        <f t="shared" si="39"/>
        <v>2021</v>
      </c>
      <c r="N246" s="44">
        <v>1731.6000000000001</v>
      </c>
      <c r="O246" s="6">
        <f t="shared" si="42"/>
        <v>-1731.6000000000001</v>
      </c>
      <c r="P246" s="6">
        <f t="shared" si="41"/>
        <v>0</v>
      </c>
      <c r="Q246" s="7">
        <f t="shared" si="40"/>
        <v>339236.94999999984</v>
      </c>
      <c r="R246" s="44" t="str">
        <f>VLOOKUP(F246,'Set up'!$A$2:$E$70,5,FALSE)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35"/>
        <v>4</v>
      </c>
      <c r="C247" s="5">
        <f t="shared" si="36"/>
        <v>2021</v>
      </c>
      <c r="D247" s="5" t="s">
        <v>326</v>
      </c>
      <c r="E247" s="5" t="str">
        <f>VLOOKUP(F247,'Set up'!$A$2:$C$70,2,FALSE)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up'!$A$2:$C$70,3,FALSE)</f>
        <v>120</v>
      </c>
      <c r="J247" s="5">
        <f>VLOOKUP(F247,'Set up'!$A$2:$D$70,4,FALSE)</f>
        <v>120</v>
      </c>
      <c r="K247" s="4">
        <f t="shared" si="37"/>
        <v>44414</v>
      </c>
      <c r="L247" s="5">
        <f t="shared" si="38"/>
        <v>8</v>
      </c>
      <c r="M247" s="5">
        <f t="shared" si="39"/>
        <v>2021</v>
      </c>
      <c r="N247" s="44">
        <v>550</v>
      </c>
      <c r="O247" s="6">
        <f t="shared" si="42"/>
        <v>-550</v>
      </c>
      <c r="P247" s="6">
        <f t="shared" si="41"/>
        <v>0</v>
      </c>
      <c r="Q247" s="7">
        <f t="shared" si="40"/>
        <v>339786.94999999984</v>
      </c>
      <c r="R247" s="44" t="str">
        <f>VLOOKUP(F247,'Set up'!$A$2:$E$70,5,FALSE)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35"/>
        <v>4</v>
      </c>
      <c r="C248" s="5">
        <f t="shared" si="36"/>
        <v>2021</v>
      </c>
      <c r="D248" s="5" t="s">
        <v>326</v>
      </c>
      <c r="E248" s="5" t="str">
        <f>VLOOKUP(F248,'Set up'!$A$2:$C$70,2,FALSE)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up'!$A$2:$C$70,3,FALSE)</f>
        <v>120</v>
      </c>
      <c r="J248" s="5">
        <f>VLOOKUP(F248,'Set up'!$A$2:$D$70,4,FALSE)</f>
        <v>120</v>
      </c>
      <c r="K248" s="4">
        <f t="shared" si="37"/>
        <v>44414</v>
      </c>
      <c r="L248" s="5">
        <f t="shared" si="38"/>
        <v>8</v>
      </c>
      <c r="M248" s="5">
        <f t="shared" si="39"/>
        <v>2021</v>
      </c>
      <c r="N248" s="44">
        <v>190</v>
      </c>
      <c r="O248" s="6">
        <f t="shared" si="42"/>
        <v>-190</v>
      </c>
      <c r="P248" s="6">
        <f t="shared" si="41"/>
        <v>0</v>
      </c>
      <c r="Q248" s="7">
        <f t="shared" si="40"/>
        <v>339976.94999999984</v>
      </c>
      <c r="R248" s="44" t="str">
        <f>VLOOKUP(F248,'Set up'!$A$2:$E$70,5,FALSE)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35"/>
        <v>4</v>
      </c>
      <c r="C249" s="5">
        <f t="shared" si="36"/>
        <v>2021</v>
      </c>
      <c r="D249" s="5" t="s">
        <v>326</v>
      </c>
      <c r="E249" s="5" t="str">
        <f>VLOOKUP(F249,'Set up'!$A$2:$C$70,2,FALSE)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up'!$A$2:$C$70,3,FALSE)</f>
        <v>120</v>
      </c>
      <c r="J249" s="5">
        <f>VLOOKUP(F249,'Set up'!$A$2:$D$70,4,FALSE)</f>
        <v>120</v>
      </c>
      <c r="K249" s="4">
        <f t="shared" si="37"/>
        <v>44414</v>
      </c>
      <c r="L249" s="5">
        <f t="shared" si="38"/>
        <v>8</v>
      </c>
      <c r="M249" s="5">
        <f t="shared" si="39"/>
        <v>2021</v>
      </c>
      <c r="N249" s="44">
        <v>720</v>
      </c>
      <c r="O249" s="6">
        <f t="shared" si="42"/>
        <v>-720</v>
      </c>
      <c r="P249" s="6">
        <f t="shared" si="41"/>
        <v>0</v>
      </c>
      <c r="Q249" s="7">
        <f t="shared" si="40"/>
        <v>340696.94999999984</v>
      </c>
      <c r="R249" s="44" t="str">
        <f>VLOOKUP(F249,'Set up'!$A$2:$E$70,5,FALSE)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35"/>
        <v>4</v>
      </c>
      <c r="C250" s="5">
        <f t="shared" si="36"/>
        <v>2021</v>
      </c>
      <c r="D250" s="5" t="s">
        <v>326</v>
      </c>
      <c r="E250" s="5" t="str">
        <f>VLOOKUP(F250,'Set up'!$A$2:$C$70,2,FALSE)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up'!$A$2:$C$70,3,FALSE)</f>
        <v>120</v>
      </c>
      <c r="J250" s="5">
        <f>VLOOKUP(F250,'Set up'!$A$2:$D$70,4,FALSE)</f>
        <v>120</v>
      </c>
      <c r="K250" s="4">
        <f t="shared" si="37"/>
        <v>44414</v>
      </c>
      <c r="L250" s="5">
        <f t="shared" si="38"/>
        <v>8</v>
      </c>
      <c r="M250" s="5">
        <f t="shared" si="39"/>
        <v>2021</v>
      </c>
      <c r="N250" s="24">
        <v>220</v>
      </c>
      <c r="O250" s="6">
        <f t="shared" si="42"/>
        <v>-220</v>
      </c>
      <c r="P250" s="6">
        <f t="shared" si="41"/>
        <v>0</v>
      </c>
      <c r="Q250" s="7">
        <f t="shared" si="40"/>
        <v>340916.94999999984</v>
      </c>
      <c r="R250" s="44" t="str">
        <f>VLOOKUP(F250,'Set up'!$A$2:$E$70,5,FALSE)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35"/>
        <v>4</v>
      </c>
      <c r="C251" s="5">
        <f t="shared" si="36"/>
        <v>2021</v>
      </c>
      <c r="D251" s="5" t="s">
        <v>327</v>
      </c>
      <c r="E251" s="5" t="str">
        <f>VLOOKUP(F251,'Set up'!$A$2:$C$70,2,FALSE)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up'!$A$2:$C$70,3,FALSE)</f>
        <v>Cash</v>
      </c>
      <c r="J251" s="5">
        <f>VLOOKUP(F251,'Set up'!$A$2:$D$70,4,FALSE)</f>
        <v>0</v>
      </c>
      <c r="K251" s="4">
        <f t="shared" si="37"/>
        <v>44295</v>
      </c>
      <c r="L251" s="5">
        <f t="shared" si="38"/>
        <v>4</v>
      </c>
      <c r="M251" s="5">
        <f t="shared" si="39"/>
        <v>2021</v>
      </c>
      <c r="N251" s="24">
        <v>520</v>
      </c>
      <c r="O251" s="6">
        <f t="shared" ref="O251:O269" si="43">-N251</f>
        <v>-520</v>
      </c>
      <c r="P251" s="6">
        <f t="shared" si="41"/>
        <v>0</v>
      </c>
      <c r="Q251" s="7">
        <f t="shared" si="40"/>
        <v>341436.94999999984</v>
      </c>
      <c r="R251" s="44" t="str">
        <f>VLOOKUP(F251,'Set up'!$A$2:$E$70,5,FALSE)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35"/>
        <v>4</v>
      </c>
      <c r="C252" s="5">
        <f t="shared" si="36"/>
        <v>2021</v>
      </c>
      <c r="D252" s="5" t="s">
        <v>328</v>
      </c>
      <c r="E252" s="5" t="str">
        <f>VLOOKUP(F252,'Set up'!$A$2:$C$70,2,FALSE)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up'!$A$2:$C$70,3,FALSE)</f>
        <v>60</v>
      </c>
      <c r="J252" s="5">
        <f>VLOOKUP(F252,'Set up'!$A$2:$D$70,4,FALSE)</f>
        <v>60</v>
      </c>
      <c r="K252" s="4">
        <f t="shared" si="37"/>
        <v>44373</v>
      </c>
      <c r="L252" s="5">
        <f t="shared" si="38"/>
        <v>6</v>
      </c>
      <c r="M252" s="5">
        <f t="shared" si="39"/>
        <v>2021</v>
      </c>
      <c r="N252" s="44">
        <v>3476</v>
      </c>
      <c r="O252" s="6">
        <f t="shared" si="43"/>
        <v>-3476</v>
      </c>
      <c r="P252" s="6">
        <f t="shared" si="41"/>
        <v>0</v>
      </c>
      <c r="Q252" s="7">
        <f t="shared" si="40"/>
        <v>344912.94999999984</v>
      </c>
      <c r="R252" s="44" t="str">
        <f>VLOOKUP(F252,'Set up'!$A$2:$E$70,5,FALSE)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35"/>
        <v>4</v>
      </c>
      <c r="C253" s="5">
        <f t="shared" si="36"/>
        <v>2021</v>
      </c>
      <c r="D253" s="5" t="s">
        <v>328</v>
      </c>
      <c r="E253" s="5" t="str">
        <f>VLOOKUP(F253,'Set up'!$A$2:$C$70,2,FALSE)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up'!$A$2:$C$70,3,FALSE)</f>
        <v>60</v>
      </c>
      <c r="J253" s="5">
        <f>VLOOKUP(F253,'Set up'!$A$2:$D$70,4,FALSE)</f>
        <v>60</v>
      </c>
      <c r="K253" s="4">
        <f t="shared" si="37"/>
        <v>44373</v>
      </c>
      <c r="L253" s="5">
        <f t="shared" si="38"/>
        <v>6</v>
      </c>
      <c r="M253" s="5">
        <f t="shared" si="39"/>
        <v>2021</v>
      </c>
      <c r="N253" s="44">
        <v>1738</v>
      </c>
      <c r="O253" s="6">
        <f t="shared" si="43"/>
        <v>-1738</v>
      </c>
      <c r="P253" s="6">
        <f t="shared" si="41"/>
        <v>0</v>
      </c>
      <c r="Q253" s="7">
        <f t="shared" si="40"/>
        <v>346650.94999999984</v>
      </c>
      <c r="R253" s="44" t="str">
        <f>VLOOKUP(F253,'Set up'!$A$2:$E$70,5,FALSE)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35"/>
        <v>4</v>
      </c>
      <c r="C254" s="5">
        <f t="shared" si="36"/>
        <v>2021</v>
      </c>
      <c r="D254" s="5" t="s">
        <v>328</v>
      </c>
      <c r="E254" s="5" t="str">
        <f>VLOOKUP(F254,'Set up'!$A$2:$C$70,2,FALSE)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up'!$A$2:$C$70,3,FALSE)</f>
        <v>60</v>
      </c>
      <c r="J254" s="5">
        <f>VLOOKUP(F254,'Set up'!$A$2:$D$70,4,FALSE)</f>
        <v>60</v>
      </c>
      <c r="K254" s="4">
        <f t="shared" si="37"/>
        <v>44373</v>
      </c>
      <c r="L254" s="5">
        <f t="shared" si="38"/>
        <v>6</v>
      </c>
      <c r="M254" s="5">
        <f t="shared" si="39"/>
        <v>2021</v>
      </c>
      <c r="N254" s="44">
        <v>2268</v>
      </c>
      <c r="O254" s="6">
        <f t="shared" si="43"/>
        <v>-2268</v>
      </c>
      <c r="P254" s="6">
        <f t="shared" si="41"/>
        <v>0</v>
      </c>
      <c r="Q254" s="7">
        <f t="shared" si="40"/>
        <v>348918.94999999984</v>
      </c>
      <c r="R254" s="44" t="str">
        <f>VLOOKUP(F254,'Set up'!$A$2:$E$70,5,FALSE)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35"/>
        <v>4</v>
      </c>
      <c r="C255" s="5">
        <f t="shared" si="36"/>
        <v>2021</v>
      </c>
      <c r="D255" s="5" t="s">
        <v>331</v>
      </c>
      <c r="E255" s="5" t="str">
        <f>VLOOKUP(F255,'Set up'!$A$2:$C$70,2,FALSE)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up'!$A$2:$C$70,3,FALSE)</f>
        <v>120</v>
      </c>
      <c r="J255" s="5">
        <f>VLOOKUP(F255,'Set up'!$A$2:$D$70,4,FALSE)</f>
        <v>120</v>
      </c>
      <c r="K255" s="4">
        <f t="shared" si="37"/>
        <v>44435</v>
      </c>
      <c r="L255" s="5">
        <f t="shared" si="38"/>
        <v>8</v>
      </c>
      <c r="M255" s="5">
        <f t="shared" si="39"/>
        <v>2021</v>
      </c>
      <c r="N255" s="44">
        <v>8690</v>
      </c>
      <c r="O255" s="6">
        <f t="shared" si="43"/>
        <v>-8690</v>
      </c>
      <c r="P255" s="6">
        <f t="shared" si="41"/>
        <v>0</v>
      </c>
      <c r="Q255" s="7">
        <f t="shared" si="40"/>
        <v>357608.94999999984</v>
      </c>
      <c r="R255" s="44" t="str">
        <f>VLOOKUP(F255,'Set up'!$A$2:$E$70,5,FALSE)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35"/>
        <v>4</v>
      </c>
      <c r="C256" s="5">
        <f t="shared" si="36"/>
        <v>2021</v>
      </c>
      <c r="D256" s="5" t="s">
        <v>331</v>
      </c>
      <c r="E256" s="5" t="str">
        <f>VLOOKUP(F256,'Set up'!$A$2:$C$70,2,FALSE)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up'!$A$2:$C$70,3,FALSE)</f>
        <v>120</v>
      </c>
      <c r="J256" s="5">
        <f>VLOOKUP(F256,'Set up'!$A$2:$D$70,4,FALSE)</f>
        <v>120</v>
      </c>
      <c r="K256" s="4">
        <f t="shared" si="37"/>
        <v>44435</v>
      </c>
      <c r="L256" s="5">
        <f t="shared" si="38"/>
        <v>8</v>
      </c>
      <c r="M256" s="5">
        <f t="shared" si="39"/>
        <v>2021</v>
      </c>
      <c r="N256" s="44">
        <v>1230</v>
      </c>
      <c r="O256" s="6">
        <f t="shared" si="43"/>
        <v>-1230</v>
      </c>
      <c r="P256" s="6">
        <f t="shared" si="41"/>
        <v>0</v>
      </c>
      <c r="Q256" s="7">
        <f t="shared" si="40"/>
        <v>358838.94999999984</v>
      </c>
      <c r="R256" s="44" t="str">
        <f>VLOOKUP(F256,'Set up'!$A$2:$E$70,5,FALSE)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35"/>
        <v>4</v>
      </c>
      <c r="C257" s="5">
        <f t="shared" si="36"/>
        <v>2021</v>
      </c>
      <c r="D257" s="5" t="s">
        <v>331</v>
      </c>
      <c r="E257" s="5" t="str">
        <f>VLOOKUP(F257,'Set up'!$A$2:$C$70,2,FALSE)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up'!$A$2:$C$70,3,FALSE)</f>
        <v>120</v>
      </c>
      <c r="J257" s="5">
        <f>VLOOKUP(F257,'Set up'!$A$2:$D$70,4,FALSE)</f>
        <v>120</v>
      </c>
      <c r="K257" s="4">
        <f t="shared" si="37"/>
        <v>44435</v>
      </c>
      <c r="L257" s="5">
        <f t="shared" si="38"/>
        <v>8</v>
      </c>
      <c r="M257" s="5">
        <f t="shared" si="39"/>
        <v>2021</v>
      </c>
      <c r="N257" s="44">
        <v>550</v>
      </c>
      <c r="O257" s="6">
        <f t="shared" si="43"/>
        <v>-550</v>
      </c>
      <c r="P257" s="6">
        <f t="shared" si="41"/>
        <v>0</v>
      </c>
      <c r="Q257" s="7">
        <f t="shared" si="40"/>
        <v>359388.94999999984</v>
      </c>
      <c r="R257" s="44" t="str">
        <f>VLOOKUP(F257,'Set up'!$A$2:$E$70,5,FALSE)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si="35"/>
        <v>4</v>
      </c>
      <c r="C258" s="5">
        <f t="shared" si="36"/>
        <v>2021</v>
      </c>
      <c r="D258" s="5" t="s">
        <v>331</v>
      </c>
      <c r="E258" s="5" t="str">
        <f>VLOOKUP(F258,'Set up'!$A$2:$C$70,2,FALSE)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up'!$A$2:$C$70,3,FALSE)</f>
        <v>120</v>
      </c>
      <c r="J258" s="5">
        <f>VLOOKUP(F258,'Set up'!$A$2:$D$70,4,FALSE)</f>
        <v>120</v>
      </c>
      <c r="K258" s="4">
        <f t="shared" si="37"/>
        <v>44435</v>
      </c>
      <c r="L258" s="5">
        <f t="shared" si="38"/>
        <v>8</v>
      </c>
      <c r="M258" s="5">
        <f t="shared" si="39"/>
        <v>2021</v>
      </c>
      <c r="N258" s="44">
        <v>380</v>
      </c>
      <c r="O258" s="6">
        <f t="shared" si="43"/>
        <v>-380</v>
      </c>
      <c r="P258" s="6">
        <f t="shared" si="41"/>
        <v>0</v>
      </c>
      <c r="Q258" s="7">
        <f t="shared" si="40"/>
        <v>359768.94999999984</v>
      </c>
      <c r="R258" s="44" t="str">
        <f>VLOOKUP(F258,'Set up'!$A$2:$E$70,5,FALSE)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ref="B259:B322" si="44">MONTH(A259)</f>
        <v>4</v>
      </c>
      <c r="C259" s="5">
        <f t="shared" ref="C259:C322" si="45">YEAR(A259)</f>
        <v>2021</v>
      </c>
      <c r="D259" s="5" t="s">
        <v>331</v>
      </c>
      <c r="E259" s="5" t="str">
        <f>VLOOKUP(F259,'Set up'!$A$2:$C$70,2,FALSE)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up'!$A$2:$C$70,3,FALSE)</f>
        <v>120</v>
      </c>
      <c r="J259" s="5">
        <f>VLOOKUP(F259,'Set up'!$A$2:$D$70,4,FALSE)</f>
        <v>120</v>
      </c>
      <c r="K259" s="4">
        <f t="shared" ref="K259:K322" si="46">A259+J259</f>
        <v>44435</v>
      </c>
      <c r="L259" s="5">
        <f t="shared" ref="L259:L322" si="47">MONTH(K259)</f>
        <v>8</v>
      </c>
      <c r="M259" s="5">
        <f t="shared" ref="M259:M322" si="48">YEAR(K259)</f>
        <v>2021</v>
      </c>
      <c r="N259" s="44">
        <v>360</v>
      </c>
      <c r="O259" s="6">
        <f t="shared" si="43"/>
        <v>-360</v>
      </c>
      <c r="P259" s="6">
        <f t="shared" si="41"/>
        <v>0</v>
      </c>
      <c r="Q259" s="7">
        <f t="shared" ref="Q259:Q322" si="49">SUM(Q258+N259)</f>
        <v>360128.94999999984</v>
      </c>
      <c r="R259" s="44" t="str">
        <f>VLOOKUP(F259,'Set up'!$A$2:$E$70,5,FALSE)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44"/>
        <v>4</v>
      </c>
      <c r="C260" s="5">
        <f t="shared" si="45"/>
        <v>2021</v>
      </c>
      <c r="D260" s="5" t="s">
        <v>331</v>
      </c>
      <c r="E260" s="5" t="str">
        <f>VLOOKUP(F260,'Set up'!$A$2:$C$70,2,FALSE)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up'!$A$2:$C$70,3,FALSE)</f>
        <v>120</v>
      </c>
      <c r="J260" s="5">
        <f>VLOOKUP(F260,'Set up'!$A$2:$D$70,4,FALSE)</f>
        <v>120</v>
      </c>
      <c r="K260" s="4">
        <f t="shared" si="46"/>
        <v>44435</v>
      </c>
      <c r="L260" s="5">
        <f t="shared" si="47"/>
        <v>8</v>
      </c>
      <c r="M260" s="5">
        <f t="shared" si="48"/>
        <v>2021</v>
      </c>
      <c r="N260" s="44">
        <v>375</v>
      </c>
      <c r="O260" s="6">
        <f>-N260-179.4</f>
        <v>-554.4</v>
      </c>
      <c r="P260" s="48">
        <f t="shared" si="41"/>
        <v>-179.39999999999998</v>
      </c>
      <c r="Q260" s="7">
        <f t="shared" si="49"/>
        <v>360503.94999999984</v>
      </c>
      <c r="R260" s="44" t="str">
        <f>VLOOKUP(F260,'Set up'!$A$2:$E$70,5,FALSE)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f t="shared" si="44"/>
        <v>5</v>
      </c>
      <c r="C261" s="5">
        <f t="shared" si="45"/>
        <v>2021</v>
      </c>
      <c r="D261" s="5" t="s">
        <v>329</v>
      </c>
      <c r="E261" s="5" t="str">
        <f>VLOOKUP(F261,'Set up'!$A$2:$C$70,2,FALSE)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up'!$A$2:$C$70,3,FALSE)</f>
        <v>120</v>
      </c>
      <c r="J261" s="5">
        <f>VLOOKUP(F261,'Set up'!$A$2:$D$70,4,FALSE)</f>
        <v>120</v>
      </c>
      <c r="K261" s="4">
        <f t="shared" si="46"/>
        <v>44439</v>
      </c>
      <c r="L261" s="5">
        <f t="shared" si="47"/>
        <v>8</v>
      </c>
      <c r="M261" s="5">
        <f t="shared" si="48"/>
        <v>2021</v>
      </c>
      <c r="N261" s="44">
        <v>8690</v>
      </c>
      <c r="O261" s="6">
        <f t="shared" si="43"/>
        <v>-8690</v>
      </c>
      <c r="P261" s="6">
        <f t="shared" si="41"/>
        <v>0</v>
      </c>
      <c r="Q261" s="7">
        <f t="shared" si="49"/>
        <v>369193.94999999984</v>
      </c>
      <c r="R261" s="44" t="str">
        <f>VLOOKUP(F261,'Set up'!$A$2:$E$70,5,FALSE)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f t="shared" si="44"/>
        <v>5</v>
      </c>
      <c r="C262" s="5">
        <f t="shared" si="45"/>
        <v>2021</v>
      </c>
      <c r="D262" s="5" t="s">
        <v>329</v>
      </c>
      <c r="E262" s="5" t="str">
        <f>VLOOKUP(F262,'Set up'!$A$2:$C$70,2,FALSE)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up'!$A$2:$C$70,3,FALSE)</f>
        <v>120</v>
      </c>
      <c r="J262" s="5">
        <f>VLOOKUP(F262,'Set up'!$A$2:$D$70,4,FALSE)</f>
        <v>120</v>
      </c>
      <c r="K262" s="4">
        <f t="shared" si="46"/>
        <v>44439</v>
      </c>
      <c r="L262" s="5">
        <f t="shared" si="47"/>
        <v>8</v>
      </c>
      <c r="M262" s="5">
        <f t="shared" si="48"/>
        <v>2021</v>
      </c>
      <c r="N262" s="44">
        <v>1716</v>
      </c>
      <c r="O262" s="6">
        <f t="shared" si="43"/>
        <v>-1716</v>
      </c>
      <c r="P262" s="6">
        <f t="shared" si="41"/>
        <v>0</v>
      </c>
      <c r="Q262" s="7">
        <f t="shared" si="49"/>
        <v>370909.94999999984</v>
      </c>
      <c r="R262" s="44" t="str">
        <f>VLOOKUP(F262,'Set up'!$A$2:$E$70,5,FALSE)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f t="shared" si="44"/>
        <v>5</v>
      </c>
      <c r="C263" s="5">
        <f t="shared" si="45"/>
        <v>2021</v>
      </c>
      <c r="D263" s="5" t="s">
        <v>329</v>
      </c>
      <c r="E263" s="5" t="str">
        <f>VLOOKUP(F263,'Set up'!$A$2:$C$70,2,FALSE)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up'!$A$2:$C$70,3,FALSE)</f>
        <v>120</v>
      </c>
      <c r="J263" s="5">
        <f>VLOOKUP(F263,'Set up'!$A$2:$D$70,4,FALSE)</f>
        <v>120</v>
      </c>
      <c r="K263" s="4">
        <f t="shared" si="46"/>
        <v>44439</v>
      </c>
      <c r="L263" s="5">
        <f t="shared" si="47"/>
        <v>8</v>
      </c>
      <c r="M263" s="5">
        <f t="shared" si="48"/>
        <v>2021</v>
      </c>
      <c r="N263" s="44">
        <v>1814.4</v>
      </c>
      <c r="O263" s="6">
        <f t="shared" si="43"/>
        <v>-1814.4</v>
      </c>
      <c r="P263" s="6">
        <f t="shared" si="41"/>
        <v>0</v>
      </c>
      <c r="Q263" s="7">
        <f t="shared" si="49"/>
        <v>372724.34999999986</v>
      </c>
      <c r="R263" s="44" t="str">
        <f>VLOOKUP(F263,'Set up'!$A$2:$E$70,5,FALSE)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f t="shared" si="44"/>
        <v>5</v>
      </c>
      <c r="C264" s="5">
        <f t="shared" si="45"/>
        <v>2021</v>
      </c>
      <c r="D264" s="5" t="s">
        <v>329</v>
      </c>
      <c r="E264" s="5" t="str">
        <f>VLOOKUP(F264,'Set up'!$A$2:$C$70,2,FALSE)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up'!$A$2:$C$70,3,FALSE)</f>
        <v>120</v>
      </c>
      <c r="J264" s="5">
        <f>VLOOKUP(F264,'Set up'!$A$2:$D$70,4,FALSE)</f>
        <v>120</v>
      </c>
      <c r="K264" s="4">
        <f t="shared" si="46"/>
        <v>44439</v>
      </c>
      <c r="L264" s="5">
        <f t="shared" si="47"/>
        <v>8</v>
      </c>
      <c r="M264" s="5">
        <f t="shared" si="48"/>
        <v>2021</v>
      </c>
      <c r="N264" s="44">
        <v>1814.4</v>
      </c>
      <c r="O264" s="6">
        <f t="shared" si="43"/>
        <v>-1814.4</v>
      </c>
      <c r="P264" s="6">
        <f t="shared" si="41"/>
        <v>0</v>
      </c>
      <c r="Q264" s="7">
        <f t="shared" si="49"/>
        <v>374538.74999999988</v>
      </c>
      <c r="R264" s="44" t="str">
        <f>VLOOKUP(F264,'Set up'!$A$2:$E$70,5,FALSE)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f t="shared" si="44"/>
        <v>5</v>
      </c>
      <c r="C265" s="5">
        <f t="shared" si="45"/>
        <v>2021</v>
      </c>
      <c r="D265" s="5" t="s">
        <v>337</v>
      </c>
      <c r="E265" s="5" t="str">
        <f>VLOOKUP(F265,'Set up'!$A$2:$C$70,2,FALSE)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up'!$A$2:$C$70,3,FALSE)</f>
        <v>Cash</v>
      </c>
      <c r="J265" s="5">
        <f>VLOOKUP(F265,'Set up'!$A$2:$D$70,4,FALSE)</f>
        <v>0</v>
      </c>
      <c r="K265" s="4">
        <f t="shared" si="46"/>
        <v>44322</v>
      </c>
      <c r="L265" s="5">
        <f t="shared" si="47"/>
        <v>5</v>
      </c>
      <c r="M265" s="5">
        <f t="shared" si="48"/>
        <v>2021</v>
      </c>
      <c r="N265" s="67">
        <v>1826</v>
      </c>
      <c r="O265" s="6">
        <f t="shared" si="43"/>
        <v>-1826</v>
      </c>
      <c r="P265" s="6">
        <f t="shared" si="41"/>
        <v>0</v>
      </c>
      <c r="Q265" s="7">
        <f t="shared" si="49"/>
        <v>376364.74999999988</v>
      </c>
      <c r="R265" s="44" t="str">
        <f>VLOOKUP(F265,'Set up'!$A$2:$E$70,5,FALSE)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f t="shared" si="44"/>
        <v>5</v>
      </c>
      <c r="C266" s="5">
        <f t="shared" si="45"/>
        <v>2021</v>
      </c>
      <c r="D266" s="5" t="s">
        <v>337</v>
      </c>
      <c r="E266" s="5" t="str">
        <f>VLOOKUP(F266,'Set up'!$A$2:$C$70,2,FALSE)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up'!$A$2:$C$70,3,FALSE)</f>
        <v>Cash</v>
      </c>
      <c r="J266" s="5">
        <f>VLOOKUP(F266,'Set up'!$A$2:$D$70,4,FALSE)</f>
        <v>0</v>
      </c>
      <c r="K266" s="4">
        <f t="shared" si="46"/>
        <v>44322</v>
      </c>
      <c r="L266" s="5">
        <f t="shared" si="47"/>
        <v>5</v>
      </c>
      <c r="M266" s="5">
        <f t="shared" si="48"/>
        <v>2021</v>
      </c>
      <c r="N266" s="67">
        <v>50</v>
      </c>
      <c r="O266" s="6">
        <f t="shared" si="43"/>
        <v>-50</v>
      </c>
      <c r="P266" s="6">
        <f t="shared" si="41"/>
        <v>0</v>
      </c>
      <c r="Q266" s="7">
        <f t="shared" si="49"/>
        <v>376414.74999999988</v>
      </c>
      <c r="R266" s="44" t="str">
        <f>VLOOKUP(F266,'Set up'!$A$2:$E$70,5,FALSE)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f t="shared" si="44"/>
        <v>5</v>
      </c>
      <c r="C267" s="5">
        <f t="shared" si="45"/>
        <v>2021</v>
      </c>
      <c r="D267" s="5" t="s">
        <v>338</v>
      </c>
      <c r="E267" s="5" t="str">
        <f>VLOOKUP(F267,'Set up'!$A$2:$C$70,2,FALSE)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up'!$A$2:$C$70,3,FALSE)</f>
        <v>Cash</v>
      </c>
      <c r="J267" s="5">
        <f>VLOOKUP(F267,'Set up'!$A$2:$D$70,4,FALSE)</f>
        <v>0</v>
      </c>
      <c r="K267" s="4">
        <f t="shared" si="46"/>
        <v>44323</v>
      </c>
      <c r="L267" s="5">
        <f t="shared" si="47"/>
        <v>5</v>
      </c>
      <c r="M267" s="5">
        <f t="shared" si="48"/>
        <v>2021</v>
      </c>
      <c r="N267" s="24">
        <v>1826</v>
      </c>
      <c r="O267" s="6">
        <f t="shared" si="43"/>
        <v>-1826</v>
      </c>
      <c r="P267" s="6">
        <f t="shared" si="41"/>
        <v>0</v>
      </c>
      <c r="Q267" s="7">
        <f t="shared" si="49"/>
        <v>378240.74999999988</v>
      </c>
      <c r="R267" s="44" t="str">
        <f>VLOOKUP(F267,'Set up'!$A$2:$E$70,5,FALSE)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f t="shared" si="44"/>
        <v>5</v>
      </c>
      <c r="C268" s="5">
        <f t="shared" si="45"/>
        <v>2021</v>
      </c>
      <c r="D268" s="5" t="s">
        <v>338</v>
      </c>
      <c r="E268" s="5" t="str">
        <f>VLOOKUP(F268,'Set up'!$A$2:$C$70,2,FALSE)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up'!$A$2:$C$70,3,FALSE)</f>
        <v>Cash</v>
      </c>
      <c r="J268" s="5">
        <f>VLOOKUP(F268,'Set up'!$A$2:$D$70,4,FALSE)</f>
        <v>0</v>
      </c>
      <c r="K268" s="4">
        <f t="shared" si="46"/>
        <v>44323</v>
      </c>
      <c r="L268" s="5">
        <f t="shared" si="47"/>
        <v>5</v>
      </c>
      <c r="M268" s="5">
        <f t="shared" si="48"/>
        <v>2021</v>
      </c>
      <c r="N268" s="24">
        <v>1020</v>
      </c>
      <c r="O268" s="6">
        <f t="shared" si="43"/>
        <v>-1020</v>
      </c>
      <c r="P268" s="6">
        <f t="shared" si="41"/>
        <v>0</v>
      </c>
      <c r="Q268" s="7">
        <f t="shared" si="49"/>
        <v>379260.74999999988</v>
      </c>
      <c r="R268" s="44" t="str">
        <f>VLOOKUP(F268,'Set up'!$A$2:$E$70,5,FALSE)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f t="shared" si="44"/>
        <v>5</v>
      </c>
      <c r="C269" s="5">
        <f t="shared" si="45"/>
        <v>2021</v>
      </c>
      <c r="D269" s="5" t="s">
        <v>340</v>
      </c>
      <c r="E269" s="5" t="str">
        <f>VLOOKUP(F269,'Set up'!$A$2:$C$70,2,FALSE)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up'!$A$2:$C$70,3,FALSE)</f>
        <v>Cash</v>
      </c>
      <c r="J269" s="5">
        <f>VLOOKUP(F269,'Set up'!$A$2:$D$70,4,FALSE)</f>
        <v>0</v>
      </c>
      <c r="K269" s="4">
        <f t="shared" si="46"/>
        <v>44335</v>
      </c>
      <c r="L269" s="5">
        <f t="shared" si="47"/>
        <v>5</v>
      </c>
      <c r="M269" s="5">
        <f t="shared" si="48"/>
        <v>2021</v>
      </c>
      <c r="N269" s="24">
        <v>1826</v>
      </c>
      <c r="O269" s="6">
        <f t="shared" si="43"/>
        <v>-1826</v>
      </c>
      <c r="P269" s="6">
        <f t="shared" si="41"/>
        <v>0</v>
      </c>
      <c r="Q269" s="7">
        <f t="shared" si="49"/>
        <v>381086.74999999988</v>
      </c>
      <c r="R269" s="44" t="str">
        <f>VLOOKUP(F269,'Set up'!$A$2:$E$70,5,FALSE)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f t="shared" si="44"/>
        <v>5</v>
      </c>
      <c r="C270" s="5">
        <f t="shared" si="45"/>
        <v>2021</v>
      </c>
      <c r="D270" s="5" t="s">
        <v>341</v>
      </c>
      <c r="E270" s="5" t="str">
        <f>VLOOKUP(F270,'Set up'!$A$2:$C$70,2,FALSE)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up'!$A$2:$C$70,3,FALSE)</f>
        <v>45</v>
      </c>
      <c r="J270" s="5">
        <f>VLOOKUP(F270,'Set up'!$A$2:$D$70,4,FALSE)</f>
        <v>45</v>
      </c>
      <c r="K270" s="4">
        <f t="shared" si="46"/>
        <v>44382</v>
      </c>
      <c r="L270" s="5">
        <f t="shared" si="47"/>
        <v>7</v>
      </c>
      <c r="M270" s="5">
        <f t="shared" si="48"/>
        <v>2021</v>
      </c>
      <c r="N270" s="24">
        <v>5610</v>
      </c>
      <c r="O270" s="6">
        <f>-3050-1700-860</f>
        <v>-5610</v>
      </c>
      <c r="P270" s="6">
        <f t="shared" si="41"/>
        <v>0</v>
      </c>
      <c r="Q270" s="7">
        <f t="shared" si="49"/>
        <v>386696.74999999988</v>
      </c>
      <c r="R270" s="44" t="str">
        <f>VLOOKUP(F270,'Set up'!$A$2:$E$70,5,FALSE)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f t="shared" si="44"/>
        <v>5</v>
      </c>
      <c r="C271" s="5">
        <f t="shared" si="45"/>
        <v>2021</v>
      </c>
      <c r="D271" s="5" t="s">
        <v>341</v>
      </c>
      <c r="E271" s="5" t="str">
        <f>VLOOKUP(F271,'Set up'!$A$2:$C$70,2,FALSE)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up'!$A$2:$C$70,3,FALSE)</f>
        <v>45</v>
      </c>
      <c r="J271" s="5">
        <f>VLOOKUP(F271,'Set up'!$A$2:$D$70,4,FALSE)</f>
        <v>45</v>
      </c>
      <c r="K271" s="4">
        <f t="shared" si="46"/>
        <v>44382</v>
      </c>
      <c r="L271" s="5">
        <f t="shared" si="47"/>
        <v>7</v>
      </c>
      <c r="M271" s="5">
        <f t="shared" si="48"/>
        <v>2021</v>
      </c>
      <c r="N271" s="24">
        <v>250</v>
      </c>
      <c r="O271" s="6">
        <f t="shared" ref="O271:O300" si="50">-N271</f>
        <v>-250</v>
      </c>
      <c r="P271" s="6">
        <f t="shared" si="41"/>
        <v>0</v>
      </c>
      <c r="Q271" s="7">
        <f t="shared" si="49"/>
        <v>386946.74999999988</v>
      </c>
      <c r="R271" s="44" t="str">
        <f>VLOOKUP(F271,'Set up'!$A$2:$E$70,5,FALSE)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f t="shared" si="44"/>
        <v>5</v>
      </c>
      <c r="C272" s="5">
        <f t="shared" si="45"/>
        <v>2021</v>
      </c>
      <c r="D272" s="5" t="s">
        <v>341</v>
      </c>
      <c r="E272" s="5" t="str">
        <f>VLOOKUP(F272,'Set up'!$A$2:$C$70,2,FALSE)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up'!$A$2:$C$70,3,FALSE)</f>
        <v>45</v>
      </c>
      <c r="J272" s="5">
        <f>VLOOKUP(F272,'Set up'!$A$2:$D$70,4,FALSE)</f>
        <v>45</v>
      </c>
      <c r="K272" s="4">
        <f t="shared" si="46"/>
        <v>44382</v>
      </c>
      <c r="L272" s="5">
        <f t="shared" si="47"/>
        <v>7</v>
      </c>
      <c r="M272" s="5">
        <f t="shared" si="48"/>
        <v>2021</v>
      </c>
      <c r="N272" s="24">
        <v>500</v>
      </c>
      <c r="O272" s="6">
        <f t="shared" si="50"/>
        <v>-500</v>
      </c>
      <c r="P272" s="6">
        <f t="shared" si="41"/>
        <v>0</v>
      </c>
      <c r="Q272" s="7">
        <f t="shared" si="49"/>
        <v>387446.74999999988</v>
      </c>
      <c r="R272" s="44" t="str">
        <f>VLOOKUP(F272,'Set up'!$A$2:$E$70,5,FALSE)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f t="shared" si="44"/>
        <v>5</v>
      </c>
      <c r="C273" s="5">
        <f t="shared" si="45"/>
        <v>2021</v>
      </c>
      <c r="D273" s="5" t="s">
        <v>341</v>
      </c>
      <c r="E273" s="5" t="str">
        <f>VLOOKUP(F273,'Set up'!$A$2:$C$70,2,FALSE)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up'!$A$2:$C$70,3,FALSE)</f>
        <v>45</v>
      </c>
      <c r="J273" s="5">
        <f>VLOOKUP(F273,'Set up'!$A$2:$D$70,4,FALSE)</f>
        <v>45</v>
      </c>
      <c r="K273" s="4">
        <f t="shared" si="46"/>
        <v>44382</v>
      </c>
      <c r="L273" s="5">
        <f t="shared" si="47"/>
        <v>7</v>
      </c>
      <c r="M273" s="5">
        <f t="shared" si="48"/>
        <v>2021</v>
      </c>
      <c r="N273" s="24">
        <v>90</v>
      </c>
      <c r="O273" s="6">
        <f t="shared" si="50"/>
        <v>-90</v>
      </c>
      <c r="P273" s="6">
        <f t="shared" si="41"/>
        <v>0</v>
      </c>
      <c r="Q273" s="7">
        <f t="shared" si="49"/>
        <v>387536.74999999988</v>
      </c>
      <c r="R273" s="44" t="str">
        <f>VLOOKUP(F273,'Set up'!$A$2:$E$70,5,FALSE)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si="44"/>
        <v>5</v>
      </c>
      <c r="C274" s="5">
        <f t="shared" si="45"/>
        <v>2021</v>
      </c>
      <c r="D274" s="5" t="s">
        <v>317</v>
      </c>
      <c r="E274" s="5" t="str">
        <f>VLOOKUP(F274,'Set up'!$A$2:$C$70,2,FALSE)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up'!$A$2:$C$70,3,FALSE)</f>
        <v>Cash</v>
      </c>
      <c r="J274" s="5">
        <f>VLOOKUP(F274,'Set up'!$A$2:$D$70,4,FALSE)</f>
        <v>0</v>
      </c>
      <c r="K274" s="4">
        <f t="shared" si="46"/>
        <v>44341</v>
      </c>
      <c r="L274" s="5">
        <f t="shared" si="47"/>
        <v>5</v>
      </c>
      <c r="M274" s="5">
        <f t="shared" si="48"/>
        <v>2021</v>
      </c>
      <c r="N274" s="24">
        <v>459</v>
      </c>
      <c r="O274" s="6">
        <f t="shared" si="50"/>
        <v>-459</v>
      </c>
      <c r="P274" s="6">
        <f t="shared" si="41"/>
        <v>0</v>
      </c>
      <c r="Q274" s="7">
        <f t="shared" si="49"/>
        <v>387995.74999999988</v>
      </c>
      <c r="R274" s="44" t="str">
        <f>VLOOKUP(F274,'Set up'!$A$2:$E$70,5,FALSE)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44"/>
        <v>5</v>
      </c>
      <c r="C275" s="5">
        <f t="shared" si="45"/>
        <v>2021</v>
      </c>
      <c r="D275" s="5" t="s">
        <v>317</v>
      </c>
      <c r="E275" s="5" t="str">
        <f>VLOOKUP(F275,'Set up'!$A$2:$C$70,2,FALSE)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up'!$A$2:$C$70,3,FALSE)</f>
        <v>Cash</v>
      </c>
      <c r="J275" s="5">
        <f>VLOOKUP(F275,'Set up'!$A$2:$D$70,4,FALSE)</f>
        <v>0</v>
      </c>
      <c r="K275" s="4">
        <f t="shared" si="46"/>
        <v>44341</v>
      </c>
      <c r="L275" s="5">
        <f t="shared" si="47"/>
        <v>5</v>
      </c>
      <c r="M275" s="5">
        <f t="shared" si="48"/>
        <v>2021</v>
      </c>
      <c r="N275" s="24">
        <v>459</v>
      </c>
      <c r="O275" s="6">
        <f t="shared" si="50"/>
        <v>-459</v>
      </c>
      <c r="P275" s="6">
        <f t="shared" si="41"/>
        <v>0</v>
      </c>
      <c r="Q275" s="7">
        <f t="shared" si="49"/>
        <v>388454.74999999988</v>
      </c>
      <c r="R275" s="44" t="str">
        <f>VLOOKUP(F275,'Set up'!$A$2:$E$70,5,FALSE)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44"/>
        <v>5</v>
      </c>
      <c r="C276" s="5">
        <f t="shared" si="45"/>
        <v>2021</v>
      </c>
      <c r="D276" s="5" t="s">
        <v>317</v>
      </c>
      <c r="E276" s="5" t="str">
        <f>VLOOKUP(F276,'Set up'!$A$2:$C$70,2,FALSE)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up'!$A$2:$C$70,3,FALSE)</f>
        <v>Cash</v>
      </c>
      <c r="J276" s="5">
        <f>VLOOKUP(F276,'Set up'!$A$2:$D$70,4,FALSE)</f>
        <v>0</v>
      </c>
      <c r="K276" s="4">
        <f t="shared" si="46"/>
        <v>44341</v>
      </c>
      <c r="L276" s="5">
        <f t="shared" si="47"/>
        <v>5</v>
      </c>
      <c r="M276" s="5">
        <f t="shared" si="48"/>
        <v>2021</v>
      </c>
      <c r="N276" s="24">
        <v>100</v>
      </c>
      <c r="O276" s="6">
        <f t="shared" si="50"/>
        <v>-100</v>
      </c>
      <c r="P276" s="6">
        <f t="shared" si="41"/>
        <v>0</v>
      </c>
      <c r="Q276" s="7">
        <f t="shared" si="49"/>
        <v>388554.74999999988</v>
      </c>
      <c r="R276" s="44" t="str">
        <f>VLOOKUP(F276,'Set up'!$A$2:$E$70,5,FALSE)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44"/>
        <v>5</v>
      </c>
      <c r="C277" s="5">
        <f t="shared" si="45"/>
        <v>2021</v>
      </c>
      <c r="D277" s="5" t="s">
        <v>317</v>
      </c>
      <c r="E277" s="5" t="str">
        <f>VLOOKUP(F277,'Set up'!$A$2:$C$70,2,FALSE)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up'!$A$2:$C$70,3,FALSE)</f>
        <v>Cash</v>
      </c>
      <c r="J277" s="5">
        <f>VLOOKUP(F277,'Set up'!$A$2:$D$70,4,FALSE)</f>
        <v>0</v>
      </c>
      <c r="K277" s="4">
        <f t="shared" si="46"/>
        <v>44341</v>
      </c>
      <c r="L277" s="5">
        <f t="shared" si="47"/>
        <v>5</v>
      </c>
      <c r="M277" s="5">
        <f t="shared" si="48"/>
        <v>2021</v>
      </c>
      <c r="N277" s="24">
        <v>380</v>
      </c>
      <c r="O277" s="6">
        <f t="shared" si="50"/>
        <v>-380</v>
      </c>
      <c r="P277" s="6">
        <f t="shared" ref="P277:P340" si="51">SUM(N277+O277)</f>
        <v>0</v>
      </c>
      <c r="Q277" s="7">
        <f t="shared" si="49"/>
        <v>388934.74999999988</v>
      </c>
      <c r="R277" s="44" t="str">
        <f>VLOOKUP(F277,'Set up'!$A$2:$E$70,5,FALSE)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44"/>
        <v>5</v>
      </c>
      <c r="C278" s="5">
        <f t="shared" si="45"/>
        <v>2021</v>
      </c>
      <c r="D278" s="5" t="s">
        <v>317</v>
      </c>
      <c r="E278" s="5" t="str">
        <f>VLOOKUP(F278,'Set up'!$A$2:$C$70,2,FALSE)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up'!$A$2:$C$70,3,FALSE)</f>
        <v>Cash</v>
      </c>
      <c r="J278" s="5">
        <f>VLOOKUP(F278,'Set up'!$A$2:$D$70,4,FALSE)</f>
        <v>0</v>
      </c>
      <c r="K278" s="4">
        <f t="shared" si="46"/>
        <v>44341</v>
      </c>
      <c r="L278" s="5">
        <f t="shared" si="47"/>
        <v>5</v>
      </c>
      <c r="M278" s="5">
        <f t="shared" si="48"/>
        <v>2021</v>
      </c>
      <c r="N278" s="24">
        <v>246</v>
      </c>
      <c r="O278" s="6">
        <f t="shared" si="50"/>
        <v>-246</v>
      </c>
      <c r="P278" s="6">
        <f t="shared" si="51"/>
        <v>0</v>
      </c>
      <c r="Q278" s="7">
        <f t="shared" si="49"/>
        <v>389180.74999999988</v>
      </c>
      <c r="R278" s="44" t="str">
        <f>VLOOKUP(F278,'Set up'!$A$2:$E$70,5,FALSE)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44"/>
        <v>5</v>
      </c>
      <c r="C279" s="5">
        <f t="shared" si="45"/>
        <v>2021</v>
      </c>
      <c r="D279" s="5" t="s">
        <v>317</v>
      </c>
      <c r="E279" s="5" t="str">
        <f>VLOOKUP(F279,'Set up'!$A$2:$C$70,2,FALSE)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up'!$A$2:$C$70,3,FALSE)</f>
        <v>Cash</v>
      </c>
      <c r="J279" s="5">
        <f>VLOOKUP(F279,'Set up'!$A$2:$D$70,4,FALSE)</f>
        <v>0</v>
      </c>
      <c r="K279" s="4">
        <f t="shared" si="46"/>
        <v>44341</v>
      </c>
      <c r="L279" s="5">
        <f t="shared" si="47"/>
        <v>5</v>
      </c>
      <c r="M279" s="5">
        <f t="shared" si="48"/>
        <v>2021</v>
      </c>
      <c r="N279" s="24">
        <v>90</v>
      </c>
      <c r="O279" s="6">
        <f t="shared" si="50"/>
        <v>-90</v>
      </c>
      <c r="P279" s="6">
        <f t="shared" si="51"/>
        <v>0</v>
      </c>
      <c r="Q279" s="7">
        <f t="shared" si="49"/>
        <v>389270.74999999988</v>
      </c>
      <c r="R279" s="44" t="str">
        <f>VLOOKUP(F279,'Set up'!$A$2:$E$70,5,FALSE)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44"/>
        <v>5</v>
      </c>
      <c r="C280" s="5">
        <f t="shared" si="45"/>
        <v>2021</v>
      </c>
      <c r="D280" s="5" t="s">
        <v>317</v>
      </c>
      <c r="E280" s="5" t="str">
        <f>VLOOKUP(F280,'Set up'!$A$2:$C$70,2,FALSE)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up'!$A$2:$C$70,3,FALSE)</f>
        <v>Cash</v>
      </c>
      <c r="J280" s="5">
        <f>VLOOKUP(F280,'Set up'!$A$2:$D$70,4,FALSE)</f>
        <v>0</v>
      </c>
      <c r="K280" s="4">
        <f t="shared" si="46"/>
        <v>44341</v>
      </c>
      <c r="L280" s="5">
        <f t="shared" si="47"/>
        <v>5</v>
      </c>
      <c r="M280" s="5">
        <f t="shared" si="48"/>
        <v>2021</v>
      </c>
      <c r="N280" s="24">
        <v>68</v>
      </c>
      <c r="O280" s="6">
        <f t="shared" si="50"/>
        <v>-68</v>
      </c>
      <c r="P280" s="6">
        <f t="shared" si="51"/>
        <v>0</v>
      </c>
      <c r="Q280" s="7">
        <f t="shared" si="49"/>
        <v>389338.74999999988</v>
      </c>
      <c r="R280" s="44" t="str">
        <f>VLOOKUP(F280,'Set up'!$A$2:$E$70,5,FALSE)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44"/>
        <v>5</v>
      </c>
      <c r="C281" s="5">
        <f t="shared" si="45"/>
        <v>2021</v>
      </c>
      <c r="D281" s="5" t="s">
        <v>317</v>
      </c>
      <c r="E281" s="5" t="str">
        <f>VLOOKUP(F281,'Set up'!$A$2:$C$70,2,FALSE)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up'!$A$2:$C$70,3,FALSE)</f>
        <v>Cash</v>
      </c>
      <c r="J281" s="5">
        <f>VLOOKUP(F281,'Set up'!$A$2:$D$70,4,FALSE)</f>
        <v>0</v>
      </c>
      <c r="K281" s="4">
        <f t="shared" si="46"/>
        <v>44341</v>
      </c>
      <c r="L281" s="5">
        <f t="shared" si="47"/>
        <v>5</v>
      </c>
      <c r="M281" s="5">
        <f t="shared" si="48"/>
        <v>2021</v>
      </c>
      <c r="N281" s="24">
        <v>130</v>
      </c>
      <c r="O281" s="6">
        <f t="shared" si="50"/>
        <v>-130</v>
      </c>
      <c r="P281" s="6">
        <f t="shared" si="51"/>
        <v>0</v>
      </c>
      <c r="Q281" s="7">
        <f t="shared" si="49"/>
        <v>389468.74999999988</v>
      </c>
      <c r="R281" s="44" t="str">
        <f>VLOOKUP(F281,'Set up'!$A$2:$E$70,5,FALSE)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44"/>
        <v>5</v>
      </c>
      <c r="C282" s="5">
        <f t="shared" si="45"/>
        <v>2021</v>
      </c>
      <c r="D282" s="5" t="s">
        <v>317</v>
      </c>
      <c r="E282" s="5" t="str">
        <f>VLOOKUP(F282,'Set up'!$A$2:$C$70,2,FALSE)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up'!$A$2:$C$70,3,FALSE)</f>
        <v>Cash</v>
      </c>
      <c r="J282" s="5">
        <f>VLOOKUP(F282,'Set up'!$A$2:$D$70,4,FALSE)</f>
        <v>0</v>
      </c>
      <c r="K282" s="4">
        <f t="shared" si="46"/>
        <v>44341</v>
      </c>
      <c r="L282" s="5">
        <f t="shared" si="47"/>
        <v>5</v>
      </c>
      <c r="M282" s="5">
        <f t="shared" si="48"/>
        <v>2021</v>
      </c>
      <c r="N282" s="24">
        <v>42</v>
      </c>
      <c r="O282" s="6">
        <f t="shared" si="50"/>
        <v>-42</v>
      </c>
      <c r="P282" s="6">
        <f t="shared" si="51"/>
        <v>0</v>
      </c>
      <c r="Q282" s="7">
        <f t="shared" si="49"/>
        <v>389510.74999999988</v>
      </c>
      <c r="R282" s="44" t="str">
        <f>VLOOKUP(F282,'Set up'!$A$2:$E$70,5,FALSE)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44"/>
        <v>5</v>
      </c>
      <c r="C283" s="5">
        <f t="shared" si="45"/>
        <v>2021</v>
      </c>
      <c r="D283" s="5" t="s">
        <v>317</v>
      </c>
      <c r="E283" s="5" t="str">
        <f>VLOOKUP(F283,'Set up'!$A$2:$C$70,2,FALSE)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up'!$A$2:$C$70,3,FALSE)</f>
        <v>Cash</v>
      </c>
      <c r="J283" s="5">
        <f>VLOOKUP(F283,'Set up'!$A$2:$D$70,4,FALSE)</f>
        <v>0</v>
      </c>
      <c r="K283" s="4">
        <f t="shared" si="46"/>
        <v>44341</v>
      </c>
      <c r="L283" s="5">
        <f t="shared" si="47"/>
        <v>5</v>
      </c>
      <c r="M283" s="5">
        <f t="shared" si="48"/>
        <v>2021</v>
      </c>
      <c r="N283" s="24">
        <v>60</v>
      </c>
      <c r="O283" s="6">
        <f t="shared" si="50"/>
        <v>-60</v>
      </c>
      <c r="P283" s="6">
        <f t="shared" si="51"/>
        <v>0</v>
      </c>
      <c r="Q283" s="7">
        <f t="shared" si="49"/>
        <v>389570.74999999988</v>
      </c>
      <c r="R283" s="44" t="str">
        <f>VLOOKUP(F283,'Set up'!$A$2:$E$70,5,FALSE)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44"/>
        <v>5</v>
      </c>
      <c r="C284" s="5">
        <f t="shared" si="45"/>
        <v>2021</v>
      </c>
      <c r="D284" s="5" t="s">
        <v>317</v>
      </c>
      <c r="E284" s="5" t="str">
        <f>VLOOKUP(F284,'Set up'!$A$2:$C$70,2,FALSE)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up'!$A$2:$C$70,3,FALSE)</f>
        <v>Cash</v>
      </c>
      <c r="J284" s="5">
        <f>VLOOKUP(F284,'Set up'!$A$2:$D$70,4,FALSE)</f>
        <v>0</v>
      </c>
      <c r="K284" s="4">
        <f t="shared" si="46"/>
        <v>44341</v>
      </c>
      <c r="L284" s="5">
        <f t="shared" si="47"/>
        <v>5</v>
      </c>
      <c r="M284" s="5">
        <f t="shared" si="48"/>
        <v>2021</v>
      </c>
      <c r="N284" s="24">
        <v>1870</v>
      </c>
      <c r="O284" s="6">
        <f t="shared" si="50"/>
        <v>-1870</v>
      </c>
      <c r="P284" s="6">
        <f t="shared" si="51"/>
        <v>0</v>
      </c>
      <c r="Q284" s="7">
        <f t="shared" si="49"/>
        <v>391440.74999999988</v>
      </c>
      <c r="R284" s="44" t="str">
        <f>VLOOKUP(F284,'Set up'!$A$2:$E$70,5,FALSE)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44"/>
        <v>5</v>
      </c>
      <c r="C285" s="5">
        <f t="shared" si="45"/>
        <v>2021</v>
      </c>
      <c r="D285" s="5" t="s">
        <v>317</v>
      </c>
      <c r="E285" s="5" t="str">
        <f>VLOOKUP(F285,'Set up'!$A$2:$C$70,2,FALSE)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up'!$A$2:$C$70,3,FALSE)</f>
        <v>Cash</v>
      </c>
      <c r="J285" s="5">
        <f>VLOOKUP(F285,'Set up'!$A$2:$D$70,4,FALSE)</f>
        <v>0</v>
      </c>
      <c r="K285" s="4">
        <f t="shared" si="46"/>
        <v>44341</v>
      </c>
      <c r="L285" s="5">
        <f t="shared" si="47"/>
        <v>5</v>
      </c>
      <c r="M285" s="5">
        <f t="shared" si="48"/>
        <v>2021</v>
      </c>
      <c r="N285" s="24">
        <v>55</v>
      </c>
      <c r="O285" s="6">
        <f t="shared" si="50"/>
        <v>-55</v>
      </c>
      <c r="P285" s="6">
        <f t="shared" si="51"/>
        <v>0</v>
      </c>
      <c r="Q285" s="7">
        <f t="shared" si="49"/>
        <v>391495.74999999988</v>
      </c>
      <c r="R285" s="44" t="str">
        <f>VLOOKUP(F285,'Set up'!$A$2:$E$70,5,FALSE)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44"/>
        <v>5</v>
      </c>
      <c r="C286" s="5">
        <f t="shared" si="45"/>
        <v>2021</v>
      </c>
      <c r="D286" s="5" t="s">
        <v>342</v>
      </c>
      <c r="E286" s="5" t="str">
        <f>VLOOKUP(F286,'Set up'!$A$2:$C$70,2,FALSE)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up'!$A$2:$C$70,3,FALSE)</f>
        <v>Cash</v>
      </c>
      <c r="J286" s="5">
        <f>VLOOKUP(F286,'Set up'!$A$2:$D$70,4,FALSE)</f>
        <v>0</v>
      </c>
      <c r="K286" s="4">
        <f t="shared" si="46"/>
        <v>44341</v>
      </c>
      <c r="L286" s="5">
        <f t="shared" si="47"/>
        <v>5</v>
      </c>
      <c r="M286" s="5">
        <f t="shared" si="48"/>
        <v>2021</v>
      </c>
      <c r="N286" s="24">
        <v>100</v>
      </c>
      <c r="O286" s="6">
        <f t="shared" si="50"/>
        <v>-100</v>
      </c>
      <c r="P286" s="6">
        <f t="shared" si="51"/>
        <v>0</v>
      </c>
      <c r="Q286" s="7">
        <f t="shared" si="49"/>
        <v>391595.74999999988</v>
      </c>
      <c r="R286" s="44" t="str">
        <f>VLOOKUP(F286,'Set up'!$A$2:$E$70,5,FALSE)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44"/>
        <v>6</v>
      </c>
      <c r="C287" s="5">
        <f t="shared" si="45"/>
        <v>2021</v>
      </c>
      <c r="D287" s="5" t="s">
        <v>355</v>
      </c>
      <c r="E287" s="5" t="str">
        <f>VLOOKUP(F287,'Set up'!$A$2:$C$70,2,FALSE)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up'!$A$2:$C$70,3,FALSE)</f>
        <v>120</v>
      </c>
      <c r="J287" s="5">
        <f>VLOOKUP(F287,'Set up'!$A$2:$D$70,4,FALSE)</f>
        <v>120</v>
      </c>
      <c r="K287" s="4">
        <f t="shared" si="46"/>
        <v>44468</v>
      </c>
      <c r="L287" s="5">
        <f t="shared" si="47"/>
        <v>9</v>
      </c>
      <c r="M287" s="5">
        <f t="shared" si="48"/>
        <v>2021</v>
      </c>
      <c r="N287" s="24">
        <v>6952</v>
      </c>
      <c r="O287" s="6">
        <f t="shared" si="50"/>
        <v>-6952</v>
      </c>
      <c r="P287" s="6">
        <f t="shared" si="51"/>
        <v>0</v>
      </c>
      <c r="Q287" s="7">
        <f t="shared" si="49"/>
        <v>398547.74999999988</v>
      </c>
      <c r="R287" s="44" t="str">
        <f>VLOOKUP(F287,'Set up'!$A$2:$E$70,5,FALSE)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44"/>
        <v>6</v>
      </c>
      <c r="C288" s="5">
        <f t="shared" si="45"/>
        <v>2021</v>
      </c>
      <c r="D288" s="5" t="s">
        <v>356</v>
      </c>
      <c r="E288" s="5" t="str">
        <f>VLOOKUP(F288,'Set up'!$A$2:$C$70,2,FALSE)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up'!$A$2:$C$70,3,FALSE)</f>
        <v>60</v>
      </c>
      <c r="J288" s="5">
        <f>VLOOKUP(F288,'Set up'!$A$2:$D$70,4,FALSE)</f>
        <v>60</v>
      </c>
      <c r="K288" s="4">
        <f t="shared" si="46"/>
        <v>44408</v>
      </c>
      <c r="L288" s="5">
        <f t="shared" si="47"/>
        <v>7</v>
      </c>
      <c r="M288" s="5">
        <f t="shared" si="48"/>
        <v>2021</v>
      </c>
      <c r="N288" s="24">
        <v>1530</v>
      </c>
      <c r="O288" s="6">
        <f t="shared" si="50"/>
        <v>-1530</v>
      </c>
      <c r="P288" s="6">
        <f t="shared" si="51"/>
        <v>0</v>
      </c>
      <c r="Q288" s="7">
        <f t="shared" si="49"/>
        <v>400077.74999999988</v>
      </c>
      <c r="R288" s="44" t="str">
        <f>VLOOKUP(F288,'Set up'!$A$2:$E$70,5,FALSE)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44"/>
        <v>6</v>
      </c>
      <c r="C289" s="5">
        <f t="shared" si="45"/>
        <v>2021</v>
      </c>
      <c r="D289" s="5" t="s">
        <v>356</v>
      </c>
      <c r="E289" s="5" t="str">
        <f>VLOOKUP(F289,'Set up'!$A$2:$C$70,2,FALSE)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up'!$A$2:$C$70,3,FALSE)</f>
        <v>60</v>
      </c>
      <c r="J289" s="5">
        <f>VLOOKUP(F289,'Set up'!$A$2:$D$70,4,FALSE)</f>
        <v>60</v>
      </c>
      <c r="K289" s="4">
        <f t="shared" si="46"/>
        <v>44408</v>
      </c>
      <c r="L289" s="5">
        <f t="shared" si="47"/>
        <v>7</v>
      </c>
      <c r="M289" s="5">
        <f t="shared" si="48"/>
        <v>2021</v>
      </c>
      <c r="N289" s="44">
        <v>2295</v>
      </c>
      <c r="O289" s="6">
        <f t="shared" si="50"/>
        <v>-2295</v>
      </c>
      <c r="P289" s="6">
        <f t="shared" si="51"/>
        <v>0</v>
      </c>
      <c r="Q289" s="7">
        <f t="shared" si="49"/>
        <v>402372.74999999988</v>
      </c>
      <c r="R289" s="44" t="str">
        <f>VLOOKUP(F289,'Set up'!$A$2:$E$70,5,FALSE)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44"/>
        <v>6</v>
      </c>
      <c r="C290" s="5">
        <f t="shared" si="45"/>
        <v>2021</v>
      </c>
      <c r="D290" s="5" t="s">
        <v>357</v>
      </c>
      <c r="E290" s="5" t="str">
        <f>VLOOKUP(F290,'Set up'!$A$2:$C$70,2,FALSE)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up'!$A$2:$C$70,3,FALSE)</f>
        <v>60</v>
      </c>
      <c r="J290" s="5">
        <f>VLOOKUP(F290,'Set up'!$A$2:$D$70,4,FALSE)</f>
        <v>60</v>
      </c>
      <c r="K290" s="4">
        <f t="shared" si="46"/>
        <v>44408</v>
      </c>
      <c r="L290" s="5">
        <f t="shared" si="47"/>
        <v>7</v>
      </c>
      <c r="M290" s="5">
        <f t="shared" si="48"/>
        <v>2021</v>
      </c>
      <c r="N290" s="44">
        <v>690</v>
      </c>
      <c r="O290" s="6">
        <f t="shared" si="50"/>
        <v>-690</v>
      </c>
      <c r="P290" s="6">
        <f t="shared" si="51"/>
        <v>0</v>
      </c>
      <c r="Q290" s="7">
        <f t="shared" si="49"/>
        <v>403062.74999999988</v>
      </c>
      <c r="R290" s="44" t="str">
        <f>VLOOKUP(F290,'Set up'!$A$2:$E$70,5,FALSE)</f>
        <v>Chq</v>
      </c>
      <c r="S290" s="1" t="s">
        <v>527</v>
      </c>
    </row>
    <row r="291" spans="1:21" x14ac:dyDescent="0.35">
      <c r="A291" s="4">
        <v>44348</v>
      </c>
      <c r="B291" s="5">
        <f t="shared" si="44"/>
        <v>6</v>
      </c>
      <c r="C291" s="5">
        <f t="shared" si="45"/>
        <v>2021</v>
      </c>
      <c r="D291" s="5" t="s">
        <v>358</v>
      </c>
      <c r="E291" s="5" t="str">
        <f>VLOOKUP(F291,'Set up'!$A$2:$C$70,2,FALSE)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up'!$A$2:$C$70,3,FALSE)</f>
        <v>120</v>
      </c>
      <c r="J291" s="5">
        <f>VLOOKUP(F291,'Set up'!$A$2:$D$70,4,FALSE)</f>
        <v>120</v>
      </c>
      <c r="K291" s="4">
        <f t="shared" si="46"/>
        <v>44468</v>
      </c>
      <c r="L291" s="5">
        <f t="shared" si="47"/>
        <v>9</v>
      </c>
      <c r="M291" s="5">
        <f t="shared" si="48"/>
        <v>2021</v>
      </c>
      <c r="N291" s="44">
        <v>550</v>
      </c>
      <c r="O291" s="6">
        <f t="shared" si="50"/>
        <v>-550</v>
      </c>
      <c r="P291" s="6">
        <f t="shared" si="51"/>
        <v>0</v>
      </c>
      <c r="Q291" s="7">
        <f t="shared" si="49"/>
        <v>403612.74999999988</v>
      </c>
      <c r="R291" s="44" t="str">
        <f>VLOOKUP(F291,'Set up'!$A$2:$E$70,5,FALSE)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44"/>
        <v>6</v>
      </c>
      <c r="C292" s="5">
        <f t="shared" si="45"/>
        <v>2021</v>
      </c>
      <c r="D292" s="5" t="s">
        <v>358</v>
      </c>
      <c r="E292" s="5" t="str">
        <f>VLOOKUP(F292,'Set up'!$A$2:$C$70,2,FALSE)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up'!$A$2:$C$70,3,FALSE)</f>
        <v>120</v>
      </c>
      <c r="J292" s="5">
        <f>VLOOKUP(F292,'Set up'!$A$2:$D$70,4,FALSE)</f>
        <v>120</v>
      </c>
      <c r="K292" s="4">
        <f t="shared" si="46"/>
        <v>44468</v>
      </c>
      <c r="L292" s="5">
        <f t="shared" si="47"/>
        <v>9</v>
      </c>
      <c r="M292" s="5">
        <f t="shared" si="48"/>
        <v>2021</v>
      </c>
      <c r="N292" s="6">
        <v>380</v>
      </c>
      <c r="O292" s="6">
        <f t="shared" si="50"/>
        <v>-380</v>
      </c>
      <c r="P292" s="6">
        <f t="shared" si="51"/>
        <v>0</v>
      </c>
      <c r="Q292" s="7">
        <f t="shared" si="49"/>
        <v>403992.74999999988</v>
      </c>
      <c r="R292" s="44" t="str">
        <f>VLOOKUP(F292,'Set up'!$A$2:$E$70,5,FALSE)</f>
        <v>Trsf</v>
      </c>
      <c r="S292" s="1" t="s">
        <v>439</v>
      </c>
    </row>
    <row r="293" spans="1:21" x14ac:dyDescent="0.35">
      <c r="A293" s="4">
        <v>44440</v>
      </c>
      <c r="B293" s="5">
        <f t="shared" si="44"/>
        <v>9</v>
      </c>
      <c r="C293" s="5">
        <f t="shared" si="45"/>
        <v>2021</v>
      </c>
      <c r="D293" s="5" t="s">
        <v>363</v>
      </c>
      <c r="E293" s="5" t="str">
        <f>VLOOKUP(F293,'Set up'!$A$2:$C$70,2,FALSE)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up'!$A$2:$C$70,3,FALSE)</f>
        <v>Cash</v>
      </c>
      <c r="J293" s="5">
        <f>VLOOKUP(F293,'Set up'!$A$2:$D$70,4,FALSE)</f>
        <v>0</v>
      </c>
      <c r="K293" s="4">
        <f t="shared" si="46"/>
        <v>44440</v>
      </c>
      <c r="L293" s="5">
        <f t="shared" si="47"/>
        <v>9</v>
      </c>
      <c r="M293" s="5">
        <f t="shared" si="48"/>
        <v>2021</v>
      </c>
      <c r="N293" s="6">
        <v>600</v>
      </c>
      <c r="O293" s="6">
        <f t="shared" si="50"/>
        <v>-600</v>
      </c>
      <c r="P293" s="6">
        <f t="shared" si="51"/>
        <v>0</v>
      </c>
      <c r="Q293" s="7">
        <f t="shared" si="49"/>
        <v>404592.74999999988</v>
      </c>
      <c r="R293" s="44" t="str">
        <f>VLOOKUP(F293,'Set up'!$A$2:$E$70,5,FALSE)</f>
        <v>Trsf</v>
      </c>
      <c r="S293" s="1" t="s">
        <v>387</v>
      </c>
    </row>
    <row r="294" spans="1:21" x14ac:dyDescent="0.35">
      <c r="A294" s="4">
        <v>44440</v>
      </c>
      <c r="B294" s="5">
        <f t="shared" si="44"/>
        <v>9</v>
      </c>
      <c r="C294" s="5">
        <f t="shared" si="45"/>
        <v>2021</v>
      </c>
      <c r="D294" s="5" t="s">
        <v>363</v>
      </c>
      <c r="E294" s="5" t="str">
        <f>VLOOKUP(F294,'Set up'!$A$2:$C$70,2,FALSE)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up'!$A$2:$C$70,3,FALSE)</f>
        <v>Cash</v>
      </c>
      <c r="J294" s="5">
        <f>VLOOKUP(F294,'Set up'!$A$2:$D$70,4,FALSE)</f>
        <v>0</v>
      </c>
      <c r="K294" s="4">
        <f t="shared" si="46"/>
        <v>44440</v>
      </c>
      <c r="L294" s="5">
        <f t="shared" si="47"/>
        <v>9</v>
      </c>
      <c r="M294" s="5">
        <f t="shared" si="48"/>
        <v>2021</v>
      </c>
      <c r="N294" s="6">
        <v>255</v>
      </c>
      <c r="O294" s="6">
        <f t="shared" si="50"/>
        <v>-255</v>
      </c>
      <c r="P294" s="6">
        <f t="shared" si="51"/>
        <v>0</v>
      </c>
      <c r="Q294" s="7">
        <f t="shared" si="49"/>
        <v>404847.74999999988</v>
      </c>
      <c r="R294" s="44" t="str">
        <f>VLOOKUP(F294,'Set up'!$A$2:$E$70,5,FALSE)</f>
        <v>Trsf</v>
      </c>
      <c r="S294" s="1" t="s">
        <v>387</v>
      </c>
    </row>
    <row r="295" spans="1:21" x14ac:dyDescent="0.35">
      <c r="A295" s="4">
        <v>44440</v>
      </c>
      <c r="B295" s="5">
        <f t="shared" si="44"/>
        <v>9</v>
      </c>
      <c r="C295" s="5">
        <f t="shared" si="45"/>
        <v>2021</v>
      </c>
      <c r="D295" s="5" t="s">
        <v>367</v>
      </c>
      <c r="E295" s="5" t="str">
        <f>VLOOKUP(F295,'Set up'!$A$2:$C$70,2,FALSE)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up'!$A$2:$C$70,3,FALSE)</f>
        <v>Cash</v>
      </c>
      <c r="J295" s="5">
        <f>VLOOKUP(F295,'Set up'!$A$2:$D$70,4,FALSE)</f>
        <v>0</v>
      </c>
      <c r="K295" s="4">
        <f t="shared" si="46"/>
        <v>44440</v>
      </c>
      <c r="L295" s="5">
        <f t="shared" si="47"/>
        <v>9</v>
      </c>
      <c r="M295" s="5">
        <f t="shared" si="48"/>
        <v>2021</v>
      </c>
      <c r="N295" s="6">
        <v>1826</v>
      </c>
      <c r="O295" s="6">
        <f t="shared" si="50"/>
        <v>-1826</v>
      </c>
      <c r="P295" s="6">
        <f t="shared" si="51"/>
        <v>0</v>
      </c>
      <c r="Q295" s="7">
        <f t="shared" si="49"/>
        <v>406673.74999999988</v>
      </c>
      <c r="R295" s="44" t="str">
        <f>VLOOKUP(F295,'Set up'!$A$2:$E$70,5,FALSE)</f>
        <v>Chq</v>
      </c>
      <c r="S295" s="1" t="s">
        <v>386</v>
      </c>
    </row>
    <row r="296" spans="1:21" x14ac:dyDescent="0.35">
      <c r="A296" s="4">
        <v>44440</v>
      </c>
      <c r="B296" s="5">
        <f t="shared" si="44"/>
        <v>9</v>
      </c>
      <c r="C296" s="5">
        <f t="shared" si="45"/>
        <v>2021</v>
      </c>
      <c r="D296" s="5" t="s">
        <v>368</v>
      </c>
      <c r="E296" s="5" t="str">
        <f>VLOOKUP(F296,'Set up'!$A$2:$C$70,2,FALSE)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up'!$A$2:$C$70,3,FALSE)</f>
        <v>Cash</v>
      </c>
      <c r="J296" s="5">
        <f>VLOOKUP(F296,'Set up'!$A$2:$D$70,4,FALSE)</f>
        <v>0</v>
      </c>
      <c r="K296" s="4">
        <f t="shared" si="46"/>
        <v>44440</v>
      </c>
      <c r="L296" s="5">
        <f t="shared" si="47"/>
        <v>9</v>
      </c>
      <c r="M296" s="5">
        <f t="shared" si="48"/>
        <v>2021</v>
      </c>
      <c r="N296" s="6">
        <v>1826</v>
      </c>
      <c r="O296" s="6">
        <f t="shared" si="50"/>
        <v>-1826</v>
      </c>
      <c r="P296" s="6">
        <f t="shared" si="51"/>
        <v>0</v>
      </c>
      <c r="Q296" s="7">
        <f t="shared" si="49"/>
        <v>408499.74999999988</v>
      </c>
      <c r="R296" s="44" t="str">
        <f>VLOOKUP(F296,'Set up'!$A$2:$E$70,5,FALSE)</f>
        <v>Chq</v>
      </c>
      <c r="S296" s="1" t="s">
        <v>388</v>
      </c>
    </row>
    <row r="297" spans="1:21" x14ac:dyDescent="0.35">
      <c r="A297" s="4">
        <v>44440</v>
      </c>
      <c r="B297" s="5">
        <f t="shared" si="44"/>
        <v>9</v>
      </c>
      <c r="C297" s="5">
        <f t="shared" si="45"/>
        <v>2021</v>
      </c>
      <c r="D297" s="5" t="s">
        <v>368</v>
      </c>
      <c r="E297" s="5" t="str">
        <f>VLOOKUP(F297,'Set up'!$A$2:$C$70,2,FALSE)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up'!$A$2:$C$70,3,FALSE)</f>
        <v>Cash</v>
      </c>
      <c r="J297" s="5">
        <f>VLOOKUP(F297,'Set up'!$A$2:$D$70,4,FALSE)</f>
        <v>0</v>
      </c>
      <c r="K297" s="4">
        <f t="shared" si="46"/>
        <v>44440</v>
      </c>
      <c r="L297" s="5">
        <f t="shared" si="47"/>
        <v>9</v>
      </c>
      <c r="M297" s="5">
        <f t="shared" si="48"/>
        <v>2021</v>
      </c>
      <c r="N297" s="6">
        <v>100</v>
      </c>
      <c r="O297" s="6">
        <f t="shared" si="50"/>
        <v>-100</v>
      </c>
      <c r="P297" s="6">
        <f t="shared" si="51"/>
        <v>0</v>
      </c>
      <c r="Q297" s="7">
        <f t="shared" si="49"/>
        <v>408599.74999999988</v>
      </c>
      <c r="R297" s="44" t="str">
        <f>VLOOKUP(F297,'Set up'!$A$2:$E$70,5,FALSE)</f>
        <v>Chq</v>
      </c>
      <c r="S297" s="1" t="s">
        <v>388</v>
      </c>
    </row>
    <row r="298" spans="1:21" x14ac:dyDescent="0.35">
      <c r="A298" s="4">
        <v>44440</v>
      </c>
      <c r="B298" s="5">
        <f t="shared" si="44"/>
        <v>9</v>
      </c>
      <c r="C298" s="5">
        <f t="shared" si="45"/>
        <v>2021</v>
      </c>
      <c r="D298" s="5" t="s">
        <v>369</v>
      </c>
      <c r="E298" s="5" t="str">
        <f>VLOOKUP(F298,'Set up'!$A$2:$C$70,2,FALSE)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up'!$A$2:$C$70,3,FALSE)</f>
        <v>120</v>
      </c>
      <c r="J298" s="5">
        <f>VLOOKUP(F298,'Set up'!$A$2:$D$70,4,FALSE)</f>
        <v>120</v>
      </c>
      <c r="K298" s="4">
        <f t="shared" si="46"/>
        <v>44560</v>
      </c>
      <c r="L298" s="5">
        <f t="shared" si="47"/>
        <v>12</v>
      </c>
      <c r="M298" s="5">
        <f t="shared" si="48"/>
        <v>2021</v>
      </c>
      <c r="N298" s="6">
        <v>2016</v>
      </c>
      <c r="O298" s="6">
        <f t="shared" si="50"/>
        <v>-2016</v>
      </c>
      <c r="P298" s="6">
        <f t="shared" si="51"/>
        <v>0</v>
      </c>
      <c r="Q298" s="7">
        <f t="shared" si="49"/>
        <v>410615.74999999988</v>
      </c>
      <c r="R298" s="44" t="str">
        <f>VLOOKUP(F298,'Set up'!$A$2:$E$70,5,FALSE)</f>
        <v>Chq</v>
      </c>
      <c r="S298" s="1" t="s">
        <v>575</v>
      </c>
    </row>
    <row r="299" spans="1:21" x14ac:dyDescent="0.35">
      <c r="A299" s="4">
        <v>44440</v>
      </c>
      <c r="B299" s="5">
        <f t="shared" si="44"/>
        <v>9</v>
      </c>
      <c r="C299" s="5">
        <f t="shared" si="45"/>
        <v>2021</v>
      </c>
      <c r="D299" s="5" t="s">
        <v>369</v>
      </c>
      <c r="E299" s="5" t="str">
        <f>VLOOKUP(F299,'Set up'!$A$2:$C$70,2,FALSE)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up'!$A$2:$C$70,3,FALSE)</f>
        <v>120</v>
      </c>
      <c r="J299" s="5">
        <f>VLOOKUP(F299,'Set up'!$A$2:$D$70,4,FALSE)</f>
        <v>120</v>
      </c>
      <c r="K299" s="4">
        <f t="shared" si="46"/>
        <v>44560</v>
      </c>
      <c r="L299" s="5">
        <f t="shared" si="47"/>
        <v>12</v>
      </c>
      <c r="M299" s="5">
        <f t="shared" si="48"/>
        <v>2021</v>
      </c>
      <c r="N299" s="6">
        <v>1814.4</v>
      </c>
      <c r="O299" s="6">
        <f t="shared" si="50"/>
        <v>-1814.4</v>
      </c>
      <c r="P299" s="6">
        <f t="shared" si="51"/>
        <v>0</v>
      </c>
      <c r="Q299" s="7">
        <f t="shared" si="49"/>
        <v>412430.14999999991</v>
      </c>
      <c r="R299" s="44" t="str">
        <f>VLOOKUP(F299,'Set up'!$A$2:$E$70,5,FALSE)</f>
        <v>Chq</v>
      </c>
      <c r="S299" s="1" t="s">
        <v>575</v>
      </c>
    </row>
    <row r="300" spans="1:21" x14ac:dyDescent="0.35">
      <c r="A300" s="4">
        <v>44440</v>
      </c>
      <c r="B300" s="5">
        <f t="shared" si="44"/>
        <v>9</v>
      </c>
      <c r="C300" s="5">
        <f t="shared" si="45"/>
        <v>2021</v>
      </c>
      <c r="D300" s="5" t="s">
        <v>370</v>
      </c>
      <c r="E300" s="5" t="str">
        <f>VLOOKUP(F300,'Set up'!$A$2:$C$70,2,FALSE)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up'!$A$2:$C$70,3,FALSE)</f>
        <v>Cash</v>
      </c>
      <c r="J300" s="5">
        <f>VLOOKUP(F300,'Set up'!$A$2:$D$70,4,FALSE)</f>
        <v>0</v>
      </c>
      <c r="K300" s="4">
        <f t="shared" si="46"/>
        <v>44440</v>
      </c>
      <c r="L300" s="5">
        <f t="shared" si="47"/>
        <v>9</v>
      </c>
      <c r="M300" s="5">
        <f t="shared" si="48"/>
        <v>2021</v>
      </c>
      <c r="N300" s="6">
        <v>3432</v>
      </c>
      <c r="O300" s="6">
        <f t="shared" si="50"/>
        <v>-3432</v>
      </c>
      <c r="P300" s="6">
        <f t="shared" si="51"/>
        <v>0</v>
      </c>
      <c r="Q300" s="7">
        <f t="shared" si="49"/>
        <v>415862.14999999991</v>
      </c>
      <c r="R300" s="44" t="str">
        <f>VLOOKUP(F300,'Set up'!$A$2:$E$70,5,FALSE)</f>
        <v>Chq</v>
      </c>
      <c r="S300" s="1" t="s">
        <v>440</v>
      </c>
    </row>
    <row r="301" spans="1:21" x14ac:dyDescent="0.35">
      <c r="A301" s="4">
        <v>44453</v>
      </c>
      <c r="B301" s="5">
        <f t="shared" si="44"/>
        <v>9</v>
      </c>
      <c r="C301" s="5">
        <f t="shared" si="45"/>
        <v>2021</v>
      </c>
      <c r="D301" s="5" t="s">
        <v>371</v>
      </c>
      <c r="E301" s="5" t="str">
        <f>VLOOKUP(F301,'Set up'!$A$2:$C$70,2,FALSE)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up'!$A$2:$C$70,3,FALSE)</f>
        <v>45</v>
      </c>
      <c r="J301" s="5">
        <f>VLOOKUP(F301,'Set up'!$A$2:$D$70,4,FALSE)</f>
        <v>45</v>
      </c>
      <c r="K301" s="4">
        <f t="shared" si="46"/>
        <v>44498</v>
      </c>
      <c r="L301" s="5">
        <f t="shared" si="47"/>
        <v>10</v>
      </c>
      <c r="M301" s="5">
        <f t="shared" si="48"/>
        <v>2021</v>
      </c>
      <c r="N301" s="6">
        <v>5610</v>
      </c>
      <c r="O301" s="6">
        <f>-1400-1400-1400-1400-10</f>
        <v>-5610</v>
      </c>
      <c r="P301" s="6">
        <f t="shared" si="51"/>
        <v>0</v>
      </c>
      <c r="Q301" s="7">
        <f t="shared" si="49"/>
        <v>421472.14999999991</v>
      </c>
      <c r="R301" s="44" t="str">
        <f>VLOOKUP(F301,'Set up'!$A$2:$E$70,5,FALSE)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44"/>
        <v>9</v>
      </c>
      <c r="C302" s="5">
        <f t="shared" si="45"/>
        <v>2021</v>
      </c>
      <c r="D302" s="5" t="s">
        <v>371</v>
      </c>
      <c r="E302" s="5" t="str">
        <f>VLOOKUP(F302,'Set up'!$A$2:$C$70,2,FALSE)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up'!$A$2:$C$70,3,FALSE)</f>
        <v>45</v>
      </c>
      <c r="J302" s="5">
        <f>VLOOKUP(F302,'Set up'!$A$2:$D$70,4,FALSE)</f>
        <v>45</v>
      </c>
      <c r="K302" s="4">
        <f t="shared" si="46"/>
        <v>44498</v>
      </c>
      <c r="L302" s="5">
        <f t="shared" si="47"/>
        <v>10</v>
      </c>
      <c r="M302" s="5">
        <f t="shared" si="48"/>
        <v>2021</v>
      </c>
      <c r="N302" s="6">
        <v>200</v>
      </c>
      <c r="O302" s="6">
        <f t="shared" ref="O302:O320" si="52">-N302</f>
        <v>-200</v>
      </c>
      <c r="P302" s="6">
        <f t="shared" si="51"/>
        <v>0</v>
      </c>
      <c r="Q302" s="7">
        <f t="shared" si="49"/>
        <v>421672.14999999991</v>
      </c>
      <c r="R302" s="44" t="str">
        <f>VLOOKUP(F302,'Set up'!$A$2:$E$70,5,FALSE)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44"/>
        <v>9</v>
      </c>
      <c r="C303" s="5">
        <f t="shared" si="45"/>
        <v>2021</v>
      </c>
      <c r="D303" s="5" t="s">
        <v>371</v>
      </c>
      <c r="E303" s="5" t="str">
        <f>VLOOKUP(F303,'Set up'!$A$2:$C$70,2,FALSE)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up'!$A$2:$C$70,3,FALSE)</f>
        <v>45</v>
      </c>
      <c r="J303" s="5">
        <f>VLOOKUP(F303,'Set up'!$A$2:$D$70,4,FALSE)</f>
        <v>45</v>
      </c>
      <c r="K303" s="4">
        <f t="shared" si="46"/>
        <v>44498</v>
      </c>
      <c r="L303" s="5">
        <f t="shared" si="47"/>
        <v>10</v>
      </c>
      <c r="M303" s="5">
        <f t="shared" si="48"/>
        <v>2021</v>
      </c>
      <c r="N303" s="6">
        <v>600</v>
      </c>
      <c r="O303" s="6">
        <f t="shared" si="52"/>
        <v>-600</v>
      </c>
      <c r="P303" s="6">
        <f t="shared" si="51"/>
        <v>0</v>
      </c>
      <c r="Q303" s="7">
        <f t="shared" si="49"/>
        <v>422272.14999999991</v>
      </c>
      <c r="R303" s="44" t="str">
        <f>VLOOKUP(F303,'Set up'!$A$2:$E$70,5,FALSE)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44"/>
        <v>9</v>
      </c>
      <c r="C304" s="5">
        <f t="shared" si="45"/>
        <v>2021</v>
      </c>
      <c r="D304" s="5" t="s">
        <v>371</v>
      </c>
      <c r="E304" s="5" t="str">
        <f>VLOOKUP(F304,'Set up'!$A$2:$C$70,2,FALSE)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up'!$A$2:$C$70,3,FALSE)</f>
        <v>45</v>
      </c>
      <c r="J304" s="5">
        <f>VLOOKUP(F304,'Set up'!$A$2:$D$70,4,FALSE)</f>
        <v>45</v>
      </c>
      <c r="K304" s="4">
        <f t="shared" si="46"/>
        <v>44498</v>
      </c>
      <c r="L304" s="5">
        <f t="shared" si="47"/>
        <v>10</v>
      </c>
      <c r="M304" s="5">
        <f t="shared" si="48"/>
        <v>2021</v>
      </c>
      <c r="N304" s="6">
        <v>45</v>
      </c>
      <c r="O304" s="6">
        <f t="shared" si="52"/>
        <v>-45</v>
      </c>
      <c r="P304" s="6">
        <f t="shared" si="51"/>
        <v>0</v>
      </c>
      <c r="Q304" s="7">
        <f t="shared" si="49"/>
        <v>422317.14999999991</v>
      </c>
      <c r="R304" s="44" t="str">
        <f>VLOOKUP(F304,'Set up'!$A$2:$E$70,5,FALSE)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44"/>
        <v>9</v>
      </c>
      <c r="C305" s="5">
        <f t="shared" si="45"/>
        <v>2021</v>
      </c>
      <c r="D305" s="5" t="s">
        <v>371</v>
      </c>
      <c r="E305" s="5" t="str">
        <f>VLOOKUP(F305,'Set up'!$A$2:$C$70,2,FALSE)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up'!$A$2:$C$70,3,FALSE)</f>
        <v>45</v>
      </c>
      <c r="J305" s="5">
        <f>VLOOKUP(F305,'Set up'!$A$2:$D$70,4,FALSE)</f>
        <v>45</v>
      </c>
      <c r="K305" s="4">
        <f t="shared" si="46"/>
        <v>44498</v>
      </c>
      <c r="L305" s="5">
        <f t="shared" si="47"/>
        <v>10</v>
      </c>
      <c r="M305" s="5">
        <f t="shared" si="48"/>
        <v>2021</v>
      </c>
      <c r="N305" s="6">
        <v>459</v>
      </c>
      <c r="O305" s="6">
        <f t="shared" si="52"/>
        <v>-459</v>
      </c>
      <c r="P305" s="6">
        <f t="shared" si="51"/>
        <v>0</v>
      </c>
      <c r="Q305" s="7">
        <f t="shared" si="49"/>
        <v>422776.14999999991</v>
      </c>
      <c r="R305" s="44" t="str">
        <f>VLOOKUP(F305,'Set up'!$A$2:$E$70,5,FALSE)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44"/>
        <v>9</v>
      </c>
      <c r="C306" s="5">
        <f t="shared" si="45"/>
        <v>2021</v>
      </c>
      <c r="D306" s="5" t="s">
        <v>372</v>
      </c>
      <c r="E306" s="5" t="str">
        <f>VLOOKUP(F306,'Set up'!$A$2:$C$70,2,FALSE)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up'!$A$2:$C$70,3,FALSE)</f>
        <v>120</v>
      </c>
      <c r="J306" s="5">
        <f>VLOOKUP(F306,'Set up'!$A$2:$D$70,4,FALSE)</f>
        <v>120</v>
      </c>
      <c r="K306" s="4">
        <f t="shared" si="46"/>
        <v>44573</v>
      </c>
      <c r="L306" s="5">
        <f t="shared" si="47"/>
        <v>1</v>
      </c>
      <c r="M306" s="5">
        <f t="shared" si="48"/>
        <v>2022</v>
      </c>
      <c r="N306" s="6">
        <v>10428</v>
      </c>
      <c r="O306" s="6">
        <f t="shared" si="52"/>
        <v>-10428</v>
      </c>
      <c r="P306" s="6">
        <f t="shared" si="51"/>
        <v>0</v>
      </c>
      <c r="Q306" s="7">
        <f t="shared" si="49"/>
        <v>433204.14999999991</v>
      </c>
      <c r="R306" s="44" t="str">
        <f>VLOOKUP(F306,'Set up'!$A$2:$E$70,5,FALSE)</f>
        <v>Trsf</v>
      </c>
      <c r="S306" s="1" t="s">
        <v>523</v>
      </c>
    </row>
    <row r="307" spans="1:21" x14ac:dyDescent="0.35">
      <c r="A307" s="4">
        <v>44453</v>
      </c>
      <c r="B307" s="5">
        <f t="shared" si="44"/>
        <v>9</v>
      </c>
      <c r="C307" s="5">
        <f t="shared" si="45"/>
        <v>2021</v>
      </c>
      <c r="D307" s="5" t="s">
        <v>372</v>
      </c>
      <c r="E307" s="5" t="str">
        <f>VLOOKUP(F307,'Set up'!$A$2:$C$70,2,FALSE)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up'!$A$2:$C$70,3,FALSE)</f>
        <v>120</v>
      </c>
      <c r="J307" s="5">
        <f>VLOOKUP(F307,'Set up'!$A$2:$D$70,4,FALSE)</f>
        <v>120</v>
      </c>
      <c r="K307" s="4">
        <f t="shared" si="46"/>
        <v>44573</v>
      </c>
      <c r="L307" s="5">
        <f t="shared" si="47"/>
        <v>1</v>
      </c>
      <c r="M307" s="5">
        <f t="shared" si="48"/>
        <v>2022</v>
      </c>
      <c r="N307" s="6">
        <v>2550</v>
      </c>
      <c r="O307" s="6">
        <f t="shared" si="52"/>
        <v>-2550</v>
      </c>
      <c r="P307" s="6">
        <f t="shared" si="51"/>
        <v>0</v>
      </c>
      <c r="Q307" s="7">
        <f t="shared" si="49"/>
        <v>435754.14999999991</v>
      </c>
      <c r="R307" s="44" t="str">
        <f>VLOOKUP(F307,'Set up'!$A$2:$E$70,5,FALSE)</f>
        <v>Trsf</v>
      </c>
      <c r="S307" s="1" t="s">
        <v>523</v>
      </c>
    </row>
    <row r="308" spans="1:21" x14ac:dyDescent="0.35">
      <c r="A308" s="4">
        <v>44453</v>
      </c>
      <c r="B308" s="5">
        <f t="shared" si="44"/>
        <v>9</v>
      </c>
      <c r="C308" s="5">
        <f t="shared" si="45"/>
        <v>2021</v>
      </c>
      <c r="D308" s="5" t="s">
        <v>372</v>
      </c>
      <c r="E308" s="5" t="str">
        <f>VLOOKUP(F308,'Set up'!$A$2:$C$70,2,FALSE)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up'!$A$2:$C$70,3,FALSE)</f>
        <v>120</v>
      </c>
      <c r="J308" s="5">
        <f>VLOOKUP(F308,'Set up'!$A$2:$D$70,4,FALSE)</f>
        <v>120</v>
      </c>
      <c r="K308" s="4">
        <f t="shared" si="46"/>
        <v>44573</v>
      </c>
      <c r="L308" s="5">
        <f t="shared" si="47"/>
        <v>1</v>
      </c>
      <c r="M308" s="5">
        <f t="shared" si="48"/>
        <v>2022</v>
      </c>
      <c r="N308" s="6">
        <v>550</v>
      </c>
      <c r="O308" s="6">
        <f t="shared" si="52"/>
        <v>-550</v>
      </c>
      <c r="P308" s="6">
        <f t="shared" si="51"/>
        <v>0</v>
      </c>
      <c r="Q308" s="7">
        <f t="shared" si="49"/>
        <v>436304.14999999991</v>
      </c>
      <c r="R308" s="44" t="str">
        <f>VLOOKUP(F308,'Set up'!$A$2:$E$70,5,FALSE)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44"/>
        <v>9</v>
      </c>
      <c r="C309" s="5">
        <f t="shared" si="45"/>
        <v>2021</v>
      </c>
      <c r="D309" s="5" t="s">
        <v>372</v>
      </c>
      <c r="E309" s="5" t="str">
        <f>VLOOKUP(F309,'Set up'!$A$2:$C$70,2,FALSE)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up'!$A$2:$C$70,3,FALSE)</f>
        <v>120</v>
      </c>
      <c r="J309" s="5">
        <f>VLOOKUP(F309,'Set up'!$A$2:$D$70,4,FALSE)</f>
        <v>120</v>
      </c>
      <c r="K309" s="4">
        <f t="shared" si="46"/>
        <v>44573</v>
      </c>
      <c r="L309" s="5">
        <f t="shared" si="47"/>
        <v>1</v>
      </c>
      <c r="M309" s="5">
        <f t="shared" si="48"/>
        <v>2022</v>
      </c>
      <c r="N309" s="6">
        <v>320</v>
      </c>
      <c r="O309" s="6">
        <f t="shared" si="52"/>
        <v>-320</v>
      </c>
      <c r="P309" s="6">
        <f t="shared" si="51"/>
        <v>0</v>
      </c>
      <c r="Q309" s="7">
        <f t="shared" si="49"/>
        <v>436624.14999999991</v>
      </c>
      <c r="R309" s="44" t="str">
        <f>VLOOKUP(F309,'Set up'!$A$2:$E$70,5,FALSE)</f>
        <v>Trsf</v>
      </c>
      <c r="S309" s="1" t="s">
        <v>523</v>
      </c>
    </row>
    <row r="310" spans="1:21" x14ac:dyDescent="0.35">
      <c r="A310" s="4">
        <v>44453</v>
      </c>
      <c r="B310" s="5">
        <f t="shared" si="44"/>
        <v>9</v>
      </c>
      <c r="C310" s="5">
        <f t="shared" si="45"/>
        <v>2021</v>
      </c>
      <c r="D310" s="5" t="s">
        <v>372</v>
      </c>
      <c r="E310" s="5" t="str">
        <f>VLOOKUP(F310,'Set up'!$A$2:$C$70,2,FALSE)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up'!$A$2:$C$70,3,FALSE)</f>
        <v>120</v>
      </c>
      <c r="J310" s="5">
        <f>VLOOKUP(F310,'Set up'!$A$2:$D$70,4,FALSE)</f>
        <v>120</v>
      </c>
      <c r="K310" s="4">
        <f t="shared" si="46"/>
        <v>44573</v>
      </c>
      <c r="L310" s="5">
        <f t="shared" si="47"/>
        <v>1</v>
      </c>
      <c r="M310" s="5">
        <f t="shared" si="48"/>
        <v>2022</v>
      </c>
      <c r="N310" s="6">
        <v>360</v>
      </c>
      <c r="O310" s="6">
        <f t="shared" si="52"/>
        <v>-360</v>
      </c>
      <c r="P310" s="6">
        <f t="shared" si="51"/>
        <v>0</v>
      </c>
      <c r="Q310" s="7">
        <f t="shared" si="49"/>
        <v>436984.14999999991</v>
      </c>
      <c r="R310" s="44" t="str">
        <f>VLOOKUP(F310,'Set up'!$A$2:$E$70,5,FALSE)</f>
        <v>Trsf</v>
      </c>
      <c r="S310" s="1" t="s">
        <v>523</v>
      </c>
    </row>
    <row r="311" spans="1:21" x14ac:dyDescent="0.35">
      <c r="A311" s="4">
        <v>44460</v>
      </c>
      <c r="B311" s="5">
        <f t="shared" si="44"/>
        <v>9</v>
      </c>
      <c r="C311" s="5">
        <f t="shared" si="45"/>
        <v>2021</v>
      </c>
      <c r="D311" s="5" t="s">
        <v>373</v>
      </c>
      <c r="E311" s="5" t="str">
        <f>VLOOKUP(F311,'Set up'!$A$2:$C$70,2,FALSE)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up'!$A$2:$C$70,3,FALSE)</f>
        <v>Cash</v>
      </c>
      <c r="J311" s="5">
        <f>VLOOKUP(F311,'Set up'!$A$2:$D$70,4,FALSE)</f>
        <v>0</v>
      </c>
      <c r="K311" s="4">
        <f t="shared" si="46"/>
        <v>44460</v>
      </c>
      <c r="L311" s="5">
        <f t="shared" si="47"/>
        <v>9</v>
      </c>
      <c r="M311" s="5">
        <f t="shared" si="48"/>
        <v>2021</v>
      </c>
      <c r="N311" s="6">
        <v>6952</v>
      </c>
      <c r="O311" s="6">
        <f t="shared" si="52"/>
        <v>-6952</v>
      </c>
      <c r="P311" s="6">
        <f t="shared" si="51"/>
        <v>0</v>
      </c>
      <c r="Q311" s="7">
        <f t="shared" si="49"/>
        <v>443936.14999999991</v>
      </c>
      <c r="R311" s="44" t="str">
        <f>VLOOKUP(F311,'Set up'!$A$2:$E$70,5,FALSE)</f>
        <v>Trsf</v>
      </c>
      <c r="S311" s="1" t="s">
        <v>392</v>
      </c>
    </row>
    <row r="312" spans="1:21" x14ac:dyDescent="0.35">
      <c r="A312" s="4">
        <v>44460</v>
      </c>
      <c r="B312" s="5">
        <f t="shared" si="44"/>
        <v>9</v>
      </c>
      <c r="C312" s="5">
        <f t="shared" si="45"/>
        <v>2021</v>
      </c>
      <c r="D312" s="5" t="s">
        <v>373</v>
      </c>
      <c r="E312" s="5" t="str">
        <f>VLOOKUP(F312,'Set up'!$A$2:$C$70,2,FALSE)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up'!$A$2:$C$70,3,FALSE)</f>
        <v>Cash</v>
      </c>
      <c r="J312" s="5">
        <f>VLOOKUP(F312,'Set up'!$A$2:$D$70,4,FALSE)</f>
        <v>0</v>
      </c>
      <c r="K312" s="4">
        <f t="shared" si="46"/>
        <v>44460</v>
      </c>
      <c r="L312" s="5">
        <f t="shared" si="47"/>
        <v>9</v>
      </c>
      <c r="M312" s="5">
        <f t="shared" si="48"/>
        <v>2021</v>
      </c>
      <c r="N312" s="6">
        <v>2400</v>
      </c>
      <c r="O312" s="6">
        <f t="shared" si="52"/>
        <v>-2400</v>
      </c>
      <c r="P312" s="6">
        <f t="shared" si="51"/>
        <v>0</v>
      </c>
      <c r="Q312" s="7">
        <f t="shared" si="49"/>
        <v>446336.14999999991</v>
      </c>
      <c r="R312" s="44" t="str">
        <f>VLOOKUP(F312,'Set up'!$A$2:$E$70,5,FALSE)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44"/>
        <v>9</v>
      </c>
      <c r="C313" s="5">
        <f t="shared" si="45"/>
        <v>2021</v>
      </c>
      <c r="D313" s="5" t="s">
        <v>373</v>
      </c>
      <c r="E313" s="5" t="str">
        <f>VLOOKUP(F313,'Set up'!$A$2:$C$70,2,FALSE)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up'!$A$2:$C$70,3,FALSE)</f>
        <v>Cash</v>
      </c>
      <c r="J313" s="5">
        <f>VLOOKUP(F313,'Set up'!$A$2:$D$70,4,FALSE)</f>
        <v>0</v>
      </c>
      <c r="K313" s="4">
        <f t="shared" si="46"/>
        <v>44460</v>
      </c>
      <c r="L313" s="5">
        <f t="shared" si="47"/>
        <v>9</v>
      </c>
      <c r="M313" s="5">
        <f t="shared" si="48"/>
        <v>2021</v>
      </c>
      <c r="N313" s="6">
        <v>240</v>
      </c>
      <c r="O313" s="6">
        <f t="shared" si="52"/>
        <v>-240</v>
      </c>
      <c r="P313" s="6">
        <f t="shared" si="51"/>
        <v>0</v>
      </c>
      <c r="Q313" s="7">
        <f t="shared" si="49"/>
        <v>446576.14999999991</v>
      </c>
      <c r="R313" s="44" t="str">
        <f>VLOOKUP(F313,'Set up'!$A$2:$E$70,5,FALSE)</f>
        <v>Trsf</v>
      </c>
      <c r="S313" s="1" t="s">
        <v>392</v>
      </c>
    </row>
    <row r="314" spans="1:21" x14ac:dyDescent="0.35">
      <c r="A314" s="4">
        <v>44464</v>
      </c>
      <c r="B314" s="5">
        <f t="shared" si="44"/>
        <v>9</v>
      </c>
      <c r="C314" s="5">
        <f t="shared" si="45"/>
        <v>2021</v>
      </c>
      <c r="D314" s="5" t="s">
        <v>376</v>
      </c>
      <c r="E314" s="5" t="str">
        <f>VLOOKUP(F314,'Set up'!$A$2:$C$70,2,FALSE)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up'!$A$2:$C$70,3,FALSE)</f>
        <v>Cash</v>
      </c>
      <c r="J314" s="5">
        <f>VLOOKUP(F314,'Set up'!$A$2:$D$70,4,FALSE)</f>
        <v>0</v>
      </c>
      <c r="K314" s="4">
        <f t="shared" si="46"/>
        <v>44464</v>
      </c>
      <c r="L314" s="5">
        <f t="shared" si="47"/>
        <v>9</v>
      </c>
      <c r="M314" s="5">
        <f t="shared" si="48"/>
        <v>2021</v>
      </c>
      <c r="N314" s="6">
        <v>1870</v>
      </c>
      <c r="O314" s="6">
        <f t="shared" si="52"/>
        <v>-1870</v>
      </c>
      <c r="P314" s="6">
        <f t="shared" si="51"/>
        <v>0</v>
      </c>
      <c r="Q314" s="7">
        <f t="shared" si="49"/>
        <v>448446.14999999991</v>
      </c>
      <c r="R314" s="44" t="str">
        <f>VLOOKUP(F314,'Set up'!$A$2:$E$70,5,FALSE)</f>
        <v>Trsf</v>
      </c>
      <c r="S314" s="1" t="s">
        <v>432</v>
      </c>
    </row>
    <row r="315" spans="1:21" x14ac:dyDescent="0.35">
      <c r="A315" s="4">
        <v>44466</v>
      </c>
      <c r="B315" s="5">
        <f t="shared" si="44"/>
        <v>9</v>
      </c>
      <c r="C315" s="5">
        <f t="shared" si="45"/>
        <v>2021</v>
      </c>
      <c r="D315" s="5" t="s">
        <v>377</v>
      </c>
      <c r="E315" s="5" t="str">
        <f>VLOOKUP(F315,'Set up'!$A$2:$C$70,2,FALSE)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up'!$A$2:$C$70,3,FALSE)</f>
        <v>120</v>
      </c>
      <c r="J315" s="5">
        <f>VLOOKUP(F315,'Set up'!$A$2:$D$70,4,FALSE)</f>
        <v>120</v>
      </c>
      <c r="K315" s="4">
        <f t="shared" si="46"/>
        <v>44586</v>
      </c>
      <c r="L315" s="5">
        <f t="shared" si="47"/>
        <v>1</v>
      </c>
      <c r="M315" s="5">
        <f t="shared" si="48"/>
        <v>2022</v>
      </c>
      <c r="N315" s="6">
        <v>8690</v>
      </c>
      <c r="O315" s="6">
        <f t="shared" si="52"/>
        <v>-8690</v>
      </c>
      <c r="P315" s="6">
        <f t="shared" si="51"/>
        <v>0</v>
      </c>
      <c r="Q315" s="7">
        <f t="shared" si="49"/>
        <v>457136.14999999991</v>
      </c>
      <c r="R315" s="44" t="str">
        <f>VLOOKUP(F315,'Set up'!$A$2:$E$70,5,FALSE)</f>
        <v>Chq</v>
      </c>
      <c r="S315" s="1" t="s">
        <v>575</v>
      </c>
    </row>
    <row r="316" spans="1:21" x14ac:dyDescent="0.35">
      <c r="A316" s="4">
        <v>44466</v>
      </c>
      <c r="B316" s="5">
        <f t="shared" si="44"/>
        <v>9</v>
      </c>
      <c r="C316" s="5">
        <f t="shared" si="45"/>
        <v>2021</v>
      </c>
      <c r="D316" s="5" t="s">
        <v>377</v>
      </c>
      <c r="E316" s="5" t="str">
        <f>VLOOKUP(F316,'Set up'!$A$2:$C$70,2,FALSE)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up'!$A$2:$C$70,3,FALSE)</f>
        <v>120</v>
      </c>
      <c r="J316" s="5">
        <f>VLOOKUP(F316,'Set up'!$A$2:$D$70,4,FALSE)</f>
        <v>120</v>
      </c>
      <c r="K316" s="4">
        <f t="shared" si="46"/>
        <v>44586</v>
      </c>
      <c r="L316" s="5">
        <f t="shared" si="47"/>
        <v>1</v>
      </c>
      <c r="M316" s="5">
        <f t="shared" si="48"/>
        <v>2022</v>
      </c>
      <c r="N316" s="6">
        <v>1738</v>
      </c>
      <c r="O316" s="6">
        <f t="shared" si="52"/>
        <v>-1738</v>
      </c>
      <c r="P316" s="6">
        <f t="shared" si="51"/>
        <v>0</v>
      </c>
      <c r="Q316" s="7">
        <f t="shared" si="49"/>
        <v>458874.14999999991</v>
      </c>
      <c r="R316" s="44" t="str">
        <f>VLOOKUP(F316,'Set up'!$A$2:$E$70,5,FALSE)</f>
        <v>Chq</v>
      </c>
      <c r="S316" s="1" t="s">
        <v>575</v>
      </c>
    </row>
    <row r="317" spans="1:21" x14ac:dyDescent="0.35">
      <c r="A317" s="4">
        <v>44466</v>
      </c>
      <c r="B317" s="5">
        <f t="shared" si="44"/>
        <v>9</v>
      </c>
      <c r="C317" s="5">
        <f t="shared" si="45"/>
        <v>2021</v>
      </c>
      <c r="D317" s="5" t="s">
        <v>377</v>
      </c>
      <c r="E317" s="5" t="str">
        <f>VLOOKUP(F317,'Set up'!$A$2:$C$70,2,FALSE)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up'!$A$2:$C$70,3,FALSE)</f>
        <v>120</v>
      </c>
      <c r="J317" s="5">
        <f>VLOOKUP(F317,'Set up'!$A$2:$D$70,4,FALSE)</f>
        <v>120</v>
      </c>
      <c r="K317" s="4">
        <f t="shared" si="46"/>
        <v>44586</v>
      </c>
      <c r="L317" s="5">
        <f t="shared" si="47"/>
        <v>1</v>
      </c>
      <c r="M317" s="5">
        <f t="shared" si="48"/>
        <v>2022</v>
      </c>
      <c r="N317" s="6">
        <v>2016</v>
      </c>
      <c r="O317" s="6">
        <f t="shared" si="52"/>
        <v>-2016</v>
      </c>
      <c r="P317" s="6">
        <f t="shared" si="51"/>
        <v>0</v>
      </c>
      <c r="Q317" s="7">
        <f t="shared" si="49"/>
        <v>460890.14999999991</v>
      </c>
      <c r="R317" s="44" t="str">
        <f>VLOOKUP(F317,'Set up'!$A$2:$E$70,5,FALSE)</f>
        <v>Chq</v>
      </c>
      <c r="S317" s="1" t="s">
        <v>575</v>
      </c>
    </row>
    <row r="318" spans="1:21" x14ac:dyDescent="0.35">
      <c r="A318" s="4">
        <v>44466</v>
      </c>
      <c r="B318" s="5">
        <f t="shared" si="44"/>
        <v>9</v>
      </c>
      <c r="C318" s="5">
        <f t="shared" si="45"/>
        <v>2021</v>
      </c>
      <c r="D318" s="5" t="s">
        <v>377</v>
      </c>
      <c r="E318" s="5" t="str">
        <f>VLOOKUP(F318,'Set up'!$A$2:$C$70,2,FALSE)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up'!$A$2:$C$70,3,FALSE)</f>
        <v>120</v>
      </c>
      <c r="J318" s="5">
        <f>VLOOKUP(F318,'Set up'!$A$2:$D$70,4,FALSE)</f>
        <v>120</v>
      </c>
      <c r="K318" s="4">
        <f t="shared" si="46"/>
        <v>44586</v>
      </c>
      <c r="L318" s="5">
        <f t="shared" si="47"/>
        <v>1</v>
      </c>
      <c r="M318" s="5">
        <f t="shared" si="48"/>
        <v>2022</v>
      </c>
      <c r="N318" s="6">
        <v>80</v>
      </c>
      <c r="O318" s="6">
        <f t="shared" si="52"/>
        <v>-80</v>
      </c>
      <c r="P318" s="6">
        <f t="shared" si="51"/>
        <v>0</v>
      </c>
      <c r="Q318" s="7">
        <f t="shared" si="49"/>
        <v>460970.14999999991</v>
      </c>
      <c r="R318" s="44" t="str">
        <f>VLOOKUP(F318,'Set up'!$A$2:$E$70,5,FALSE)</f>
        <v>Chq</v>
      </c>
      <c r="S318" s="1" t="s">
        <v>575</v>
      </c>
    </row>
    <row r="319" spans="1:21" x14ac:dyDescent="0.35">
      <c r="A319" s="4">
        <v>44467</v>
      </c>
      <c r="B319" s="5">
        <f t="shared" si="44"/>
        <v>9</v>
      </c>
      <c r="C319" s="5">
        <f t="shared" si="45"/>
        <v>2021</v>
      </c>
      <c r="D319" s="5" t="s">
        <v>379</v>
      </c>
      <c r="E319" s="5" t="str">
        <f>VLOOKUP(F319,'Set up'!$A$2:$C$70,2,FALSE)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up'!$A$2:$C$70,3,FALSE)</f>
        <v>Cash</v>
      </c>
      <c r="J319" s="5">
        <f>VLOOKUP(F319,'Set up'!$A$2:$D$70,4,FALSE)</f>
        <v>0</v>
      </c>
      <c r="K319" s="4">
        <f t="shared" si="46"/>
        <v>44467</v>
      </c>
      <c r="L319" s="5">
        <f t="shared" si="47"/>
        <v>9</v>
      </c>
      <c r="M319" s="5">
        <f t="shared" si="48"/>
        <v>2021</v>
      </c>
      <c r="N319" s="6">
        <v>1826</v>
      </c>
      <c r="O319" s="6">
        <f t="shared" si="52"/>
        <v>-1826</v>
      </c>
      <c r="P319" s="6">
        <f t="shared" si="51"/>
        <v>0</v>
      </c>
      <c r="Q319" s="7">
        <f t="shared" si="49"/>
        <v>462796.14999999991</v>
      </c>
      <c r="R319" s="44" t="str">
        <f>VLOOKUP(F319,'Set up'!$A$2:$E$70,5,FALSE)</f>
        <v>Chq</v>
      </c>
      <c r="S319" s="1" t="s">
        <v>433</v>
      </c>
    </row>
    <row r="320" spans="1:21" x14ac:dyDescent="0.35">
      <c r="A320" s="4">
        <v>44469</v>
      </c>
      <c r="B320" s="5">
        <f t="shared" si="44"/>
        <v>9</v>
      </c>
      <c r="C320" s="5">
        <f t="shared" si="45"/>
        <v>2021</v>
      </c>
      <c r="D320" s="5" t="s">
        <v>380</v>
      </c>
      <c r="E320" s="5" t="str">
        <f>VLOOKUP(F320,'Set up'!$A$2:$C$70,2,FALSE)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up'!$A$2:$C$70,3,FALSE)</f>
        <v>120</v>
      </c>
      <c r="J320" s="5">
        <f>VLOOKUP(F320,'Set up'!$A$2:$D$70,4,FALSE)</f>
        <v>120</v>
      </c>
      <c r="K320" s="4">
        <f t="shared" si="46"/>
        <v>44589</v>
      </c>
      <c r="L320" s="5">
        <f t="shared" si="47"/>
        <v>1</v>
      </c>
      <c r="M320" s="5">
        <f t="shared" si="48"/>
        <v>2022</v>
      </c>
      <c r="N320" s="6">
        <v>240</v>
      </c>
      <c r="O320" s="6">
        <f t="shared" si="52"/>
        <v>-240</v>
      </c>
      <c r="P320" s="6">
        <f t="shared" si="51"/>
        <v>0</v>
      </c>
      <c r="Q320" s="7">
        <f t="shared" si="49"/>
        <v>463036.14999999991</v>
      </c>
      <c r="R320" s="44" t="str">
        <f>VLOOKUP(F320,'Set up'!$A$2:$E$70,5,FALSE)</f>
        <v>Chq</v>
      </c>
      <c r="S320" s="1" t="s">
        <v>575</v>
      </c>
    </row>
    <row r="321" spans="1:19" x14ac:dyDescent="0.35">
      <c r="A321" s="4">
        <v>44470</v>
      </c>
      <c r="B321" s="5">
        <f t="shared" si="44"/>
        <v>10</v>
      </c>
      <c r="C321" s="5">
        <f t="shared" si="45"/>
        <v>2021</v>
      </c>
      <c r="D321" s="5" t="s">
        <v>397</v>
      </c>
      <c r="E321" s="5" t="str">
        <f>VLOOKUP(F321,'Set up'!$A$2:$C$70,2,FALSE)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up'!$A$2:$C$70,3,FALSE)</f>
        <v>Cash</v>
      </c>
      <c r="J321" s="5">
        <f>VLOOKUP(F321,'Set up'!$A$2:$D$70,4,FALSE)</f>
        <v>0</v>
      </c>
      <c r="K321" s="4">
        <f t="shared" si="46"/>
        <v>44470</v>
      </c>
      <c r="L321" s="5">
        <f t="shared" si="47"/>
        <v>10</v>
      </c>
      <c r="M321" s="5">
        <f t="shared" si="48"/>
        <v>2021</v>
      </c>
      <c r="N321" s="6">
        <v>240</v>
      </c>
      <c r="O321" s="6">
        <f>SUM(-N321)</f>
        <v>-240</v>
      </c>
      <c r="P321" s="6">
        <f t="shared" si="51"/>
        <v>0</v>
      </c>
      <c r="Q321" s="7">
        <f t="shared" si="49"/>
        <v>463276.14999999991</v>
      </c>
      <c r="R321" s="44" t="str">
        <f>VLOOKUP(F321,'Set up'!$A$2:$E$70,5,FALSE)</f>
        <v>Chq</v>
      </c>
      <c r="S321" s="1" t="s">
        <v>479</v>
      </c>
    </row>
    <row r="322" spans="1:19" x14ac:dyDescent="0.35">
      <c r="A322" s="4">
        <v>44471</v>
      </c>
      <c r="B322" s="5">
        <f t="shared" si="44"/>
        <v>10</v>
      </c>
      <c r="C322" s="5">
        <f t="shared" si="45"/>
        <v>2021</v>
      </c>
      <c r="D322" s="5" t="s">
        <v>398</v>
      </c>
      <c r="E322" s="5" t="str">
        <f>VLOOKUP(F322,'Set up'!$A$2:$C$70,2,FALSE)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up'!$A$2:$C$70,3,FALSE)</f>
        <v>Cash</v>
      </c>
      <c r="J322" s="5">
        <f>VLOOKUP(F322,'Set up'!$A$2:$D$70,4,FALSE)</f>
        <v>0</v>
      </c>
      <c r="K322" s="4">
        <f t="shared" si="46"/>
        <v>44471</v>
      </c>
      <c r="L322" s="5">
        <f t="shared" si="47"/>
        <v>10</v>
      </c>
      <c r="M322" s="5">
        <f t="shared" si="48"/>
        <v>2021</v>
      </c>
      <c r="N322" s="6">
        <v>3696</v>
      </c>
      <c r="O322" s="6">
        <f t="shared" ref="O322:O330" si="53">-N322</f>
        <v>-3696</v>
      </c>
      <c r="P322" s="6">
        <f t="shared" si="51"/>
        <v>0</v>
      </c>
      <c r="Q322" s="7">
        <f t="shared" si="49"/>
        <v>466972.14999999991</v>
      </c>
      <c r="R322" s="44" t="str">
        <f>VLOOKUP(F322,'Set up'!$A$2:$E$70,5,FALSE)</f>
        <v>Trsf</v>
      </c>
      <c r="S322" s="1" t="s">
        <v>430</v>
      </c>
    </row>
    <row r="323" spans="1:19" x14ac:dyDescent="0.35">
      <c r="A323" s="4">
        <v>44471</v>
      </c>
      <c r="B323" s="5">
        <f t="shared" ref="B323:B386" si="54">MONTH(A323)</f>
        <v>10</v>
      </c>
      <c r="C323" s="5">
        <f t="shared" ref="C323:C386" si="55">YEAR(A323)</f>
        <v>2021</v>
      </c>
      <c r="D323" s="5" t="s">
        <v>398</v>
      </c>
      <c r="E323" s="5" t="str">
        <f>VLOOKUP(F323,'Set up'!$A$2:$C$70,2,FALSE)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up'!$A$2:$C$70,3,FALSE)</f>
        <v>Cash</v>
      </c>
      <c r="J323" s="5">
        <f>VLOOKUP(F323,'Set up'!$A$2:$D$70,4,FALSE)</f>
        <v>0</v>
      </c>
      <c r="K323" s="4">
        <f t="shared" ref="K323:K386" si="56">A323+J323</f>
        <v>44471</v>
      </c>
      <c r="L323" s="5">
        <f t="shared" ref="L323:L386" si="57">MONTH(K323)</f>
        <v>10</v>
      </c>
      <c r="M323" s="5">
        <f t="shared" ref="M323:M386" si="58">YEAR(K323)</f>
        <v>2021</v>
      </c>
      <c r="N323" s="6">
        <v>475.2</v>
      </c>
      <c r="O323" s="6">
        <f t="shared" si="53"/>
        <v>-475.2</v>
      </c>
      <c r="P323" s="6">
        <f t="shared" si="51"/>
        <v>0</v>
      </c>
      <c r="Q323" s="7">
        <f t="shared" ref="Q323:Q386" si="59">SUM(Q322+N323)</f>
        <v>467447.34999999992</v>
      </c>
      <c r="R323" s="44" t="str">
        <f>VLOOKUP(F323,'Set up'!$A$2:$E$70,5,FALSE)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4"/>
        <v>10</v>
      </c>
      <c r="C324" s="5">
        <f t="shared" si="55"/>
        <v>2021</v>
      </c>
      <c r="D324" s="5" t="s">
        <v>398</v>
      </c>
      <c r="E324" s="5" t="str">
        <f>VLOOKUP(F324,'Set up'!$A$2:$C$70,2,FALSE)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up'!$A$2:$C$70,3,FALSE)</f>
        <v>Cash</v>
      </c>
      <c r="J324" s="5">
        <f>VLOOKUP(F324,'Set up'!$A$2:$D$70,4,FALSE)</f>
        <v>0</v>
      </c>
      <c r="K324" s="4">
        <f t="shared" si="56"/>
        <v>44471</v>
      </c>
      <c r="L324" s="5">
        <f t="shared" si="57"/>
        <v>10</v>
      </c>
      <c r="M324" s="5">
        <f t="shared" si="58"/>
        <v>2021</v>
      </c>
      <c r="N324" s="6">
        <v>720</v>
      </c>
      <c r="O324" s="6">
        <f t="shared" si="53"/>
        <v>-720</v>
      </c>
      <c r="P324" s="6">
        <f t="shared" si="51"/>
        <v>0</v>
      </c>
      <c r="Q324" s="7">
        <f t="shared" si="59"/>
        <v>468167.34999999992</v>
      </c>
      <c r="R324" s="44" t="str">
        <f>VLOOKUP(F324,'Set up'!$A$2:$E$70,5,FALSE)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4"/>
        <v>10</v>
      </c>
      <c r="C325" s="5">
        <f t="shared" si="55"/>
        <v>2021</v>
      </c>
      <c r="D325" s="5" t="s">
        <v>398</v>
      </c>
      <c r="E325" s="5" t="str">
        <f>VLOOKUP(F325,'Set up'!$A$2:$C$70,2,FALSE)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up'!$A$2:$C$70,3,FALSE)</f>
        <v>Cash</v>
      </c>
      <c r="J325" s="5">
        <f>VLOOKUP(F325,'Set up'!$A$2:$D$70,4,FALSE)</f>
        <v>0</v>
      </c>
      <c r="K325" s="4">
        <f t="shared" si="56"/>
        <v>44471</v>
      </c>
      <c r="L325" s="5">
        <f t="shared" si="57"/>
        <v>10</v>
      </c>
      <c r="M325" s="5">
        <f t="shared" si="58"/>
        <v>2021</v>
      </c>
      <c r="N325" s="6">
        <v>165</v>
      </c>
      <c r="O325" s="6">
        <f t="shared" si="53"/>
        <v>-165</v>
      </c>
      <c r="P325" s="6">
        <f t="shared" si="51"/>
        <v>0</v>
      </c>
      <c r="Q325" s="7">
        <f t="shared" si="59"/>
        <v>468332.34999999992</v>
      </c>
      <c r="R325" s="44" t="str">
        <f>VLOOKUP(F325,'Set up'!$A$2:$E$70,5,FALSE)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4"/>
        <v>10</v>
      </c>
      <c r="C326" s="5">
        <f t="shared" si="55"/>
        <v>2021</v>
      </c>
      <c r="D326" s="5" t="s">
        <v>401</v>
      </c>
      <c r="E326" s="5" t="str">
        <f>VLOOKUP(F326,'Set up'!$A$2:$C$70,2,FALSE)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up'!$A$2:$C$70,3,FALSE)</f>
        <v>Cash</v>
      </c>
      <c r="J326" s="5">
        <f>VLOOKUP(F326,'Set up'!$A$2:$D$70,4,FALSE)</f>
        <v>0</v>
      </c>
      <c r="K326" s="4">
        <f t="shared" si="56"/>
        <v>44474</v>
      </c>
      <c r="L326" s="5">
        <f t="shared" si="57"/>
        <v>10</v>
      </c>
      <c r="M326" s="5">
        <f t="shared" si="58"/>
        <v>2021</v>
      </c>
      <c r="N326" s="6">
        <v>100</v>
      </c>
      <c r="O326" s="6">
        <f t="shared" si="53"/>
        <v>-100</v>
      </c>
      <c r="P326" s="6">
        <f t="shared" si="51"/>
        <v>0</v>
      </c>
      <c r="Q326" s="7">
        <f t="shared" si="59"/>
        <v>468432.34999999992</v>
      </c>
      <c r="R326" s="44" t="str">
        <f>VLOOKUP(F326,'Set up'!$A$2:$E$70,5,FALSE)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4"/>
        <v>10</v>
      </c>
      <c r="C327" s="5">
        <f t="shared" si="55"/>
        <v>2021</v>
      </c>
      <c r="D327" s="5" t="s">
        <v>402</v>
      </c>
      <c r="E327" s="5" t="str">
        <f>VLOOKUP(F327,'Set up'!$A$2:$C$70,2,FALSE)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up'!$A$2:$C$70,3,FALSE)</f>
        <v>120</v>
      </c>
      <c r="J327" s="5">
        <f>VLOOKUP(F327,'Set up'!$A$2:$D$70,4,FALSE)</f>
        <v>120</v>
      </c>
      <c r="K327" s="4">
        <f t="shared" si="56"/>
        <v>44594</v>
      </c>
      <c r="L327" s="5">
        <f t="shared" si="57"/>
        <v>2</v>
      </c>
      <c r="M327" s="5">
        <f t="shared" si="58"/>
        <v>2022</v>
      </c>
      <c r="N327" s="71">
        <v>10428</v>
      </c>
      <c r="O327" s="6">
        <f t="shared" si="53"/>
        <v>-10428</v>
      </c>
      <c r="P327" s="6">
        <f t="shared" si="51"/>
        <v>0</v>
      </c>
      <c r="Q327" s="7">
        <f t="shared" si="59"/>
        <v>478860.34999999992</v>
      </c>
      <c r="R327" s="44" t="str">
        <f>VLOOKUP(F327,'Set up'!$A$2:$E$70,5,FALSE)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4"/>
        <v>10</v>
      </c>
      <c r="C328" s="5">
        <f t="shared" si="55"/>
        <v>2021</v>
      </c>
      <c r="D328" s="5" t="s">
        <v>402</v>
      </c>
      <c r="E328" s="5" t="str">
        <f>VLOOKUP(F328,'Set up'!$A$2:$C$70,2,FALSE)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up'!$A$2:$C$70,3,FALSE)</f>
        <v>120</v>
      </c>
      <c r="J328" s="5">
        <f>VLOOKUP(F328,'Set up'!$A$2:$D$70,4,FALSE)</f>
        <v>120</v>
      </c>
      <c r="K328" s="4">
        <f t="shared" si="56"/>
        <v>44594</v>
      </c>
      <c r="L328" s="5">
        <f t="shared" si="57"/>
        <v>2</v>
      </c>
      <c r="M328" s="5">
        <f t="shared" si="58"/>
        <v>2022</v>
      </c>
      <c r="N328" s="6">
        <v>1258</v>
      </c>
      <c r="O328" s="6">
        <f t="shared" si="53"/>
        <v>-1258</v>
      </c>
      <c r="P328" s="6">
        <f t="shared" si="51"/>
        <v>0</v>
      </c>
      <c r="Q328" s="7">
        <f t="shared" si="59"/>
        <v>480118.34999999992</v>
      </c>
      <c r="R328" s="44" t="str">
        <f>VLOOKUP(F328,'Set up'!$A$2:$E$70,5,FALSE)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4"/>
        <v>10</v>
      </c>
      <c r="C329" s="5">
        <f t="shared" si="55"/>
        <v>2021</v>
      </c>
      <c r="D329" s="5" t="s">
        <v>402</v>
      </c>
      <c r="E329" s="5" t="str">
        <f>VLOOKUP(F329,'Set up'!$A$2:$C$70,2,FALSE)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up'!$A$2:$C$70,3,FALSE)</f>
        <v>120</v>
      </c>
      <c r="J329" s="5">
        <f>VLOOKUP(F329,'Set up'!$A$2:$D$70,4,FALSE)</f>
        <v>120</v>
      </c>
      <c r="K329" s="4">
        <f t="shared" si="56"/>
        <v>44594</v>
      </c>
      <c r="L329" s="5">
        <f t="shared" si="57"/>
        <v>2</v>
      </c>
      <c r="M329" s="5">
        <f t="shared" si="58"/>
        <v>2022</v>
      </c>
      <c r="N329" s="6">
        <v>275</v>
      </c>
      <c r="O329" s="6">
        <f t="shared" si="53"/>
        <v>-275</v>
      </c>
      <c r="P329" s="6">
        <f t="shared" si="51"/>
        <v>0</v>
      </c>
      <c r="Q329" s="7">
        <f t="shared" si="59"/>
        <v>480393.34999999992</v>
      </c>
      <c r="R329" s="44" t="str">
        <f>VLOOKUP(F329,'Set up'!$A$2:$E$70,5,FALSE)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4"/>
        <v>10</v>
      </c>
      <c r="C330" s="5">
        <f t="shared" si="55"/>
        <v>2021</v>
      </c>
      <c r="D330" s="5" t="s">
        <v>402</v>
      </c>
      <c r="E330" s="5" t="str">
        <f>VLOOKUP(F330,'Set up'!$A$2:$C$70,2,FALSE)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up'!$A$2:$C$70,3,FALSE)</f>
        <v>120</v>
      </c>
      <c r="J330" s="5">
        <f>VLOOKUP(F330,'Set up'!$A$2:$D$70,4,FALSE)</f>
        <v>120</v>
      </c>
      <c r="K330" s="4">
        <f t="shared" si="56"/>
        <v>44594</v>
      </c>
      <c r="L330" s="5">
        <f t="shared" si="57"/>
        <v>2</v>
      </c>
      <c r="M330" s="5">
        <f t="shared" si="58"/>
        <v>2022</v>
      </c>
      <c r="N330" s="6">
        <v>160</v>
      </c>
      <c r="O330" s="6">
        <f t="shared" si="53"/>
        <v>-160</v>
      </c>
      <c r="P330" s="6">
        <f t="shared" si="51"/>
        <v>0</v>
      </c>
      <c r="Q330" s="7">
        <f t="shared" si="59"/>
        <v>480553.34999999992</v>
      </c>
      <c r="R330" s="44" t="str">
        <f>VLOOKUP(F330,'Set up'!$A$2:$E$70,5,FALSE)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4"/>
        <v>10</v>
      </c>
      <c r="C331" s="5">
        <f t="shared" si="55"/>
        <v>2021</v>
      </c>
      <c r="D331" s="5" t="s">
        <v>403</v>
      </c>
      <c r="E331" s="5" t="str">
        <f>VLOOKUP(F331,'Set up'!$A$2:$C$70,2,FALSE)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up'!$A$2:$C$70,3,FALSE)</f>
        <v>45</v>
      </c>
      <c r="J331" s="5">
        <f>VLOOKUP(F331,'Set up'!$A$2:$D$70,4,FALSE)</f>
        <v>45</v>
      </c>
      <c r="K331" s="4">
        <f t="shared" si="56"/>
        <v>44521</v>
      </c>
      <c r="L331" s="5">
        <f t="shared" si="57"/>
        <v>11</v>
      </c>
      <c r="M331" s="5">
        <f t="shared" si="58"/>
        <v>2021</v>
      </c>
      <c r="N331" s="6">
        <v>1870</v>
      </c>
      <c r="O331" s="6">
        <f>-1314-556</f>
        <v>-1870</v>
      </c>
      <c r="P331" s="6">
        <f t="shared" si="51"/>
        <v>0</v>
      </c>
      <c r="Q331" s="7">
        <f t="shared" si="59"/>
        <v>482423.34999999992</v>
      </c>
      <c r="R331" s="44" t="str">
        <f>VLOOKUP(F331,'Set up'!$A$2:$E$70,5,FALSE)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4"/>
        <v>10</v>
      </c>
      <c r="C332" s="5">
        <f t="shared" si="55"/>
        <v>2021</v>
      </c>
      <c r="D332" s="5" t="s">
        <v>403</v>
      </c>
      <c r="E332" s="5" t="str">
        <f>VLOOKUP(F332,'Set up'!$A$2:$C$70,2,FALSE)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up'!$A$2:$C$70,3,FALSE)</f>
        <v>45</v>
      </c>
      <c r="J332" s="5">
        <f>VLOOKUP(F332,'Set up'!$A$2:$D$70,4,FALSE)</f>
        <v>45</v>
      </c>
      <c r="K332" s="4">
        <f t="shared" si="56"/>
        <v>44521</v>
      </c>
      <c r="L332" s="5">
        <f t="shared" si="57"/>
        <v>11</v>
      </c>
      <c r="M332" s="5">
        <f t="shared" si="58"/>
        <v>2021</v>
      </c>
      <c r="N332" s="6">
        <v>300</v>
      </c>
      <c r="O332" s="6">
        <f>-N332</f>
        <v>-300</v>
      </c>
      <c r="P332" s="6">
        <f t="shared" si="51"/>
        <v>0</v>
      </c>
      <c r="Q332" s="7">
        <f t="shared" si="59"/>
        <v>482723.34999999992</v>
      </c>
      <c r="R332" s="44" t="str">
        <f>VLOOKUP(F332,'Set up'!$A$2:$E$70,5,FALSE)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4"/>
        <v>10</v>
      </c>
      <c r="C333" s="5">
        <f t="shared" si="55"/>
        <v>2021</v>
      </c>
      <c r="D333" s="5" t="s">
        <v>403</v>
      </c>
      <c r="E333" s="5" t="str">
        <f>VLOOKUP(F333,'Set up'!$A$2:$C$70,2,FALSE)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up'!$A$2:$C$70,3,FALSE)</f>
        <v>45</v>
      </c>
      <c r="J333" s="5">
        <f>VLOOKUP(F333,'Set up'!$A$2:$D$70,4,FALSE)</f>
        <v>45</v>
      </c>
      <c r="K333" s="4">
        <f t="shared" si="56"/>
        <v>44521</v>
      </c>
      <c r="L333" s="5">
        <f t="shared" si="57"/>
        <v>11</v>
      </c>
      <c r="M333" s="5">
        <f t="shared" si="58"/>
        <v>2021</v>
      </c>
      <c r="N333" s="6">
        <v>160</v>
      </c>
      <c r="O333" s="6">
        <f>-N333</f>
        <v>-160</v>
      </c>
      <c r="P333" s="6">
        <f t="shared" si="51"/>
        <v>0</v>
      </c>
      <c r="Q333" s="7">
        <f t="shared" si="59"/>
        <v>482883.34999999992</v>
      </c>
      <c r="R333" s="44" t="str">
        <f>VLOOKUP(F333,'Set up'!$A$2:$E$70,5,FALSE)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4"/>
        <v>10</v>
      </c>
      <c r="C334" s="5">
        <f t="shared" si="55"/>
        <v>2021</v>
      </c>
      <c r="D334" s="5" t="s">
        <v>405</v>
      </c>
      <c r="E334" s="5" t="str">
        <f>VLOOKUP(F334,'Set up'!$A$2:$C$70,2,FALSE)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up'!$A$2:$C$70,3,FALSE)</f>
        <v>45</v>
      </c>
      <c r="J334" s="5">
        <f>VLOOKUP(F334,'Set up'!$A$2:$D$70,4,FALSE)</f>
        <v>45</v>
      </c>
      <c r="K334" s="4">
        <f t="shared" si="56"/>
        <v>44522</v>
      </c>
      <c r="L334" s="5">
        <f t="shared" si="57"/>
        <v>11</v>
      </c>
      <c r="M334" s="5">
        <f t="shared" si="58"/>
        <v>2021</v>
      </c>
      <c r="N334" s="6">
        <v>1300</v>
      </c>
      <c r="O334" s="6">
        <f>-484-816</f>
        <v>-1300</v>
      </c>
      <c r="P334" s="6">
        <f t="shared" si="51"/>
        <v>0</v>
      </c>
      <c r="Q334" s="7">
        <f t="shared" si="59"/>
        <v>484183.34999999992</v>
      </c>
      <c r="R334" s="44" t="str">
        <f>VLOOKUP(F334,'Set up'!$A$2:$E$70,5,FALSE)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4"/>
        <v>10</v>
      </c>
      <c r="C335" s="5">
        <f t="shared" si="55"/>
        <v>2021</v>
      </c>
      <c r="D335" s="5" t="s">
        <v>407</v>
      </c>
      <c r="E335" s="5" t="str">
        <f>VLOOKUP(F335,'Set up'!$A$2:$C$70,2,FALSE)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up'!$A$2:$C$70,3,FALSE)</f>
        <v>Cash</v>
      </c>
      <c r="J335" s="5">
        <f>VLOOKUP(F335,'Set up'!$A$2:$D$70,4,FALSE)</f>
        <v>0</v>
      </c>
      <c r="K335" s="4">
        <f t="shared" si="56"/>
        <v>44478</v>
      </c>
      <c r="L335" s="5">
        <f t="shared" si="57"/>
        <v>10</v>
      </c>
      <c r="M335" s="5">
        <f t="shared" si="58"/>
        <v>2021</v>
      </c>
      <c r="N335" s="6">
        <v>1760</v>
      </c>
      <c r="O335" s="6">
        <f t="shared" ref="O335:O375" si="60">-N335</f>
        <v>-1760</v>
      </c>
      <c r="P335" s="6">
        <f t="shared" si="51"/>
        <v>0</v>
      </c>
      <c r="Q335" s="7">
        <f t="shared" si="59"/>
        <v>485943.34999999992</v>
      </c>
      <c r="R335" s="44" t="str">
        <f>VLOOKUP(F335,'Set up'!$A$2:$E$70,5,FALSE)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4"/>
        <v>10</v>
      </c>
      <c r="C336" s="5">
        <f t="shared" si="55"/>
        <v>2021</v>
      </c>
      <c r="D336" s="5" t="s">
        <v>410</v>
      </c>
      <c r="E336" s="5" t="str">
        <f>VLOOKUP(F336,'Set up'!$A$2:$C$70,2,FALSE)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up'!$A$2:$C$70,3,FALSE)</f>
        <v>Cash</v>
      </c>
      <c r="J336" s="5">
        <f>VLOOKUP(F336,'Set up'!$A$2:$D$70,4,FALSE)</f>
        <v>0</v>
      </c>
      <c r="K336" s="4">
        <f t="shared" si="56"/>
        <v>44480</v>
      </c>
      <c r="L336" s="5">
        <f t="shared" si="57"/>
        <v>10</v>
      </c>
      <c r="M336" s="5">
        <f t="shared" si="58"/>
        <v>2021</v>
      </c>
      <c r="N336" s="6">
        <v>125</v>
      </c>
      <c r="O336" s="6">
        <f t="shared" si="60"/>
        <v>-125</v>
      </c>
      <c r="P336" s="6">
        <f t="shared" si="51"/>
        <v>0</v>
      </c>
      <c r="Q336" s="7">
        <f t="shared" si="59"/>
        <v>486068.34999999992</v>
      </c>
      <c r="R336" s="44" t="str">
        <f>VLOOKUP(F336,'Set up'!$A$2:$E$70,5,FALSE)</f>
        <v>Chq</v>
      </c>
      <c r="S336" s="1" t="s">
        <v>431</v>
      </c>
    </row>
    <row r="337" spans="1:19" x14ac:dyDescent="0.35">
      <c r="A337" s="4">
        <v>44480</v>
      </c>
      <c r="B337" s="5">
        <f t="shared" si="54"/>
        <v>10</v>
      </c>
      <c r="C337" s="5">
        <f t="shared" si="55"/>
        <v>2021</v>
      </c>
      <c r="D337" s="5" t="s">
        <v>410</v>
      </c>
      <c r="E337" s="5" t="str">
        <f>VLOOKUP(F337,'Set up'!$A$2:$C$70,2,FALSE)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up'!$A$2:$C$70,3,FALSE)</f>
        <v>Cash</v>
      </c>
      <c r="J337" s="5">
        <f>VLOOKUP(F337,'Set up'!$A$2:$D$70,4,FALSE)</f>
        <v>0</v>
      </c>
      <c r="K337" s="4">
        <f t="shared" si="56"/>
        <v>44480</v>
      </c>
      <c r="L337" s="5">
        <f t="shared" si="57"/>
        <v>10</v>
      </c>
      <c r="M337" s="5">
        <f t="shared" si="58"/>
        <v>2021</v>
      </c>
      <c r="N337" s="6">
        <v>80</v>
      </c>
      <c r="O337" s="6">
        <f t="shared" si="60"/>
        <v>-80</v>
      </c>
      <c r="P337" s="6">
        <f t="shared" si="51"/>
        <v>0</v>
      </c>
      <c r="Q337" s="7">
        <f t="shared" si="59"/>
        <v>486148.34999999992</v>
      </c>
      <c r="R337" s="44" t="str">
        <f>VLOOKUP(F337,'Set up'!$A$2:$E$70,5,FALSE)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si="54"/>
        <v>10</v>
      </c>
      <c r="C338" s="5">
        <f t="shared" si="55"/>
        <v>2021</v>
      </c>
      <c r="D338" s="5" t="s">
        <v>411</v>
      </c>
      <c r="E338" s="5" t="str">
        <f>VLOOKUP(F338,'Set up'!$A$2:$C$70,2,FALSE)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up'!$A$2:$C$70,3,FALSE)</f>
        <v>Cash</v>
      </c>
      <c r="J338" s="5">
        <f>VLOOKUP(F338,'Set up'!$A$2:$D$70,4,FALSE)</f>
        <v>0</v>
      </c>
      <c r="K338" s="4">
        <f t="shared" si="56"/>
        <v>44481</v>
      </c>
      <c r="L338" s="5">
        <f t="shared" si="57"/>
        <v>10</v>
      </c>
      <c r="M338" s="5">
        <f t="shared" si="58"/>
        <v>2021</v>
      </c>
      <c r="N338" s="6">
        <v>7650</v>
      </c>
      <c r="O338" s="6">
        <f t="shared" si="60"/>
        <v>-7650</v>
      </c>
      <c r="P338" s="6">
        <f t="shared" si="51"/>
        <v>0</v>
      </c>
      <c r="Q338" s="7">
        <f t="shared" si="59"/>
        <v>493798.34999999992</v>
      </c>
      <c r="R338" s="44" t="str">
        <f>VLOOKUP(F338,'Set up'!$A$2:$E$70,5,FALSE)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54"/>
        <v>10</v>
      </c>
      <c r="C339" s="5">
        <f t="shared" si="55"/>
        <v>2021</v>
      </c>
      <c r="D339" s="5" t="s">
        <v>411</v>
      </c>
      <c r="E339" s="5" t="str">
        <f>VLOOKUP(F339,'Set up'!$A$2:$C$70,2,FALSE)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up'!$A$2:$C$70,3,FALSE)</f>
        <v>Cash</v>
      </c>
      <c r="J339" s="5">
        <f>VLOOKUP(F339,'Set up'!$A$2:$D$70,4,FALSE)</f>
        <v>0</v>
      </c>
      <c r="K339" s="4">
        <f t="shared" si="56"/>
        <v>44481</v>
      </c>
      <c r="L339" s="5">
        <f t="shared" si="57"/>
        <v>10</v>
      </c>
      <c r="M339" s="5">
        <f t="shared" si="58"/>
        <v>2021</v>
      </c>
      <c r="N339" s="6">
        <v>3182</v>
      </c>
      <c r="O339" s="6">
        <f t="shared" si="60"/>
        <v>-3182</v>
      </c>
      <c r="P339" s="6">
        <f t="shared" si="51"/>
        <v>0</v>
      </c>
      <c r="Q339" s="7">
        <f t="shared" si="59"/>
        <v>496980.34999999992</v>
      </c>
      <c r="R339" s="44" t="str">
        <f>VLOOKUP(F339,'Set up'!$A$2:$E$70,5,FALSE)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54"/>
        <v>10</v>
      </c>
      <c r="C340" s="5">
        <f t="shared" si="55"/>
        <v>2021</v>
      </c>
      <c r="D340" s="5" t="s">
        <v>411</v>
      </c>
      <c r="E340" s="5" t="str">
        <f>VLOOKUP(F340,'Set up'!$A$2:$C$70,2,FALSE)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up'!$A$2:$C$70,3,FALSE)</f>
        <v>Cash</v>
      </c>
      <c r="J340" s="5">
        <f>VLOOKUP(F340,'Set up'!$A$2:$D$70,4,FALSE)</f>
        <v>0</v>
      </c>
      <c r="K340" s="4">
        <f t="shared" si="56"/>
        <v>44481</v>
      </c>
      <c r="L340" s="5">
        <f t="shared" si="57"/>
        <v>10</v>
      </c>
      <c r="M340" s="5">
        <f t="shared" si="58"/>
        <v>2021</v>
      </c>
      <c r="N340" s="6">
        <v>125</v>
      </c>
      <c r="O340" s="6">
        <f t="shared" si="60"/>
        <v>-125</v>
      </c>
      <c r="P340" s="6">
        <f t="shared" si="51"/>
        <v>0</v>
      </c>
      <c r="Q340" s="7">
        <f t="shared" si="59"/>
        <v>497105.34999999992</v>
      </c>
      <c r="R340" s="44" t="str">
        <f>VLOOKUP(F340,'Set up'!$A$2:$E$70,5,FALSE)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54"/>
        <v>10</v>
      </c>
      <c r="C341" s="5">
        <f t="shared" si="55"/>
        <v>2021</v>
      </c>
      <c r="D341" s="5" t="s">
        <v>411</v>
      </c>
      <c r="E341" s="5" t="str">
        <f>VLOOKUP(F341,'Set up'!$A$2:$C$70,2,FALSE)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up'!$A$2:$C$70,3,FALSE)</f>
        <v>Cash</v>
      </c>
      <c r="J341" s="5">
        <f>VLOOKUP(F341,'Set up'!$A$2:$D$70,4,FALSE)</f>
        <v>0</v>
      </c>
      <c r="K341" s="4">
        <f t="shared" si="56"/>
        <v>44481</v>
      </c>
      <c r="L341" s="5">
        <f t="shared" si="57"/>
        <v>10</v>
      </c>
      <c r="M341" s="5">
        <f t="shared" si="58"/>
        <v>2021</v>
      </c>
      <c r="N341" s="6">
        <v>320</v>
      </c>
      <c r="O341" s="6">
        <f t="shared" si="60"/>
        <v>-320</v>
      </c>
      <c r="P341" s="6">
        <f t="shared" ref="P341:P404" si="61">SUM(N341+O341)</f>
        <v>0</v>
      </c>
      <c r="Q341" s="7">
        <f t="shared" si="59"/>
        <v>497425.34999999992</v>
      </c>
      <c r="R341" s="44" t="str">
        <f>VLOOKUP(F341,'Set up'!$A$2:$E$70,5,FALSE)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54"/>
        <v>10</v>
      </c>
      <c r="C342" s="5">
        <f t="shared" si="55"/>
        <v>2021</v>
      </c>
      <c r="D342" s="5" t="s">
        <v>411</v>
      </c>
      <c r="E342" s="5" t="str">
        <f>VLOOKUP(F342,'Set up'!$A$2:$C$70,2,FALSE)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up'!$A$2:$C$70,3,FALSE)</f>
        <v>Cash</v>
      </c>
      <c r="J342" s="5">
        <f>VLOOKUP(F342,'Set up'!$A$2:$D$70,4,FALSE)</f>
        <v>0</v>
      </c>
      <c r="K342" s="4">
        <f t="shared" si="56"/>
        <v>44481</v>
      </c>
      <c r="L342" s="5">
        <f t="shared" si="57"/>
        <v>10</v>
      </c>
      <c r="M342" s="5">
        <f t="shared" si="58"/>
        <v>2021</v>
      </c>
      <c r="N342" s="6">
        <v>1350</v>
      </c>
      <c r="O342" s="6">
        <f t="shared" si="60"/>
        <v>-1350</v>
      </c>
      <c r="P342" s="6">
        <f t="shared" si="61"/>
        <v>0</v>
      </c>
      <c r="Q342" s="7">
        <f t="shared" si="59"/>
        <v>498775.34999999992</v>
      </c>
      <c r="R342" s="44" t="str">
        <f>VLOOKUP(F342,'Set up'!$A$2:$E$70,5,FALSE)</f>
        <v>Trsf</v>
      </c>
      <c r="S342" s="1" t="s">
        <v>434</v>
      </c>
    </row>
    <row r="343" spans="1:19" x14ac:dyDescent="0.35">
      <c r="A343" s="4">
        <v>44482</v>
      </c>
      <c r="B343" s="5">
        <f t="shared" si="54"/>
        <v>10</v>
      </c>
      <c r="C343" s="5">
        <f t="shared" si="55"/>
        <v>2021</v>
      </c>
      <c r="D343" s="5" t="s">
        <v>415</v>
      </c>
      <c r="E343" s="5" t="str">
        <f>VLOOKUP(F343,'Set up'!$A$2:$C$70,2,FALSE)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up'!$A$2:$C$70,3,FALSE)</f>
        <v>Cash</v>
      </c>
      <c r="J343" s="5">
        <f>VLOOKUP(F343,'Set up'!$A$2:$D$70,4,FALSE)</f>
        <v>0</v>
      </c>
      <c r="K343" s="4">
        <f t="shared" si="56"/>
        <v>44482</v>
      </c>
      <c r="L343" s="5">
        <f t="shared" si="57"/>
        <v>10</v>
      </c>
      <c r="M343" s="5">
        <f t="shared" si="58"/>
        <v>2021</v>
      </c>
      <c r="N343" s="6">
        <v>3696</v>
      </c>
      <c r="O343" s="6">
        <f t="shared" si="60"/>
        <v>-3696</v>
      </c>
      <c r="P343" s="6">
        <f t="shared" si="61"/>
        <v>0</v>
      </c>
      <c r="Q343" s="7">
        <f t="shared" si="59"/>
        <v>502471.34999999992</v>
      </c>
      <c r="R343" s="44" t="str">
        <f>VLOOKUP(F343,'Set up'!$A$2:$E$70,5,FALSE)</f>
        <v>Trsf</v>
      </c>
      <c r="S343" s="1" t="s">
        <v>435</v>
      </c>
    </row>
    <row r="344" spans="1:19" x14ac:dyDescent="0.35">
      <c r="A344" s="4">
        <v>44482</v>
      </c>
      <c r="B344" s="5">
        <f t="shared" si="54"/>
        <v>10</v>
      </c>
      <c r="C344" s="5">
        <f t="shared" si="55"/>
        <v>2021</v>
      </c>
      <c r="D344" s="5" t="s">
        <v>415</v>
      </c>
      <c r="E344" s="5" t="str">
        <f>VLOOKUP(F344,'Set up'!$A$2:$C$70,2,FALSE)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up'!$A$2:$C$70,3,FALSE)</f>
        <v>Cash</v>
      </c>
      <c r="J344" s="5">
        <f>VLOOKUP(F344,'Set up'!$A$2:$D$70,4,FALSE)</f>
        <v>0</v>
      </c>
      <c r="K344" s="4">
        <f t="shared" si="56"/>
        <v>44482</v>
      </c>
      <c r="L344" s="5">
        <f t="shared" si="57"/>
        <v>10</v>
      </c>
      <c r="M344" s="5">
        <f t="shared" si="58"/>
        <v>2021</v>
      </c>
      <c r="N344" s="6">
        <v>950.4</v>
      </c>
      <c r="O344" s="6">
        <f t="shared" si="60"/>
        <v>-950.4</v>
      </c>
      <c r="P344" s="6">
        <f t="shared" si="61"/>
        <v>0</v>
      </c>
      <c r="Q344" s="7">
        <f t="shared" si="59"/>
        <v>503421.74999999994</v>
      </c>
      <c r="R344" s="44" t="str">
        <f>VLOOKUP(F344,'Set up'!$A$2:$E$70,5,FALSE)</f>
        <v>Trsf</v>
      </c>
      <c r="S344" s="1" t="s">
        <v>435</v>
      </c>
    </row>
    <row r="345" spans="1:19" x14ac:dyDescent="0.35">
      <c r="A345" s="4">
        <v>44482</v>
      </c>
      <c r="B345" s="5">
        <f t="shared" si="54"/>
        <v>10</v>
      </c>
      <c r="C345" s="5">
        <f t="shared" si="55"/>
        <v>2021</v>
      </c>
      <c r="D345" s="5" t="s">
        <v>415</v>
      </c>
      <c r="E345" s="5" t="str">
        <f>VLOOKUP(F345,'Set up'!$A$2:$C$70,2,FALSE)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up'!$A$2:$C$70,3,FALSE)</f>
        <v>Cash</v>
      </c>
      <c r="J345" s="5">
        <f>VLOOKUP(F345,'Set up'!$A$2:$D$70,4,FALSE)</f>
        <v>0</v>
      </c>
      <c r="K345" s="4">
        <f t="shared" si="56"/>
        <v>44482</v>
      </c>
      <c r="L345" s="5">
        <f t="shared" si="57"/>
        <v>10</v>
      </c>
      <c r="M345" s="5">
        <f t="shared" si="58"/>
        <v>2021</v>
      </c>
      <c r="N345" s="6">
        <v>360</v>
      </c>
      <c r="O345" s="6">
        <f t="shared" si="60"/>
        <v>-360</v>
      </c>
      <c r="P345" s="6">
        <f t="shared" si="61"/>
        <v>0</v>
      </c>
      <c r="Q345" s="7">
        <f t="shared" si="59"/>
        <v>503781.74999999994</v>
      </c>
      <c r="R345" s="44" t="str">
        <f>VLOOKUP(F345,'Set up'!$A$2:$E$70,5,FALSE)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54"/>
        <v>10</v>
      </c>
      <c r="C346" s="5">
        <f t="shared" si="55"/>
        <v>2021</v>
      </c>
      <c r="D346" s="5" t="s">
        <v>416</v>
      </c>
      <c r="E346" s="5" t="str">
        <f>VLOOKUP(F346,'Set up'!$A$2:$C$70,2,FALSE)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up'!$A$2:$C$70,3,FALSE)</f>
        <v>Cash</v>
      </c>
      <c r="J346" s="5">
        <f>VLOOKUP(F346,'Set up'!$A$2:$D$70,4,FALSE)</f>
        <v>0</v>
      </c>
      <c r="K346" s="4">
        <f t="shared" si="56"/>
        <v>44483</v>
      </c>
      <c r="L346" s="5">
        <f t="shared" si="57"/>
        <v>10</v>
      </c>
      <c r="M346" s="5">
        <f t="shared" si="58"/>
        <v>2021</v>
      </c>
      <c r="N346" s="6">
        <v>300</v>
      </c>
      <c r="O346" s="6">
        <f t="shared" si="60"/>
        <v>-300</v>
      </c>
      <c r="P346" s="6">
        <f t="shared" si="61"/>
        <v>0</v>
      </c>
      <c r="Q346" s="7">
        <f t="shared" si="59"/>
        <v>504081.74999999994</v>
      </c>
      <c r="R346" s="44" t="str">
        <f>VLOOKUP(F346,'Set up'!$A$2:$E$70,5,FALSE)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54"/>
        <v>10</v>
      </c>
      <c r="C347" s="5">
        <f t="shared" si="55"/>
        <v>2021</v>
      </c>
      <c r="D347" s="5" t="s">
        <v>416</v>
      </c>
      <c r="E347" s="5" t="str">
        <f>VLOOKUP(F347,'Set up'!$A$2:$C$70,2,FALSE)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up'!$A$2:$C$70,3,FALSE)</f>
        <v>Cash</v>
      </c>
      <c r="J347" s="5">
        <f>VLOOKUP(F347,'Set up'!$A$2:$D$70,4,FALSE)</f>
        <v>0</v>
      </c>
      <c r="K347" s="4">
        <f t="shared" si="56"/>
        <v>44483</v>
      </c>
      <c r="L347" s="5">
        <f t="shared" si="57"/>
        <v>10</v>
      </c>
      <c r="M347" s="5">
        <f t="shared" si="58"/>
        <v>2021</v>
      </c>
      <c r="N347" s="6">
        <v>100</v>
      </c>
      <c r="O347" s="6">
        <f t="shared" si="60"/>
        <v>-100</v>
      </c>
      <c r="P347" s="6">
        <f t="shared" si="61"/>
        <v>0</v>
      </c>
      <c r="Q347" s="7">
        <f t="shared" si="59"/>
        <v>504181.74999999994</v>
      </c>
      <c r="R347" s="44" t="str">
        <f>VLOOKUP(F347,'Set up'!$A$2:$E$70,5,FALSE)</f>
        <v>Trsf</v>
      </c>
      <c r="S347" s="1" t="s">
        <v>435</v>
      </c>
    </row>
    <row r="348" spans="1:19" x14ac:dyDescent="0.35">
      <c r="A348" s="4">
        <v>44483</v>
      </c>
      <c r="B348" s="5">
        <f t="shared" si="54"/>
        <v>10</v>
      </c>
      <c r="C348" s="5">
        <f t="shared" si="55"/>
        <v>2021</v>
      </c>
      <c r="D348" s="5" t="s">
        <v>418</v>
      </c>
      <c r="E348" s="5" t="str">
        <f>VLOOKUP(F348,'Set up'!$A$2:$C$70,2,FALSE)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up'!$A$2:$C$70,3,FALSE)</f>
        <v>60</v>
      </c>
      <c r="J348" s="5">
        <f>VLOOKUP(F348,'Set up'!$A$2:$D$70,4,FALSE)</f>
        <v>60</v>
      </c>
      <c r="K348" s="4">
        <f t="shared" si="56"/>
        <v>44543</v>
      </c>
      <c r="L348" s="5">
        <f t="shared" si="57"/>
        <v>12</v>
      </c>
      <c r="M348" s="5">
        <f t="shared" si="58"/>
        <v>2021</v>
      </c>
      <c r="N348" s="6">
        <v>5100</v>
      </c>
      <c r="O348" s="6">
        <f t="shared" si="60"/>
        <v>-5100</v>
      </c>
      <c r="P348" s="6">
        <f t="shared" si="61"/>
        <v>0</v>
      </c>
      <c r="Q348" s="7">
        <f t="shared" si="59"/>
        <v>509281.74999999994</v>
      </c>
      <c r="R348" s="44" t="str">
        <f>VLOOKUP(F348,'Set up'!$A$2:$E$70,5,FALSE)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54"/>
        <v>10</v>
      </c>
      <c r="C349" s="5">
        <f t="shared" si="55"/>
        <v>2021</v>
      </c>
      <c r="D349" s="5" t="s">
        <v>419</v>
      </c>
      <c r="E349" s="5" t="str">
        <f>VLOOKUP(F349,'Set up'!$A$2:$C$70,2,FALSE)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up'!$A$2:$C$70,3,FALSE)</f>
        <v>Cash</v>
      </c>
      <c r="J349" s="5">
        <f>VLOOKUP(F349,'Set up'!$A$2:$D$70,4,FALSE)</f>
        <v>0</v>
      </c>
      <c r="K349" s="4">
        <f t="shared" si="56"/>
        <v>44484</v>
      </c>
      <c r="L349" s="5">
        <f t="shared" si="57"/>
        <v>10</v>
      </c>
      <c r="M349" s="5">
        <f t="shared" si="58"/>
        <v>2021</v>
      </c>
      <c r="N349" s="6">
        <v>2025</v>
      </c>
      <c r="O349" s="6">
        <f t="shared" si="60"/>
        <v>-2025</v>
      </c>
      <c r="P349" s="6">
        <f t="shared" si="61"/>
        <v>0</v>
      </c>
      <c r="Q349" s="7">
        <f t="shared" si="59"/>
        <v>511306.74999999994</v>
      </c>
      <c r="R349" s="44" t="str">
        <f>VLOOKUP(F349,'Set up'!$A$2:$E$70,5,FALSE)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54"/>
        <v>10</v>
      </c>
      <c r="C350" s="5">
        <f t="shared" si="55"/>
        <v>2021</v>
      </c>
      <c r="D350" s="5" t="s">
        <v>419</v>
      </c>
      <c r="E350" s="5" t="str">
        <f>VLOOKUP(F350,'Set up'!$A$2:$C$70,2,FALSE)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up'!$A$2:$C$70,3,FALSE)</f>
        <v>Cash</v>
      </c>
      <c r="J350" s="5">
        <f>VLOOKUP(F350,'Set up'!$A$2:$D$70,4,FALSE)</f>
        <v>0</v>
      </c>
      <c r="K350" s="4">
        <f t="shared" si="56"/>
        <v>44484</v>
      </c>
      <c r="L350" s="5">
        <f t="shared" si="57"/>
        <v>10</v>
      </c>
      <c r="M350" s="5">
        <f t="shared" si="58"/>
        <v>2021</v>
      </c>
      <c r="N350" s="6">
        <v>516</v>
      </c>
      <c r="O350" s="6">
        <f t="shared" si="60"/>
        <v>-516</v>
      </c>
      <c r="P350" s="6">
        <f t="shared" si="61"/>
        <v>0</v>
      </c>
      <c r="Q350" s="7">
        <f t="shared" si="59"/>
        <v>511822.74999999994</v>
      </c>
      <c r="R350" s="44" t="str">
        <f>VLOOKUP(F350,'Set up'!$A$2:$E$70,5,FALSE)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54"/>
        <v>10</v>
      </c>
      <c r="C351" s="5">
        <f t="shared" si="55"/>
        <v>2021</v>
      </c>
      <c r="D351" s="5" t="s">
        <v>419</v>
      </c>
      <c r="E351" s="5" t="str">
        <f>VLOOKUP(F351,'Set up'!$A$2:$C$70,2,FALSE)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up'!$A$2:$C$70,3,FALSE)</f>
        <v>Cash</v>
      </c>
      <c r="J351" s="5">
        <f>VLOOKUP(F351,'Set up'!$A$2:$D$70,4,FALSE)</f>
        <v>0</v>
      </c>
      <c r="K351" s="4">
        <f t="shared" si="56"/>
        <v>44484</v>
      </c>
      <c r="L351" s="5">
        <f t="shared" si="57"/>
        <v>10</v>
      </c>
      <c r="M351" s="5">
        <f t="shared" si="58"/>
        <v>2021</v>
      </c>
      <c r="N351" s="6">
        <v>55</v>
      </c>
      <c r="O351" s="6">
        <f t="shared" si="60"/>
        <v>-55</v>
      </c>
      <c r="P351" s="6">
        <f t="shared" si="61"/>
        <v>0</v>
      </c>
      <c r="Q351" s="7">
        <f t="shared" si="59"/>
        <v>511877.74999999994</v>
      </c>
      <c r="R351" s="44" t="str">
        <f>VLOOKUP(F351,'Set up'!$A$2:$E$70,5,FALSE)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54"/>
        <v>10</v>
      </c>
      <c r="C352" s="5">
        <f t="shared" si="55"/>
        <v>2021</v>
      </c>
      <c r="D352" s="5" t="s">
        <v>419</v>
      </c>
      <c r="E352" s="5" t="str">
        <f>VLOOKUP(F352,'Set up'!$A$2:$C$70,2,FALSE)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up'!$A$2:$C$70,3,FALSE)</f>
        <v>Cash</v>
      </c>
      <c r="J352" s="5">
        <f>VLOOKUP(F352,'Set up'!$A$2:$D$70,4,FALSE)</f>
        <v>0</v>
      </c>
      <c r="K352" s="4">
        <f t="shared" si="56"/>
        <v>44484</v>
      </c>
      <c r="L352" s="5">
        <f t="shared" si="57"/>
        <v>10</v>
      </c>
      <c r="M352" s="5">
        <f t="shared" si="58"/>
        <v>2021</v>
      </c>
      <c r="N352" s="6">
        <v>80</v>
      </c>
      <c r="O352" s="6">
        <f t="shared" si="60"/>
        <v>-80</v>
      </c>
      <c r="P352" s="6">
        <f t="shared" si="61"/>
        <v>0</v>
      </c>
      <c r="Q352" s="7">
        <f t="shared" si="59"/>
        <v>511957.74999999994</v>
      </c>
      <c r="R352" s="44" t="str">
        <f>VLOOKUP(F352,'Set up'!$A$2:$E$70,5,FALSE)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54"/>
        <v>10</v>
      </c>
      <c r="C353" s="5">
        <f t="shared" si="55"/>
        <v>2021</v>
      </c>
      <c r="D353" s="5" t="s">
        <v>423</v>
      </c>
      <c r="E353" s="5" t="str">
        <f>VLOOKUP(F353,'Set up'!$A$2:$C$70,2,FALSE)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up'!$A$2:$C$70,3,FALSE)</f>
        <v>Cash</v>
      </c>
      <c r="J353" s="5">
        <f>VLOOKUP(F353,'Set up'!$A$2:$D$70,4,FALSE)</f>
        <v>0</v>
      </c>
      <c r="K353" s="4">
        <f t="shared" si="56"/>
        <v>44484</v>
      </c>
      <c r="L353" s="5">
        <f t="shared" si="57"/>
        <v>10</v>
      </c>
      <c r="M353" s="5">
        <f t="shared" si="58"/>
        <v>2021</v>
      </c>
      <c r="N353" s="6">
        <v>1826</v>
      </c>
      <c r="O353" s="6">
        <f t="shared" si="60"/>
        <v>-1826</v>
      </c>
      <c r="P353" s="6">
        <f t="shared" si="61"/>
        <v>0</v>
      </c>
      <c r="Q353" s="7">
        <f t="shared" si="59"/>
        <v>513783.74999999994</v>
      </c>
      <c r="R353" s="44" t="str">
        <f>VLOOKUP(F353,'Set up'!$A$2:$E$70,5,FALSE)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54"/>
        <v>10</v>
      </c>
      <c r="C354" s="5">
        <f t="shared" si="55"/>
        <v>2021</v>
      </c>
      <c r="D354" s="5" t="s">
        <v>423</v>
      </c>
      <c r="E354" s="5" t="str">
        <f>VLOOKUP(F354,'Set up'!$A$2:$C$70,2,FALSE)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up'!$A$2:$C$70,3,FALSE)</f>
        <v>Cash</v>
      </c>
      <c r="J354" s="5">
        <f>VLOOKUP(F354,'Set up'!$A$2:$D$70,4,FALSE)</f>
        <v>0</v>
      </c>
      <c r="K354" s="4">
        <f t="shared" si="56"/>
        <v>44484</v>
      </c>
      <c r="L354" s="5">
        <f t="shared" si="57"/>
        <v>10</v>
      </c>
      <c r="M354" s="5">
        <f t="shared" si="58"/>
        <v>2021</v>
      </c>
      <c r="N354" s="6">
        <v>100</v>
      </c>
      <c r="O354" s="6">
        <f t="shared" si="60"/>
        <v>-100</v>
      </c>
      <c r="P354" s="6">
        <f t="shared" si="61"/>
        <v>0</v>
      </c>
      <c r="Q354" s="7">
        <f t="shared" si="59"/>
        <v>513883.74999999994</v>
      </c>
      <c r="R354" s="44" t="str">
        <f>VLOOKUP(F354,'Set up'!$A$2:$E$70,5,FALSE)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54"/>
        <v>10</v>
      </c>
      <c r="C355" s="5">
        <f t="shared" si="55"/>
        <v>2021</v>
      </c>
      <c r="D355" s="5" t="s">
        <v>424</v>
      </c>
      <c r="E355" s="5" t="str">
        <f>VLOOKUP(F355,'Set up'!$A$2:$C$70,2,FALSE)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up'!$A$2:$C$70,3,FALSE)</f>
        <v>Cash</v>
      </c>
      <c r="J355" s="5">
        <f>VLOOKUP(F355,'Set up'!$A$2:$D$70,4,FALSE)</f>
        <v>0</v>
      </c>
      <c r="K355" s="4">
        <f t="shared" si="56"/>
        <v>44484</v>
      </c>
      <c r="L355" s="5">
        <f t="shared" si="57"/>
        <v>10</v>
      </c>
      <c r="M355" s="5">
        <f t="shared" si="58"/>
        <v>2021</v>
      </c>
      <c r="N355" s="6">
        <v>636.4</v>
      </c>
      <c r="O355" s="6">
        <f t="shared" si="60"/>
        <v>-636.4</v>
      </c>
      <c r="P355" s="6">
        <f t="shared" si="61"/>
        <v>0</v>
      </c>
      <c r="Q355" s="7">
        <f t="shared" si="59"/>
        <v>514520.14999999997</v>
      </c>
      <c r="R355" s="44" t="str">
        <f>VLOOKUP(F355,'Set up'!$A$2:$E$70,5,FALSE)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54"/>
        <v>10</v>
      </c>
      <c r="C356" s="5">
        <f t="shared" si="55"/>
        <v>2021</v>
      </c>
      <c r="D356" s="5" t="s">
        <v>424</v>
      </c>
      <c r="E356" s="5" t="str">
        <f>VLOOKUP(F356,'Set up'!$A$2:$C$70,2,FALSE)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up'!$A$2:$C$70,3,FALSE)</f>
        <v>Cash</v>
      </c>
      <c r="J356" s="5">
        <f>VLOOKUP(F356,'Set up'!$A$2:$D$70,4,FALSE)</f>
        <v>0</v>
      </c>
      <c r="K356" s="4">
        <f t="shared" si="56"/>
        <v>44484</v>
      </c>
      <c r="L356" s="5">
        <f t="shared" si="57"/>
        <v>10</v>
      </c>
      <c r="M356" s="5">
        <f t="shared" si="58"/>
        <v>2021</v>
      </c>
      <c r="N356" s="6">
        <v>675</v>
      </c>
      <c r="O356" s="6">
        <f t="shared" si="60"/>
        <v>-675</v>
      </c>
      <c r="P356" s="6">
        <f t="shared" si="61"/>
        <v>0</v>
      </c>
      <c r="Q356" s="7">
        <f t="shared" si="59"/>
        <v>515195.14999999997</v>
      </c>
      <c r="R356" s="44" t="str">
        <f>VLOOKUP(F356,'Set up'!$A$2:$E$70,5,FALSE)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54"/>
        <v>10</v>
      </c>
      <c r="C357" s="5">
        <f t="shared" si="55"/>
        <v>2021</v>
      </c>
      <c r="D357" s="5" t="s">
        <v>425</v>
      </c>
      <c r="E357" s="5" t="str">
        <f>VLOOKUP(F357,'Set up'!$A$2:$C$70,2,FALSE)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up'!$A$2:$C$70,3,FALSE)</f>
        <v>Cash</v>
      </c>
      <c r="J357" s="5">
        <f>VLOOKUP(F357,'Set up'!$A$2:$D$70,4,FALSE)</f>
        <v>0</v>
      </c>
      <c r="K357" s="4">
        <f t="shared" si="56"/>
        <v>44487</v>
      </c>
      <c r="L357" s="5">
        <f t="shared" si="57"/>
        <v>10</v>
      </c>
      <c r="M357" s="5">
        <f t="shared" si="58"/>
        <v>2021</v>
      </c>
      <c r="N357" s="6">
        <v>3825</v>
      </c>
      <c r="O357" s="6">
        <f t="shared" si="60"/>
        <v>-3825</v>
      </c>
      <c r="P357" s="6">
        <f t="shared" si="61"/>
        <v>0</v>
      </c>
      <c r="Q357" s="7">
        <f t="shared" si="59"/>
        <v>519020.14999999997</v>
      </c>
      <c r="R357" s="44" t="str">
        <f>VLOOKUP(F357,'Set up'!$A$2:$E$70,5,FALSE)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54"/>
        <v>10</v>
      </c>
      <c r="C358" s="5">
        <f t="shared" si="55"/>
        <v>2021</v>
      </c>
      <c r="D358" s="5" t="s">
        <v>425</v>
      </c>
      <c r="E358" s="5" t="str">
        <f>VLOOKUP(F358,'Set up'!$A$2:$C$70,2,FALSE)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up'!$A$2:$C$70,3,FALSE)</f>
        <v>Cash</v>
      </c>
      <c r="J358" s="5">
        <f>VLOOKUP(F358,'Set up'!$A$2:$D$70,4,FALSE)</f>
        <v>0</v>
      </c>
      <c r="K358" s="4">
        <f t="shared" si="56"/>
        <v>44487</v>
      </c>
      <c r="L358" s="5">
        <f t="shared" si="57"/>
        <v>10</v>
      </c>
      <c r="M358" s="5">
        <f t="shared" si="58"/>
        <v>2021</v>
      </c>
      <c r="N358" s="6">
        <v>3740</v>
      </c>
      <c r="O358" s="6">
        <f t="shared" si="60"/>
        <v>-3740</v>
      </c>
      <c r="P358" s="6">
        <f t="shared" si="61"/>
        <v>0</v>
      </c>
      <c r="Q358" s="7">
        <f t="shared" si="59"/>
        <v>522760.14999999997</v>
      </c>
      <c r="R358" s="44" t="str">
        <f>VLOOKUP(F358,'Set up'!$A$2:$E$70,5,FALSE)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54"/>
        <v>10</v>
      </c>
      <c r="C359" s="5">
        <f t="shared" si="55"/>
        <v>2021</v>
      </c>
      <c r="D359" s="5" t="s">
        <v>425</v>
      </c>
      <c r="E359" s="5" t="str">
        <f>VLOOKUP(F359,'Set up'!$A$2:$C$70,2,FALSE)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up'!$A$2:$C$70,3,FALSE)</f>
        <v>Cash</v>
      </c>
      <c r="J359" s="5">
        <f>VLOOKUP(F359,'Set up'!$A$2:$D$70,4,FALSE)</f>
        <v>0</v>
      </c>
      <c r="K359" s="4">
        <f t="shared" si="56"/>
        <v>44487</v>
      </c>
      <c r="L359" s="5">
        <f t="shared" si="57"/>
        <v>10</v>
      </c>
      <c r="M359" s="5">
        <f t="shared" si="58"/>
        <v>2021</v>
      </c>
      <c r="N359" s="6">
        <v>1909.2</v>
      </c>
      <c r="O359" s="6">
        <f t="shared" si="60"/>
        <v>-1909.2</v>
      </c>
      <c r="P359" s="6">
        <f t="shared" si="61"/>
        <v>0</v>
      </c>
      <c r="Q359" s="7">
        <f t="shared" si="59"/>
        <v>524669.35</v>
      </c>
      <c r="R359" s="44" t="str">
        <f>VLOOKUP(F359,'Set up'!$A$2:$E$70,5,FALSE)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54"/>
        <v>10</v>
      </c>
      <c r="C360" s="5">
        <f t="shared" si="55"/>
        <v>2021</v>
      </c>
      <c r="D360" s="5" t="s">
        <v>425</v>
      </c>
      <c r="E360" s="5" t="str">
        <f>VLOOKUP(F360,'Set up'!$A$2:$C$70,2,FALSE)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up'!$A$2:$C$70,3,FALSE)</f>
        <v>Cash</v>
      </c>
      <c r="J360" s="5">
        <f>VLOOKUP(F360,'Set up'!$A$2:$D$70,4,FALSE)</f>
        <v>0</v>
      </c>
      <c r="K360" s="4">
        <f t="shared" si="56"/>
        <v>44487</v>
      </c>
      <c r="L360" s="5">
        <f t="shared" si="57"/>
        <v>10</v>
      </c>
      <c r="M360" s="5">
        <f t="shared" si="58"/>
        <v>2021</v>
      </c>
      <c r="N360" s="6">
        <v>437.5</v>
      </c>
      <c r="O360" s="6">
        <f t="shared" si="60"/>
        <v>-437.5</v>
      </c>
      <c r="P360" s="6">
        <f t="shared" si="61"/>
        <v>0</v>
      </c>
      <c r="Q360" s="7">
        <f t="shared" si="59"/>
        <v>525106.85</v>
      </c>
      <c r="R360" s="44" t="str">
        <f>VLOOKUP(F360,'Set up'!$A$2:$E$70,5,FALSE)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54"/>
        <v>10</v>
      </c>
      <c r="C361" s="5">
        <f t="shared" si="55"/>
        <v>2021</v>
      </c>
      <c r="D361" s="5" t="s">
        <v>425</v>
      </c>
      <c r="E361" s="5" t="str">
        <f>VLOOKUP(F361,'Set up'!$A$2:$C$70,2,FALSE)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up'!$A$2:$C$70,3,FALSE)</f>
        <v>Cash</v>
      </c>
      <c r="J361" s="5">
        <f>VLOOKUP(F361,'Set up'!$A$2:$D$70,4,FALSE)</f>
        <v>0</v>
      </c>
      <c r="K361" s="4">
        <f t="shared" si="56"/>
        <v>44487</v>
      </c>
      <c r="L361" s="5">
        <f t="shared" si="57"/>
        <v>10</v>
      </c>
      <c r="M361" s="5">
        <f t="shared" si="58"/>
        <v>2021</v>
      </c>
      <c r="N361" s="6">
        <v>160</v>
      </c>
      <c r="O361" s="6">
        <f t="shared" si="60"/>
        <v>-160</v>
      </c>
      <c r="P361" s="6">
        <f t="shared" si="61"/>
        <v>0</v>
      </c>
      <c r="Q361" s="7">
        <f t="shared" si="59"/>
        <v>525266.85</v>
      </c>
      <c r="R361" s="44" t="str">
        <f>VLOOKUP(F361,'Set up'!$A$2:$E$70,5,FALSE)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54"/>
        <v>10</v>
      </c>
      <c r="C362" s="5">
        <f t="shared" si="55"/>
        <v>2021</v>
      </c>
      <c r="D362" s="5" t="s">
        <v>425</v>
      </c>
      <c r="E362" s="5" t="str">
        <f>VLOOKUP(F362,'Set up'!$A$2:$C$70,2,FALSE)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up'!$A$2:$C$70,3,FALSE)</f>
        <v>Cash</v>
      </c>
      <c r="J362" s="5">
        <f>VLOOKUP(F362,'Set up'!$A$2:$D$70,4,FALSE)</f>
        <v>0</v>
      </c>
      <c r="K362" s="4">
        <f t="shared" si="56"/>
        <v>44487</v>
      </c>
      <c r="L362" s="5">
        <f t="shared" si="57"/>
        <v>10</v>
      </c>
      <c r="M362" s="5">
        <f t="shared" si="58"/>
        <v>2021</v>
      </c>
      <c r="N362" s="6">
        <v>3037.5</v>
      </c>
      <c r="O362" s="6">
        <f t="shared" si="60"/>
        <v>-3037.5</v>
      </c>
      <c r="P362" s="6">
        <f t="shared" si="61"/>
        <v>0</v>
      </c>
      <c r="Q362" s="7">
        <f t="shared" si="59"/>
        <v>528304.35</v>
      </c>
      <c r="R362" s="44" t="str">
        <f>VLOOKUP(F362,'Set up'!$A$2:$E$70,5,FALSE)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54"/>
        <v>10</v>
      </c>
      <c r="C363" s="5">
        <f t="shared" si="55"/>
        <v>2021</v>
      </c>
      <c r="D363" s="5" t="s">
        <v>426</v>
      </c>
      <c r="E363" s="5" t="str">
        <f>VLOOKUP(F363,'Set up'!$A$2:$C$70,2,FALSE)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up'!$A$2:$C$70,3,FALSE)</f>
        <v>Cash</v>
      </c>
      <c r="J363" s="5">
        <f>VLOOKUP(F363,'Set up'!$A$2:$D$70,4,FALSE)</f>
        <v>0</v>
      </c>
      <c r="K363" s="4">
        <f t="shared" si="56"/>
        <v>44488</v>
      </c>
      <c r="L363" s="5">
        <f t="shared" si="57"/>
        <v>10</v>
      </c>
      <c r="M363" s="5">
        <f t="shared" si="58"/>
        <v>2021</v>
      </c>
      <c r="N363" s="6">
        <v>1000</v>
      </c>
      <c r="O363" s="6">
        <f t="shared" si="60"/>
        <v>-1000</v>
      </c>
      <c r="P363" s="6">
        <f t="shared" si="61"/>
        <v>0</v>
      </c>
      <c r="Q363" s="7">
        <f t="shared" si="59"/>
        <v>529304.35</v>
      </c>
      <c r="R363" s="44" t="str">
        <f>VLOOKUP(F363,'Set up'!$A$2:$E$70,5,FALSE)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54"/>
        <v>10</v>
      </c>
      <c r="C364" s="5">
        <f t="shared" si="55"/>
        <v>2021</v>
      </c>
      <c r="D364" s="5" t="s">
        <v>427</v>
      </c>
      <c r="E364" s="5" t="str">
        <f>VLOOKUP(F364,'Set up'!$A$2:$C$70,2,FALSE)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up'!$A$2:$C$70,3,FALSE)</f>
        <v>Cash</v>
      </c>
      <c r="J364" s="5">
        <f>VLOOKUP(F364,'Set up'!$A$2:$D$70,4,FALSE)</f>
        <v>0</v>
      </c>
      <c r="K364" s="4">
        <f t="shared" si="56"/>
        <v>44489</v>
      </c>
      <c r="L364" s="5">
        <f t="shared" si="57"/>
        <v>10</v>
      </c>
      <c r="M364" s="5">
        <f t="shared" si="58"/>
        <v>2021</v>
      </c>
      <c r="N364" s="6">
        <v>3825</v>
      </c>
      <c r="O364" s="6">
        <f t="shared" si="60"/>
        <v>-3825</v>
      </c>
      <c r="P364" s="6">
        <f t="shared" si="61"/>
        <v>0</v>
      </c>
      <c r="Q364" s="7">
        <f t="shared" si="59"/>
        <v>533129.35</v>
      </c>
      <c r="R364" s="44" t="str">
        <f>VLOOKUP(F364,'Set up'!$A$2:$E$70,5,FALSE)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54"/>
        <v>10</v>
      </c>
      <c r="C365" s="5">
        <f t="shared" si="55"/>
        <v>2021</v>
      </c>
      <c r="D365" s="5" t="s">
        <v>427</v>
      </c>
      <c r="E365" s="5" t="str">
        <f>VLOOKUP(F365,'Set up'!$A$2:$C$70,2,FALSE)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up'!$A$2:$C$70,3,FALSE)</f>
        <v>Cash</v>
      </c>
      <c r="J365" s="5">
        <f>VLOOKUP(F365,'Set up'!$A$2:$D$70,4,FALSE)</f>
        <v>0</v>
      </c>
      <c r="K365" s="4">
        <f t="shared" si="56"/>
        <v>44489</v>
      </c>
      <c r="L365" s="5">
        <f t="shared" si="57"/>
        <v>10</v>
      </c>
      <c r="M365" s="5">
        <f t="shared" si="58"/>
        <v>2021</v>
      </c>
      <c r="N365" s="6">
        <v>1870</v>
      </c>
      <c r="O365" s="6">
        <f t="shared" si="60"/>
        <v>-1870</v>
      </c>
      <c r="P365" s="6">
        <f t="shared" si="61"/>
        <v>0</v>
      </c>
      <c r="Q365" s="7">
        <f t="shared" si="59"/>
        <v>534999.35</v>
      </c>
      <c r="R365" s="44" t="str">
        <f>VLOOKUP(F365,'Set up'!$A$2:$E$70,5,FALSE)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54"/>
        <v>10</v>
      </c>
      <c r="C366" s="5">
        <f t="shared" si="55"/>
        <v>2021</v>
      </c>
      <c r="D366" s="5" t="s">
        <v>427</v>
      </c>
      <c r="E366" s="5" t="str">
        <f>VLOOKUP(F366,'Set up'!$A$2:$C$70,2,FALSE)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up'!$A$2:$C$70,3,FALSE)</f>
        <v>Cash</v>
      </c>
      <c r="J366" s="5">
        <f>VLOOKUP(F366,'Set up'!$A$2:$D$70,4,FALSE)</f>
        <v>0</v>
      </c>
      <c r="K366" s="4">
        <f t="shared" si="56"/>
        <v>44489</v>
      </c>
      <c r="L366" s="5">
        <f t="shared" si="57"/>
        <v>10</v>
      </c>
      <c r="M366" s="5">
        <f t="shared" si="58"/>
        <v>2021</v>
      </c>
      <c r="N366" s="6">
        <v>3818.4</v>
      </c>
      <c r="O366" s="6">
        <f t="shared" si="60"/>
        <v>-3818.4</v>
      </c>
      <c r="P366" s="6">
        <f t="shared" si="61"/>
        <v>0</v>
      </c>
      <c r="Q366" s="7">
        <f t="shared" si="59"/>
        <v>538817.75</v>
      </c>
      <c r="R366" s="44" t="str">
        <f>VLOOKUP(F366,'Set up'!$A$2:$E$70,5,FALSE)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54"/>
        <v>10</v>
      </c>
      <c r="C367" s="5">
        <f t="shared" si="55"/>
        <v>2021</v>
      </c>
      <c r="D367" s="5" t="s">
        <v>427</v>
      </c>
      <c r="E367" s="5" t="str">
        <f>VLOOKUP(F367,'Set up'!$A$2:$C$70,2,FALSE)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up'!$A$2:$C$70,3,FALSE)</f>
        <v>Cash</v>
      </c>
      <c r="J367" s="5">
        <f>VLOOKUP(F367,'Set up'!$A$2:$D$70,4,FALSE)</f>
        <v>0</v>
      </c>
      <c r="K367" s="4">
        <f t="shared" si="56"/>
        <v>44489</v>
      </c>
      <c r="L367" s="5">
        <f t="shared" si="57"/>
        <v>10</v>
      </c>
      <c r="M367" s="5">
        <f t="shared" si="58"/>
        <v>2021</v>
      </c>
      <c r="N367" s="6">
        <v>160</v>
      </c>
      <c r="O367" s="6">
        <f t="shared" si="60"/>
        <v>-160</v>
      </c>
      <c r="P367" s="6">
        <f t="shared" si="61"/>
        <v>0</v>
      </c>
      <c r="Q367" s="7">
        <f t="shared" si="59"/>
        <v>538977.75</v>
      </c>
      <c r="R367" s="44" t="str">
        <f>VLOOKUP(F367,'Set up'!$A$2:$E$70,5,FALSE)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54"/>
        <v>10</v>
      </c>
      <c r="C368" s="5">
        <f t="shared" si="55"/>
        <v>2021</v>
      </c>
      <c r="D368" s="5" t="s">
        <v>441</v>
      </c>
      <c r="E368" s="5" t="str">
        <f>VLOOKUP(F368,'Set up'!$A$2:$C$70,2,FALSE)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up'!$A$2:$C$70,3,FALSE)</f>
        <v>Cash</v>
      </c>
      <c r="J368" s="5">
        <f>VLOOKUP(F368,'Set up'!$A$2:$D$70,4,FALSE)</f>
        <v>0</v>
      </c>
      <c r="K368" s="4">
        <f t="shared" si="56"/>
        <v>44492</v>
      </c>
      <c r="L368" s="5">
        <f t="shared" si="57"/>
        <v>10</v>
      </c>
      <c r="M368" s="5">
        <f t="shared" si="58"/>
        <v>2021</v>
      </c>
      <c r="N368" s="6">
        <v>1892</v>
      </c>
      <c r="O368" s="6">
        <f t="shared" si="60"/>
        <v>-1892</v>
      </c>
      <c r="P368" s="6">
        <f t="shared" si="61"/>
        <v>0</v>
      </c>
      <c r="Q368" s="7">
        <f t="shared" si="59"/>
        <v>540869.75</v>
      </c>
      <c r="R368" s="44" t="str">
        <f>VLOOKUP(F368,'Set up'!$A$2:$E$70,5,FALSE)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54"/>
        <v>10</v>
      </c>
      <c r="C369" s="5">
        <f t="shared" si="55"/>
        <v>2021</v>
      </c>
      <c r="D369" s="5" t="s">
        <v>441</v>
      </c>
      <c r="E369" s="5" t="str">
        <f>VLOOKUP(F369,'Set up'!$A$2:$C$70,2,FALSE)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up'!$A$2:$C$70,3,FALSE)</f>
        <v>Cash</v>
      </c>
      <c r="J369" s="5">
        <f>VLOOKUP(F369,'Set up'!$A$2:$D$70,4,FALSE)</f>
        <v>0</v>
      </c>
      <c r="K369" s="4">
        <f t="shared" si="56"/>
        <v>44492</v>
      </c>
      <c r="L369" s="5">
        <f t="shared" si="57"/>
        <v>10</v>
      </c>
      <c r="M369" s="5">
        <f t="shared" si="58"/>
        <v>2021</v>
      </c>
      <c r="N369" s="6">
        <v>510</v>
      </c>
      <c r="O369" s="6">
        <f t="shared" si="60"/>
        <v>-510</v>
      </c>
      <c r="P369" s="6">
        <f t="shared" si="61"/>
        <v>0</v>
      </c>
      <c r="Q369" s="7">
        <f t="shared" si="59"/>
        <v>541379.75</v>
      </c>
      <c r="R369" s="44" t="str">
        <f>VLOOKUP(F369,'Set up'!$A$2:$E$70,5,FALSE)</f>
        <v>Trsf</v>
      </c>
      <c r="S369" s="1" t="s">
        <v>452</v>
      </c>
    </row>
    <row r="370" spans="1:19" x14ac:dyDescent="0.35">
      <c r="A370" s="4">
        <v>44492</v>
      </c>
      <c r="B370" s="5">
        <f t="shared" si="54"/>
        <v>10</v>
      </c>
      <c r="C370" s="5">
        <f t="shared" si="55"/>
        <v>2021</v>
      </c>
      <c r="D370" s="5" t="s">
        <v>441</v>
      </c>
      <c r="E370" s="5" t="str">
        <f>VLOOKUP(F370,'Set up'!$A$2:$C$70,2,FALSE)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up'!$A$2:$C$70,3,FALSE)</f>
        <v>Cash</v>
      </c>
      <c r="J370" s="5">
        <f>VLOOKUP(F370,'Set up'!$A$2:$D$70,4,FALSE)</f>
        <v>0</v>
      </c>
      <c r="K370" s="4">
        <f t="shared" si="56"/>
        <v>44492</v>
      </c>
      <c r="L370" s="5">
        <f t="shared" si="57"/>
        <v>10</v>
      </c>
      <c r="M370" s="5">
        <f t="shared" si="58"/>
        <v>2021</v>
      </c>
      <c r="N370" s="6">
        <v>960</v>
      </c>
      <c r="O370" s="6">
        <f t="shared" si="60"/>
        <v>-960</v>
      </c>
      <c r="P370" s="6">
        <f t="shared" si="61"/>
        <v>0</v>
      </c>
      <c r="Q370" s="7">
        <f t="shared" si="59"/>
        <v>542339.75</v>
      </c>
      <c r="R370" s="44" t="str">
        <f>VLOOKUP(F370,'Set up'!$A$2:$E$70,5,FALSE)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54"/>
        <v>10</v>
      </c>
      <c r="C371" s="5">
        <f t="shared" si="55"/>
        <v>2021</v>
      </c>
      <c r="D371" s="5" t="s">
        <v>442</v>
      </c>
      <c r="E371" s="5" t="str">
        <f>VLOOKUP(F371,'Set up'!$A$2:$C$70,2,FALSE)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up'!$A$2:$C$70,3,FALSE)</f>
        <v>Cash</v>
      </c>
      <c r="J371" s="5">
        <f>VLOOKUP(F371,'Set up'!$A$2:$D$70,4,FALSE)</f>
        <v>0</v>
      </c>
      <c r="K371" s="4">
        <f t="shared" si="56"/>
        <v>44495</v>
      </c>
      <c r="L371" s="5">
        <f t="shared" si="57"/>
        <v>10</v>
      </c>
      <c r="M371" s="5">
        <f t="shared" si="58"/>
        <v>2021</v>
      </c>
      <c r="N371" s="6">
        <v>3740</v>
      </c>
      <c r="O371" s="6">
        <f t="shared" si="60"/>
        <v>-3740</v>
      </c>
      <c r="P371" s="6">
        <f t="shared" si="61"/>
        <v>0</v>
      </c>
      <c r="Q371" s="7">
        <f t="shared" si="59"/>
        <v>546079.75</v>
      </c>
      <c r="R371" s="44" t="str">
        <f>VLOOKUP(F371,'Set up'!$A$2:$E$70,5,FALSE)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54"/>
        <v>10</v>
      </c>
      <c r="C372" s="5">
        <f t="shared" si="55"/>
        <v>2021</v>
      </c>
      <c r="D372" s="5" t="s">
        <v>442</v>
      </c>
      <c r="E372" s="5" t="str">
        <f>VLOOKUP(F372,'Set up'!$A$2:$C$70,2,FALSE)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up'!$A$2:$C$70,3,FALSE)</f>
        <v>Cash</v>
      </c>
      <c r="J372" s="5">
        <f>VLOOKUP(F372,'Set up'!$A$2:$D$70,4,FALSE)</f>
        <v>0</v>
      </c>
      <c r="K372" s="4">
        <f t="shared" si="56"/>
        <v>44495</v>
      </c>
      <c r="L372" s="5">
        <f t="shared" si="57"/>
        <v>10</v>
      </c>
      <c r="M372" s="5">
        <f t="shared" si="58"/>
        <v>2021</v>
      </c>
      <c r="N372" s="6">
        <v>2516</v>
      </c>
      <c r="O372" s="6">
        <f t="shared" si="60"/>
        <v>-2516</v>
      </c>
      <c r="P372" s="6">
        <f t="shared" si="61"/>
        <v>0</v>
      </c>
      <c r="Q372" s="7">
        <f t="shared" si="59"/>
        <v>548595.75</v>
      </c>
      <c r="R372" s="44" t="str">
        <f>VLOOKUP(F372,'Set up'!$A$2:$E$70,5,FALSE)</f>
        <v>Trsf</v>
      </c>
      <c r="S372" s="1" t="s">
        <v>450</v>
      </c>
    </row>
    <row r="373" spans="1:19" x14ac:dyDescent="0.35">
      <c r="A373" s="4">
        <v>44495</v>
      </c>
      <c r="B373" s="5">
        <f t="shared" si="54"/>
        <v>10</v>
      </c>
      <c r="C373" s="5">
        <f t="shared" si="55"/>
        <v>2021</v>
      </c>
      <c r="D373" s="5" t="s">
        <v>442</v>
      </c>
      <c r="E373" s="5" t="str">
        <f>VLOOKUP(F373,'Set up'!$A$2:$C$70,2,FALSE)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up'!$A$2:$C$70,3,FALSE)</f>
        <v>Cash</v>
      </c>
      <c r="J373" s="5">
        <f>VLOOKUP(F373,'Set up'!$A$2:$D$70,4,FALSE)</f>
        <v>0</v>
      </c>
      <c r="K373" s="4">
        <f t="shared" si="56"/>
        <v>44495</v>
      </c>
      <c r="L373" s="5">
        <f t="shared" si="57"/>
        <v>10</v>
      </c>
      <c r="M373" s="5">
        <f t="shared" si="58"/>
        <v>2021</v>
      </c>
      <c r="N373" s="6">
        <v>400</v>
      </c>
      <c r="O373" s="6">
        <f t="shared" si="60"/>
        <v>-400</v>
      </c>
      <c r="P373" s="6">
        <f t="shared" si="61"/>
        <v>0</v>
      </c>
      <c r="Q373" s="7">
        <f t="shared" si="59"/>
        <v>548995.75</v>
      </c>
      <c r="R373" s="44" t="str">
        <f>VLOOKUP(F373,'Set up'!$A$2:$E$70,5,FALSE)</f>
        <v>Trsf</v>
      </c>
      <c r="S373" s="1" t="s">
        <v>450</v>
      </c>
    </row>
    <row r="374" spans="1:19" x14ac:dyDescent="0.35">
      <c r="A374" s="4">
        <v>44495</v>
      </c>
      <c r="B374" s="5">
        <f t="shared" si="54"/>
        <v>10</v>
      </c>
      <c r="C374" s="5">
        <f t="shared" si="55"/>
        <v>2021</v>
      </c>
      <c r="D374" s="5" t="s">
        <v>442</v>
      </c>
      <c r="E374" s="5" t="str">
        <f>VLOOKUP(F374,'Set up'!$A$2:$C$70,2,FALSE)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up'!$A$2:$C$70,3,FALSE)</f>
        <v>Cash</v>
      </c>
      <c r="J374" s="5">
        <f>VLOOKUP(F374,'Set up'!$A$2:$D$70,4,FALSE)</f>
        <v>0</v>
      </c>
      <c r="K374" s="4">
        <f t="shared" si="56"/>
        <v>44495</v>
      </c>
      <c r="L374" s="5">
        <f t="shared" si="57"/>
        <v>10</v>
      </c>
      <c r="M374" s="5">
        <f t="shared" si="58"/>
        <v>2021</v>
      </c>
      <c r="N374" s="6">
        <v>0</v>
      </c>
      <c r="O374" s="6">
        <f t="shared" si="60"/>
        <v>0</v>
      </c>
      <c r="P374" s="6">
        <f t="shared" si="61"/>
        <v>0</v>
      </c>
      <c r="Q374" s="7">
        <f t="shared" si="59"/>
        <v>548995.75</v>
      </c>
      <c r="R374" s="44" t="str">
        <f>VLOOKUP(F374,'Set up'!$A$2:$E$70,5,FALSE)</f>
        <v>Trsf</v>
      </c>
    </row>
    <row r="375" spans="1:19" ht="29" x14ac:dyDescent="0.35">
      <c r="A375" s="4">
        <v>44495</v>
      </c>
      <c r="B375" s="5">
        <f t="shared" si="54"/>
        <v>10</v>
      </c>
      <c r="C375" s="5">
        <f t="shared" si="55"/>
        <v>2021</v>
      </c>
      <c r="D375" s="5" t="s">
        <v>443</v>
      </c>
      <c r="E375" s="5" t="str">
        <f>VLOOKUP(F375,'Set up'!$A$2:$C$70,2,FALSE)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up'!$A$2:$C$70,3,FALSE)</f>
        <v>Cash</v>
      </c>
      <c r="J375" s="5">
        <f>VLOOKUP(F375,'Set up'!$A$2:$D$70,4,FALSE)</f>
        <v>0</v>
      </c>
      <c r="K375" s="4">
        <f t="shared" si="56"/>
        <v>44495</v>
      </c>
      <c r="L375" s="5">
        <f t="shared" si="57"/>
        <v>10</v>
      </c>
      <c r="M375" s="5">
        <f t="shared" si="58"/>
        <v>2021</v>
      </c>
      <c r="N375" s="6">
        <v>3916</v>
      </c>
      <c r="O375" s="6">
        <f t="shared" si="60"/>
        <v>-3916</v>
      </c>
      <c r="P375" s="6">
        <f t="shared" si="61"/>
        <v>0</v>
      </c>
      <c r="Q375" s="7">
        <f t="shared" si="59"/>
        <v>552911.75</v>
      </c>
      <c r="R375" s="44" t="str">
        <f>VLOOKUP(F375,'Set up'!$A$2:$E$70,5,FALSE)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54"/>
        <v>10</v>
      </c>
      <c r="C376" s="5">
        <f t="shared" si="55"/>
        <v>2021</v>
      </c>
      <c r="D376" s="5" t="s">
        <v>443</v>
      </c>
      <c r="E376" s="5" t="str">
        <f>VLOOKUP(F376,'Set up'!$A$2:$C$70,2,FALSE)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up'!$A$2:$C$70,3,FALSE)</f>
        <v>Cash</v>
      </c>
      <c r="J376" s="5">
        <f>VLOOKUP(F376,'Set up'!$A$2:$D$70,4,FALSE)</f>
        <v>0</v>
      </c>
      <c r="K376" s="4">
        <f t="shared" si="56"/>
        <v>44495</v>
      </c>
      <c r="L376" s="5">
        <f t="shared" si="57"/>
        <v>10</v>
      </c>
      <c r="M376" s="5">
        <f t="shared" si="58"/>
        <v>2021</v>
      </c>
      <c r="N376" s="6">
        <v>3916</v>
      </c>
      <c r="O376" s="6">
        <f>-3084-832</f>
        <v>-3916</v>
      </c>
      <c r="P376" s="6">
        <f t="shared" si="61"/>
        <v>0</v>
      </c>
      <c r="Q376" s="7">
        <f t="shared" si="59"/>
        <v>556827.75</v>
      </c>
      <c r="R376" s="44" t="str">
        <f>VLOOKUP(F376,'Set up'!$A$2:$E$70,5,FALSE)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54"/>
        <v>10</v>
      </c>
      <c r="C377" s="5">
        <f t="shared" si="55"/>
        <v>2021</v>
      </c>
      <c r="D377" s="5" t="s">
        <v>443</v>
      </c>
      <c r="E377" s="5" t="str">
        <f>VLOOKUP(F377,'Set up'!$A$2:$C$70,2,FALSE)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up'!$A$2:$C$70,3,FALSE)</f>
        <v>Cash</v>
      </c>
      <c r="J377" s="5">
        <f>VLOOKUP(F377,'Set up'!$A$2:$D$70,4,FALSE)</f>
        <v>0</v>
      </c>
      <c r="K377" s="4">
        <f t="shared" si="56"/>
        <v>44495</v>
      </c>
      <c r="L377" s="5">
        <f t="shared" si="57"/>
        <v>10</v>
      </c>
      <c r="M377" s="5">
        <f t="shared" si="58"/>
        <v>2021</v>
      </c>
      <c r="N377" s="6">
        <v>4610.2</v>
      </c>
      <c r="O377" s="6">
        <f>-2168-2442.2</f>
        <v>-4610.2</v>
      </c>
      <c r="P377" s="6">
        <f t="shared" si="61"/>
        <v>0</v>
      </c>
      <c r="Q377" s="7">
        <f t="shared" si="59"/>
        <v>561437.94999999995</v>
      </c>
      <c r="R377" s="44" t="str">
        <f>VLOOKUP(F377,'Set up'!$A$2:$E$70,5,FALSE)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54"/>
        <v>10</v>
      </c>
      <c r="C378" s="5">
        <f t="shared" si="55"/>
        <v>2021</v>
      </c>
      <c r="D378" s="5" t="s">
        <v>443</v>
      </c>
      <c r="E378" s="5" t="str">
        <f>VLOOKUP(F378,'Set up'!$A$2:$C$70,2,FALSE)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up'!$A$2:$C$70,3,FALSE)</f>
        <v>Cash</v>
      </c>
      <c r="J378" s="5">
        <f>VLOOKUP(F378,'Set up'!$A$2:$D$70,4,FALSE)</f>
        <v>0</v>
      </c>
      <c r="K378" s="4">
        <f t="shared" si="56"/>
        <v>44495</v>
      </c>
      <c r="L378" s="5">
        <f t="shared" si="57"/>
        <v>10</v>
      </c>
      <c r="M378" s="5">
        <f t="shared" si="58"/>
        <v>2021</v>
      </c>
      <c r="N378" s="6">
        <v>375</v>
      </c>
      <c r="O378" s="6">
        <f t="shared" ref="O378:O395" si="62">-N378</f>
        <v>-375</v>
      </c>
      <c r="P378" s="6">
        <f t="shared" si="61"/>
        <v>0</v>
      </c>
      <c r="Q378" s="7">
        <f t="shared" si="59"/>
        <v>561812.94999999995</v>
      </c>
      <c r="R378" s="44" t="str">
        <f>VLOOKUP(F378,'Set up'!$A$2:$E$70,5,FALSE)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54"/>
        <v>10</v>
      </c>
      <c r="C379" s="5">
        <f t="shared" si="55"/>
        <v>2021</v>
      </c>
      <c r="D379" s="5" t="s">
        <v>443</v>
      </c>
      <c r="E379" s="5" t="str">
        <f>VLOOKUP(F379,'Set up'!$A$2:$C$70,2,FALSE)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up'!$A$2:$C$70,3,FALSE)</f>
        <v>Cash</v>
      </c>
      <c r="J379" s="5">
        <f>VLOOKUP(F379,'Set up'!$A$2:$D$70,4,FALSE)</f>
        <v>0</v>
      </c>
      <c r="K379" s="4">
        <f t="shared" si="56"/>
        <v>44495</v>
      </c>
      <c r="L379" s="5">
        <f t="shared" si="57"/>
        <v>10</v>
      </c>
      <c r="M379" s="5">
        <f t="shared" si="58"/>
        <v>2021</v>
      </c>
      <c r="N379" s="6">
        <v>3159</v>
      </c>
      <c r="O379" s="6">
        <f t="shared" si="62"/>
        <v>-3159</v>
      </c>
      <c r="P379" s="6">
        <f t="shared" si="61"/>
        <v>0</v>
      </c>
      <c r="Q379" s="7">
        <f t="shared" si="59"/>
        <v>564971.94999999995</v>
      </c>
      <c r="R379" s="44" t="str">
        <f>VLOOKUP(F379,'Set up'!$A$2:$E$70,5,FALSE)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54"/>
        <v>10</v>
      </c>
      <c r="C380" s="5">
        <f t="shared" si="55"/>
        <v>2021</v>
      </c>
      <c r="D380" s="5" t="s">
        <v>443</v>
      </c>
      <c r="E380" s="5" t="str">
        <f>VLOOKUP(F380,'Set up'!$A$2:$C$70,2,FALSE)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up'!$A$2:$C$70,3,FALSE)</f>
        <v>Cash</v>
      </c>
      <c r="J380" s="5">
        <f>VLOOKUP(F380,'Set up'!$A$2:$D$70,4,FALSE)</f>
        <v>0</v>
      </c>
      <c r="K380" s="4">
        <f t="shared" si="56"/>
        <v>44495</v>
      </c>
      <c r="L380" s="5">
        <f t="shared" si="57"/>
        <v>10</v>
      </c>
      <c r="M380" s="5">
        <f t="shared" si="58"/>
        <v>2021</v>
      </c>
      <c r="N380" s="6">
        <v>1000</v>
      </c>
      <c r="O380" s="6">
        <f t="shared" si="62"/>
        <v>-1000</v>
      </c>
      <c r="P380" s="6">
        <f t="shared" si="61"/>
        <v>0</v>
      </c>
      <c r="Q380" s="7">
        <f t="shared" si="59"/>
        <v>565971.94999999995</v>
      </c>
      <c r="R380" s="44" t="str">
        <f>VLOOKUP(F380,'Set up'!$A$2:$E$70,5,FALSE)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54"/>
        <v>10</v>
      </c>
      <c r="C381" s="5">
        <f t="shared" si="55"/>
        <v>2021</v>
      </c>
      <c r="D381" s="5" t="s">
        <v>444</v>
      </c>
      <c r="E381" s="5" t="str">
        <f>VLOOKUP(F381,'Set up'!$A$2:$C$70,2,FALSE)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up'!$A$2:$C$70,3,FALSE)</f>
        <v>Cash</v>
      </c>
      <c r="J381" s="5">
        <f>VLOOKUP(F381,'Set up'!$A$2:$D$70,4,FALSE)</f>
        <v>0</v>
      </c>
      <c r="K381" s="4">
        <f t="shared" si="56"/>
        <v>44497</v>
      </c>
      <c r="L381" s="5">
        <f t="shared" si="57"/>
        <v>10</v>
      </c>
      <c r="M381" s="5">
        <f t="shared" si="58"/>
        <v>2021</v>
      </c>
      <c r="N381" s="6">
        <v>510</v>
      </c>
      <c r="O381" s="6">
        <f t="shared" si="62"/>
        <v>-510</v>
      </c>
      <c r="P381" s="34">
        <f t="shared" si="61"/>
        <v>0</v>
      </c>
      <c r="Q381" s="7">
        <f t="shared" si="59"/>
        <v>566481.94999999995</v>
      </c>
      <c r="R381" s="44" t="str">
        <f>VLOOKUP(F381,'Set up'!$A$2:$E$70,5,FALSE)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54"/>
        <v>10</v>
      </c>
      <c r="C382" s="5">
        <f t="shared" si="55"/>
        <v>2021</v>
      </c>
      <c r="D382" s="5" t="s">
        <v>445</v>
      </c>
      <c r="E382" s="5" t="str">
        <f>VLOOKUP(F382,'Set up'!$A$2:$C$70,2,FALSE)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up'!$A$2:$C$70,3,FALSE)</f>
        <v>Cash</v>
      </c>
      <c r="J382" s="5">
        <f>VLOOKUP(F382,'Set up'!$A$2:$D$70,4,FALSE)</f>
        <v>0</v>
      </c>
      <c r="K382" s="4">
        <f t="shared" si="56"/>
        <v>44496</v>
      </c>
      <c r="L382" s="5">
        <f t="shared" si="57"/>
        <v>10</v>
      </c>
      <c r="M382" s="5">
        <f t="shared" si="58"/>
        <v>2021</v>
      </c>
      <c r="N382" s="6">
        <v>5874</v>
      </c>
      <c r="O382" s="6">
        <f t="shared" si="62"/>
        <v>-5874</v>
      </c>
      <c r="P382" s="6">
        <f t="shared" si="61"/>
        <v>0</v>
      </c>
      <c r="Q382" s="7">
        <f t="shared" si="59"/>
        <v>572355.94999999995</v>
      </c>
      <c r="R382" s="44" t="str">
        <f>VLOOKUP(F382,'Set up'!$A$2:$E$70,5,FALSE)</f>
        <v>Trsf</v>
      </c>
      <c r="S382" s="1" t="s">
        <v>520</v>
      </c>
    </row>
    <row r="383" spans="1:19" x14ac:dyDescent="0.35">
      <c r="A383" s="4">
        <v>44497</v>
      </c>
      <c r="B383" s="5">
        <f t="shared" si="54"/>
        <v>10</v>
      </c>
      <c r="C383" s="5">
        <f t="shared" si="55"/>
        <v>2021</v>
      </c>
      <c r="D383" s="5" t="s">
        <v>446</v>
      </c>
      <c r="E383" s="5" t="str">
        <f>VLOOKUP(F383,'Set up'!$A$2:$C$70,2,FALSE)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up'!$A$2:$C$70,3,FALSE)</f>
        <v>120</v>
      </c>
      <c r="J383" s="5">
        <f>VLOOKUP(F383,'Set up'!$A$2:$D$70,4,FALSE)</f>
        <v>120</v>
      </c>
      <c r="K383" s="4">
        <f t="shared" si="56"/>
        <v>44617</v>
      </c>
      <c r="L383" s="5">
        <f t="shared" si="57"/>
        <v>2</v>
      </c>
      <c r="M383" s="5">
        <f t="shared" si="58"/>
        <v>2022</v>
      </c>
      <c r="N383" s="6">
        <v>11748</v>
      </c>
      <c r="O383" s="6">
        <f t="shared" si="62"/>
        <v>-11748</v>
      </c>
      <c r="P383" s="6">
        <f t="shared" si="61"/>
        <v>0</v>
      </c>
      <c r="Q383" s="7">
        <f t="shared" si="59"/>
        <v>584103.94999999995</v>
      </c>
      <c r="R383" s="44" t="str">
        <f>VLOOKUP(F383,'Set up'!$A$2:$E$70,5,FALSE)</f>
        <v>Trsf</v>
      </c>
      <c r="S383" s="1" t="s">
        <v>577</v>
      </c>
    </row>
    <row r="384" spans="1:19" x14ac:dyDescent="0.35">
      <c r="A384" s="4">
        <v>44497</v>
      </c>
      <c r="B384" s="5">
        <f t="shared" si="54"/>
        <v>10</v>
      </c>
      <c r="C384" s="5">
        <f t="shared" si="55"/>
        <v>2021</v>
      </c>
      <c r="D384" s="5" t="s">
        <v>446</v>
      </c>
      <c r="E384" s="5" t="str">
        <f>VLOOKUP(F384,'Set up'!$A$2:$C$70,2,FALSE)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up'!$A$2:$C$70,3,FALSE)</f>
        <v>120</v>
      </c>
      <c r="J384" s="5">
        <f>VLOOKUP(F384,'Set up'!$A$2:$D$70,4,FALSE)</f>
        <v>120</v>
      </c>
      <c r="K384" s="4">
        <f t="shared" si="56"/>
        <v>44617</v>
      </c>
      <c r="L384" s="5">
        <f t="shared" si="57"/>
        <v>2</v>
      </c>
      <c r="M384" s="5">
        <f t="shared" si="58"/>
        <v>2022</v>
      </c>
      <c r="N384" s="6">
        <v>1975.8</v>
      </c>
      <c r="O384" s="6">
        <f t="shared" si="62"/>
        <v>-1975.8</v>
      </c>
      <c r="P384" s="6">
        <f t="shared" si="61"/>
        <v>0</v>
      </c>
      <c r="Q384" s="7">
        <f t="shared" si="59"/>
        <v>586079.75</v>
      </c>
      <c r="R384" s="44" t="str">
        <f>VLOOKUP(F384,'Set up'!$A$2:$E$70,5,FALSE)</f>
        <v>Trsf</v>
      </c>
      <c r="S384" s="1" t="s">
        <v>577</v>
      </c>
    </row>
    <row r="385" spans="1:19" x14ac:dyDescent="0.35">
      <c r="A385" s="4">
        <v>44497</v>
      </c>
      <c r="B385" s="5">
        <f t="shared" si="54"/>
        <v>10</v>
      </c>
      <c r="C385" s="5">
        <f t="shared" si="55"/>
        <v>2021</v>
      </c>
      <c r="D385" s="5" t="s">
        <v>447</v>
      </c>
      <c r="E385" s="5" t="str">
        <f>VLOOKUP(F385,'Set up'!$A$2:$C$70,2,FALSE)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up'!$A$2:$C$70,3,FALSE)</f>
        <v>Cash</v>
      </c>
      <c r="J385" s="5">
        <f>VLOOKUP(F385,'Set up'!$A$2:$D$70,4,FALSE)</f>
        <v>0</v>
      </c>
      <c r="K385" s="4">
        <f t="shared" si="56"/>
        <v>44497</v>
      </c>
      <c r="L385" s="5">
        <f t="shared" si="57"/>
        <v>10</v>
      </c>
      <c r="M385" s="5">
        <f t="shared" si="58"/>
        <v>2021</v>
      </c>
      <c r="N385" s="6">
        <v>720</v>
      </c>
      <c r="O385" s="6">
        <f t="shared" si="62"/>
        <v>-720</v>
      </c>
      <c r="P385" s="6">
        <f t="shared" si="61"/>
        <v>0</v>
      </c>
      <c r="Q385" s="7">
        <f t="shared" si="59"/>
        <v>586799.75</v>
      </c>
      <c r="R385" s="44" t="str">
        <f>VLOOKUP(F385,'Set up'!$A$2:$E$70,5,FALSE)</f>
        <v>Trsf</v>
      </c>
      <c r="S385" s="1" t="s">
        <v>451</v>
      </c>
    </row>
    <row r="386" spans="1:19" x14ac:dyDescent="0.35">
      <c r="A386" s="4">
        <v>44499</v>
      </c>
      <c r="B386" s="5">
        <f t="shared" si="54"/>
        <v>10</v>
      </c>
      <c r="C386" s="5">
        <f t="shared" si="55"/>
        <v>2021</v>
      </c>
      <c r="D386" s="5" t="s">
        <v>449</v>
      </c>
      <c r="E386" s="5" t="str">
        <f>VLOOKUP(F386,'Set up'!$A$2:$C$70,2,FALSE)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up'!$A$2:$C$70,3,FALSE)</f>
        <v>120</v>
      </c>
      <c r="J386" s="5">
        <f>VLOOKUP(F386,'Set up'!$A$2:$D$70,4,FALSE)</f>
        <v>120</v>
      </c>
      <c r="K386" s="4">
        <f t="shared" si="56"/>
        <v>44619</v>
      </c>
      <c r="L386" s="5">
        <f t="shared" si="57"/>
        <v>2</v>
      </c>
      <c r="M386" s="5">
        <f t="shared" si="58"/>
        <v>2022</v>
      </c>
      <c r="N386" s="6">
        <v>7832</v>
      </c>
      <c r="O386" s="6">
        <f t="shared" si="62"/>
        <v>-7832</v>
      </c>
      <c r="P386" s="6">
        <f t="shared" si="61"/>
        <v>0</v>
      </c>
      <c r="Q386" s="7">
        <f t="shared" si="59"/>
        <v>594631.75</v>
      </c>
      <c r="R386" s="44" t="str">
        <f>VLOOKUP(F386,'Set up'!$A$2:$E$70,5,FALSE)</f>
        <v>Trsf</v>
      </c>
      <c r="S386" s="1" t="s">
        <v>577</v>
      </c>
    </row>
    <row r="387" spans="1:19" x14ac:dyDescent="0.35">
      <c r="A387" s="4">
        <v>44499</v>
      </c>
      <c r="B387" s="5">
        <f t="shared" ref="B387:B450" si="63">MONTH(A387)</f>
        <v>10</v>
      </c>
      <c r="C387" s="5">
        <f t="shared" ref="C387:C450" si="64">YEAR(A387)</f>
        <v>2021</v>
      </c>
      <c r="D387" s="5" t="s">
        <v>449</v>
      </c>
      <c r="E387" s="5" t="str">
        <f>VLOOKUP(F387,'Set up'!$A$2:$C$70,2,FALSE)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up'!$A$2:$C$70,3,FALSE)</f>
        <v>120</v>
      </c>
      <c r="J387" s="5">
        <f>VLOOKUP(F387,'Set up'!$A$2:$D$70,4,FALSE)</f>
        <v>120</v>
      </c>
      <c r="K387" s="4">
        <f t="shared" ref="K387:K450" si="65">A387+J387</f>
        <v>44619</v>
      </c>
      <c r="L387" s="5">
        <f t="shared" ref="L387:L450" si="66">MONTH(K387)</f>
        <v>2</v>
      </c>
      <c r="M387" s="5">
        <f t="shared" ref="M387:M450" si="67">YEAR(K387)</f>
        <v>2022</v>
      </c>
      <c r="N387" s="6">
        <v>1317.2</v>
      </c>
      <c r="O387" s="6">
        <f t="shared" si="62"/>
        <v>-1317.2</v>
      </c>
      <c r="P387" s="6">
        <f t="shared" si="61"/>
        <v>0</v>
      </c>
      <c r="Q387" s="7">
        <f t="shared" ref="Q387:Q450" si="68">SUM(Q386+N387)</f>
        <v>595948.94999999995</v>
      </c>
      <c r="R387" s="44" t="str">
        <f>VLOOKUP(F387,'Set up'!$A$2:$E$70,5,FALSE)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3"/>
        <v>10</v>
      </c>
      <c r="C388" s="5">
        <f t="shared" si="64"/>
        <v>2021</v>
      </c>
      <c r="D388" s="5" t="s">
        <v>449</v>
      </c>
      <c r="E388" s="5" t="str">
        <f>VLOOKUP(F388,'Set up'!$A$2:$C$70,2,FALSE)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up'!$A$2:$C$70,3,FALSE)</f>
        <v>120</v>
      </c>
      <c r="J388" s="5">
        <f>VLOOKUP(F388,'Set up'!$A$2:$D$70,4,FALSE)</f>
        <v>120</v>
      </c>
      <c r="K388" s="4">
        <f t="shared" si="65"/>
        <v>44619</v>
      </c>
      <c r="L388" s="5">
        <f t="shared" si="66"/>
        <v>2</v>
      </c>
      <c r="M388" s="5">
        <f t="shared" si="67"/>
        <v>2022</v>
      </c>
      <c r="N388" s="6">
        <v>550</v>
      </c>
      <c r="O388" s="6">
        <f t="shared" si="62"/>
        <v>-550</v>
      </c>
      <c r="P388" s="6">
        <f t="shared" si="61"/>
        <v>0</v>
      </c>
      <c r="Q388" s="7">
        <f t="shared" si="68"/>
        <v>596498.94999999995</v>
      </c>
      <c r="R388" s="44" t="str">
        <f>VLOOKUP(F388,'Set up'!$A$2:$E$70,5,FALSE)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3"/>
        <v>10</v>
      </c>
      <c r="C389" s="5">
        <f t="shared" si="64"/>
        <v>2021</v>
      </c>
      <c r="D389" s="5" t="s">
        <v>449</v>
      </c>
      <c r="E389" s="5" t="str">
        <f>VLOOKUP(F389,'Set up'!$A$2:$C$70,2,FALSE)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up'!$A$2:$C$70,3,FALSE)</f>
        <v>120</v>
      </c>
      <c r="J389" s="5">
        <f>VLOOKUP(F389,'Set up'!$A$2:$D$70,4,FALSE)</f>
        <v>120</v>
      </c>
      <c r="K389" s="4">
        <f t="shared" si="65"/>
        <v>44619</v>
      </c>
      <c r="L389" s="5">
        <f t="shared" si="66"/>
        <v>2</v>
      </c>
      <c r="M389" s="5">
        <f t="shared" si="67"/>
        <v>2022</v>
      </c>
      <c r="N389" s="6">
        <v>320</v>
      </c>
      <c r="O389" s="6">
        <f t="shared" si="62"/>
        <v>-320</v>
      </c>
      <c r="P389" s="6">
        <f t="shared" si="61"/>
        <v>0</v>
      </c>
      <c r="Q389" s="7">
        <f t="shared" si="68"/>
        <v>596818.94999999995</v>
      </c>
      <c r="R389" s="44" t="str">
        <f>VLOOKUP(F389,'Set up'!$A$2:$E$70,5,FALSE)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3"/>
        <v>11</v>
      </c>
      <c r="C390" s="5">
        <f t="shared" si="64"/>
        <v>2021</v>
      </c>
      <c r="D390" s="5" t="s">
        <v>455</v>
      </c>
      <c r="E390" s="5" t="str">
        <f>VLOOKUP(F390,'Set up'!$A$2:$C$70,2,FALSE)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up'!$A$2:$C$70,3,FALSE)</f>
        <v>Cash</v>
      </c>
      <c r="J390" s="5">
        <f>VLOOKUP(F390,'Set up'!$A$2:$D$70,4,FALSE)</f>
        <v>0</v>
      </c>
      <c r="K390" s="4">
        <f t="shared" si="65"/>
        <v>44501</v>
      </c>
      <c r="L390" s="5">
        <f t="shared" si="66"/>
        <v>11</v>
      </c>
      <c r="M390" s="5">
        <f t="shared" si="67"/>
        <v>2021</v>
      </c>
      <c r="N390" s="6">
        <v>340.4</v>
      </c>
      <c r="O390" s="6">
        <f t="shared" si="62"/>
        <v>-340.4</v>
      </c>
      <c r="P390" s="6">
        <f t="shared" si="61"/>
        <v>0</v>
      </c>
      <c r="Q390" s="7">
        <f t="shared" si="68"/>
        <v>597159.35</v>
      </c>
      <c r="R390" s="44" t="str">
        <f>VLOOKUP(F390,'Set up'!$A$2:$E$70,5,FALSE)</f>
        <v>Chq</v>
      </c>
      <c r="S390" s="1" t="s">
        <v>490</v>
      </c>
    </row>
    <row r="391" spans="1:19" x14ac:dyDescent="0.35">
      <c r="A391" s="4">
        <v>44501</v>
      </c>
      <c r="B391" s="5">
        <f t="shared" si="63"/>
        <v>11</v>
      </c>
      <c r="C391" s="5">
        <f t="shared" si="64"/>
        <v>2021</v>
      </c>
      <c r="D391" s="5" t="s">
        <v>455</v>
      </c>
      <c r="E391" s="5" t="str">
        <f>VLOOKUP(F391,'Set up'!$A$2:$C$70,2,FALSE)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up'!$A$2:$C$70,3,FALSE)</f>
        <v>Cash</v>
      </c>
      <c r="J391" s="5">
        <f>VLOOKUP(F391,'Set up'!$A$2:$D$70,4,FALSE)</f>
        <v>0</v>
      </c>
      <c r="K391" s="4">
        <f t="shared" si="65"/>
        <v>44501</v>
      </c>
      <c r="L391" s="5">
        <f t="shared" si="66"/>
        <v>11</v>
      </c>
      <c r="M391" s="5">
        <f t="shared" si="67"/>
        <v>2021</v>
      </c>
      <c r="N391" s="6">
        <v>40</v>
      </c>
      <c r="O391" s="6">
        <f t="shared" si="62"/>
        <v>-40</v>
      </c>
      <c r="P391" s="6">
        <f t="shared" si="61"/>
        <v>0</v>
      </c>
      <c r="Q391" s="7">
        <f t="shared" si="68"/>
        <v>597199.35</v>
      </c>
      <c r="R391" s="44" t="str">
        <f>VLOOKUP(F391,'Set up'!$A$2:$E$70,5,FALSE)</f>
        <v>Chq</v>
      </c>
      <c r="S391" s="1" t="s">
        <v>490</v>
      </c>
    </row>
    <row r="392" spans="1:19" x14ac:dyDescent="0.35">
      <c r="A392" s="4">
        <v>44502</v>
      </c>
      <c r="B392" s="5">
        <f t="shared" si="63"/>
        <v>11</v>
      </c>
      <c r="C392" s="5">
        <f t="shared" si="64"/>
        <v>2021</v>
      </c>
      <c r="D392" s="5" t="s">
        <v>457</v>
      </c>
      <c r="E392" s="5" t="str">
        <f>VLOOKUP(F392,'Set up'!$A$2:$C$70,2,FALSE)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up'!$A$2:$C$70,3,FALSE)</f>
        <v>Cash</v>
      </c>
      <c r="J392" s="5">
        <f>VLOOKUP(F392,'Set up'!$A$2:$D$70,4,FALSE)</f>
        <v>0</v>
      </c>
      <c r="K392" s="4">
        <f t="shared" si="65"/>
        <v>44502</v>
      </c>
      <c r="L392" s="5">
        <f t="shared" si="66"/>
        <v>11</v>
      </c>
      <c r="M392" s="5">
        <f t="shared" si="67"/>
        <v>2021</v>
      </c>
      <c r="N392" s="6">
        <v>3960</v>
      </c>
      <c r="O392" s="6">
        <f t="shared" si="62"/>
        <v>-3960</v>
      </c>
      <c r="P392" s="6">
        <f t="shared" si="61"/>
        <v>0</v>
      </c>
      <c r="Q392" s="7">
        <f t="shared" si="68"/>
        <v>601159.35</v>
      </c>
      <c r="R392" s="44" t="str">
        <f>VLOOKUP(F392,'Set up'!$A$2:$E$70,5,FALSE)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3"/>
        <v>11</v>
      </c>
      <c r="C393" s="5">
        <f t="shared" si="64"/>
        <v>2021</v>
      </c>
      <c r="D393" s="5" t="s">
        <v>457</v>
      </c>
      <c r="E393" s="5" t="str">
        <f>VLOOKUP(F393,'Set up'!$A$2:$C$70,2,FALSE)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up'!$A$2:$C$70,3,FALSE)</f>
        <v>Cash</v>
      </c>
      <c r="J393" s="5">
        <f>VLOOKUP(F393,'Set up'!$A$2:$D$70,4,FALSE)</f>
        <v>0</v>
      </c>
      <c r="K393" s="4">
        <f t="shared" si="65"/>
        <v>44502</v>
      </c>
      <c r="L393" s="5">
        <f t="shared" si="66"/>
        <v>11</v>
      </c>
      <c r="M393" s="5">
        <f t="shared" si="67"/>
        <v>2021</v>
      </c>
      <c r="N393" s="6">
        <v>360</v>
      </c>
      <c r="O393" s="6">
        <f t="shared" si="62"/>
        <v>-360</v>
      </c>
      <c r="P393" s="6">
        <f t="shared" si="61"/>
        <v>0</v>
      </c>
      <c r="Q393" s="7">
        <f t="shared" si="68"/>
        <v>601519.35</v>
      </c>
      <c r="R393" s="44" t="str">
        <f>VLOOKUP(F393,'Set up'!$A$2:$E$70,5,FALSE)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3"/>
        <v>11</v>
      </c>
      <c r="C394" s="5">
        <f t="shared" si="64"/>
        <v>2021</v>
      </c>
      <c r="D394" s="5" t="s">
        <v>457</v>
      </c>
      <c r="E394" s="5" t="str">
        <f>VLOOKUP(F394,'Set up'!$A$2:$C$70,2,FALSE)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up'!$A$2:$C$70,3,FALSE)</f>
        <v>Cash</v>
      </c>
      <c r="J394" s="5">
        <f>VLOOKUP(F394,'Set up'!$A$2:$D$70,4,FALSE)</f>
        <v>0</v>
      </c>
      <c r="K394" s="4">
        <f t="shared" si="65"/>
        <v>44502</v>
      </c>
      <c r="L394" s="5">
        <f t="shared" si="66"/>
        <v>11</v>
      </c>
      <c r="M394" s="5">
        <f t="shared" si="67"/>
        <v>2021</v>
      </c>
      <c r="N394" s="6">
        <v>440</v>
      </c>
      <c r="O394" s="6">
        <f t="shared" si="62"/>
        <v>-440</v>
      </c>
      <c r="P394" s="6">
        <f t="shared" si="61"/>
        <v>0</v>
      </c>
      <c r="Q394" s="7">
        <f t="shared" si="68"/>
        <v>601959.35</v>
      </c>
      <c r="R394" s="44" t="str">
        <f>VLOOKUP(F394,'Set up'!$A$2:$E$70,5,FALSE)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3"/>
        <v>11</v>
      </c>
      <c r="C395" s="5">
        <f t="shared" si="64"/>
        <v>2021</v>
      </c>
      <c r="D395" s="5" t="s">
        <v>457</v>
      </c>
      <c r="E395" s="5" t="str">
        <f>VLOOKUP(F395,'Set up'!$A$2:$C$70,2,FALSE)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up'!$A$2:$C$70,3,FALSE)</f>
        <v>Cash</v>
      </c>
      <c r="J395" s="5">
        <f>VLOOKUP(F395,'Set up'!$A$2:$D$70,4,FALSE)</f>
        <v>0</v>
      </c>
      <c r="K395" s="4">
        <f t="shared" si="65"/>
        <v>44502</v>
      </c>
      <c r="L395" s="5">
        <f t="shared" si="66"/>
        <v>11</v>
      </c>
      <c r="M395" s="5">
        <f t="shared" si="67"/>
        <v>2021</v>
      </c>
      <c r="N395" s="6">
        <v>360</v>
      </c>
      <c r="O395" s="6">
        <f t="shared" si="62"/>
        <v>-360</v>
      </c>
      <c r="P395" s="6">
        <f t="shared" si="61"/>
        <v>0</v>
      </c>
      <c r="Q395" s="7">
        <f t="shared" si="68"/>
        <v>602319.35</v>
      </c>
      <c r="R395" s="44" t="str">
        <f>VLOOKUP(F395,'Set up'!$A$2:$E$70,5,FALSE)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3"/>
        <v>11</v>
      </c>
      <c r="C396" s="5">
        <f t="shared" si="64"/>
        <v>2021</v>
      </c>
      <c r="D396" s="5" t="s">
        <v>458</v>
      </c>
      <c r="E396" s="5" t="str">
        <f>VLOOKUP(F396,'Set up'!$A$2:$C$70,2,FALSE)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up'!$A$2:$C$70,3,FALSE)</f>
        <v>45</v>
      </c>
      <c r="J396" s="5">
        <f>VLOOKUP(F396,'Set up'!$A$2:$D$70,4,FALSE)</f>
        <v>45</v>
      </c>
      <c r="K396" s="4">
        <f t="shared" si="65"/>
        <v>44547</v>
      </c>
      <c r="L396" s="5">
        <f t="shared" si="66"/>
        <v>12</v>
      </c>
      <c r="M396" s="5">
        <f t="shared" si="67"/>
        <v>2021</v>
      </c>
      <c r="N396" s="6">
        <v>2024</v>
      </c>
      <c r="O396" s="6">
        <f>-684-1340</f>
        <v>-2024</v>
      </c>
      <c r="P396" s="6">
        <f t="shared" si="61"/>
        <v>0</v>
      </c>
      <c r="Q396" s="7">
        <f t="shared" si="68"/>
        <v>604343.35</v>
      </c>
      <c r="R396" s="44" t="str">
        <f>VLOOKUP(F396,'Set up'!$A$2:$E$70,5,FALSE)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3"/>
        <v>11</v>
      </c>
      <c r="C397" s="5">
        <f t="shared" si="64"/>
        <v>2021</v>
      </c>
      <c r="D397" s="5" t="s">
        <v>458</v>
      </c>
      <c r="E397" s="5" t="str">
        <f>VLOOKUP(F397,'Set up'!$A$2:$C$70,2,FALSE)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up'!$A$2:$C$70,3,FALSE)</f>
        <v>45</v>
      </c>
      <c r="J397" s="5">
        <f>VLOOKUP(F397,'Set up'!$A$2:$D$70,4,FALSE)</f>
        <v>45</v>
      </c>
      <c r="K397" s="4">
        <f t="shared" si="65"/>
        <v>44547</v>
      </c>
      <c r="L397" s="5">
        <f t="shared" si="66"/>
        <v>12</v>
      </c>
      <c r="M397" s="5">
        <f t="shared" si="67"/>
        <v>2021</v>
      </c>
      <c r="N397" s="6">
        <v>160</v>
      </c>
      <c r="O397" s="6">
        <f>-N397</f>
        <v>-160</v>
      </c>
      <c r="P397" s="6">
        <f t="shared" si="61"/>
        <v>0</v>
      </c>
      <c r="Q397" s="7">
        <f t="shared" si="68"/>
        <v>604503.35</v>
      </c>
      <c r="R397" s="44" t="str">
        <f>VLOOKUP(F397,'Set up'!$A$2:$E$70,5,FALSE)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3"/>
        <v>11</v>
      </c>
      <c r="C398" s="5">
        <f t="shared" si="64"/>
        <v>2021</v>
      </c>
      <c r="D398" s="5" t="s">
        <v>459</v>
      </c>
      <c r="E398" s="5" t="str">
        <f>VLOOKUP(F398,'Set up'!$A$2:$C$70,2,FALSE)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up'!$A$2:$C$70,3,FALSE)</f>
        <v>Cash</v>
      </c>
      <c r="J398" s="5">
        <f>VLOOKUP(F398,'Set up'!$A$2:$D$70,4,FALSE)</f>
        <v>0</v>
      </c>
      <c r="K398" s="4">
        <f t="shared" si="65"/>
        <v>44503</v>
      </c>
      <c r="L398" s="5">
        <f t="shared" si="66"/>
        <v>11</v>
      </c>
      <c r="M398" s="5">
        <f t="shared" si="67"/>
        <v>2021</v>
      </c>
      <c r="N398" s="6">
        <v>4048</v>
      </c>
      <c r="O398" s="6">
        <f>-N398</f>
        <v>-4048</v>
      </c>
      <c r="P398" s="6">
        <f t="shared" si="61"/>
        <v>0</v>
      </c>
      <c r="Q398" s="7">
        <f t="shared" si="68"/>
        <v>608551.35</v>
      </c>
      <c r="R398" s="44" t="str">
        <f>VLOOKUP(F398,'Set up'!$A$2:$E$70,5,FALSE)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3"/>
        <v>11</v>
      </c>
      <c r="C399" s="5">
        <f t="shared" si="64"/>
        <v>2021</v>
      </c>
      <c r="D399" s="5" t="s">
        <v>459</v>
      </c>
      <c r="E399" s="5" t="str">
        <f>VLOOKUP(F399,'Set up'!$A$2:$C$70,2,FALSE)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up'!$A$2:$C$70,3,FALSE)</f>
        <v>Cash</v>
      </c>
      <c r="J399" s="5">
        <f>VLOOKUP(F399,'Set up'!$A$2:$D$70,4,FALSE)</f>
        <v>0</v>
      </c>
      <c r="K399" s="4">
        <f t="shared" si="65"/>
        <v>44503</v>
      </c>
      <c r="L399" s="5">
        <f t="shared" si="66"/>
        <v>11</v>
      </c>
      <c r="M399" s="5">
        <f t="shared" si="67"/>
        <v>2021</v>
      </c>
      <c r="N399" s="6">
        <v>6072</v>
      </c>
      <c r="O399" s="6">
        <f>-3101.8-2970.2</f>
        <v>-6072</v>
      </c>
      <c r="P399" s="6">
        <f t="shared" si="61"/>
        <v>0</v>
      </c>
      <c r="Q399" s="7">
        <f t="shared" si="68"/>
        <v>614623.35</v>
      </c>
      <c r="R399" s="44" t="str">
        <f>VLOOKUP(F399,'Set up'!$A$2:$E$70,5,FALSE)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3"/>
        <v>11</v>
      </c>
      <c r="C400" s="5">
        <f t="shared" si="64"/>
        <v>2021</v>
      </c>
      <c r="D400" s="5" t="s">
        <v>459</v>
      </c>
      <c r="E400" s="5" t="str">
        <f>VLOOKUP(F400,'Set up'!$A$2:$C$70,2,FALSE)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up'!$A$2:$C$70,3,FALSE)</f>
        <v>Cash</v>
      </c>
      <c r="J400" s="5">
        <f>VLOOKUP(F400,'Set up'!$A$2:$D$70,4,FALSE)</f>
        <v>0</v>
      </c>
      <c r="K400" s="4">
        <f t="shared" si="65"/>
        <v>44503</v>
      </c>
      <c r="L400" s="5">
        <f t="shared" si="66"/>
        <v>11</v>
      </c>
      <c r="M400" s="5">
        <f t="shared" si="67"/>
        <v>2021</v>
      </c>
      <c r="N400" s="6">
        <v>5106</v>
      </c>
      <c r="O400" s="6">
        <f>-N400</f>
        <v>-5106</v>
      </c>
      <c r="P400" s="6">
        <f t="shared" si="61"/>
        <v>0</v>
      </c>
      <c r="Q400" s="7">
        <f t="shared" si="68"/>
        <v>619729.35</v>
      </c>
      <c r="R400" s="44" t="str">
        <f>VLOOKUP(F400,'Set up'!$A$2:$E$70,5,FALSE)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3"/>
        <v>11</v>
      </c>
      <c r="C401" s="5">
        <f t="shared" si="64"/>
        <v>2021</v>
      </c>
      <c r="D401" s="5" t="s">
        <v>459</v>
      </c>
      <c r="E401" s="5" t="str">
        <f>VLOOKUP(F401,'Set up'!$A$2:$C$70,2,FALSE)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up'!$A$2:$C$70,3,FALSE)</f>
        <v>Cash</v>
      </c>
      <c r="J401" s="5">
        <f>VLOOKUP(F401,'Set up'!$A$2:$D$70,4,FALSE)</f>
        <v>0</v>
      </c>
      <c r="K401" s="4">
        <f t="shared" si="65"/>
        <v>44503</v>
      </c>
      <c r="L401" s="5">
        <f t="shared" si="66"/>
        <v>11</v>
      </c>
      <c r="M401" s="5">
        <f t="shared" si="67"/>
        <v>2021</v>
      </c>
      <c r="N401" s="6">
        <v>312.5</v>
      </c>
      <c r="O401" s="6">
        <f>-N401</f>
        <v>-312.5</v>
      </c>
      <c r="P401" s="6">
        <f t="shared" si="61"/>
        <v>0</v>
      </c>
      <c r="Q401" s="7">
        <f t="shared" si="68"/>
        <v>620041.85</v>
      </c>
      <c r="R401" s="44" t="str">
        <f>VLOOKUP(F401,'Set up'!$A$2:$E$70,5,FALSE)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si="63"/>
        <v>11</v>
      </c>
      <c r="C402" s="5">
        <f t="shared" si="64"/>
        <v>2021</v>
      </c>
      <c r="D402" s="5" t="s">
        <v>459</v>
      </c>
      <c r="E402" s="5" t="str">
        <f>VLOOKUP(F402,'Set up'!$A$2:$C$70,2,FALSE)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up'!$A$2:$C$70,3,FALSE)</f>
        <v>Cash</v>
      </c>
      <c r="J402" s="5">
        <f>VLOOKUP(F402,'Set up'!$A$2:$D$70,4,FALSE)</f>
        <v>0</v>
      </c>
      <c r="K402" s="4">
        <f t="shared" si="65"/>
        <v>44503</v>
      </c>
      <c r="L402" s="5">
        <f t="shared" si="66"/>
        <v>11</v>
      </c>
      <c r="M402" s="5">
        <f t="shared" si="67"/>
        <v>2021</v>
      </c>
      <c r="N402" s="6">
        <v>3159</v>
      </c>
      <c r="O402" s="6">
        <f>-1611.3-1547.7</f>
        <v>-3159</v>
      </c>
      <c r="P402" s="6">
        <f t="shared" si="61"/>
        <v>0</v>
      </c>
      <c r="Q402" s="7">
        <f t="shared" si="68"/>
        <v>623200.85</v>
      </c>
      <c r="R402" s="44" t="str">
        <f>VLOOKUP(F402,'Set up'!$A$2:$E$70,5,FALSE)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63"/>
        <v>11</v>
      </c>
      <c r="C403" s="5">
        <f t="shared" si="64"/>
        <v>2021</v>
      </c>
      <c r="D403" s="5" t="s">
        <v>459</v>
      </c>
      <c r="E403" s="5" t="str">
        <f>VLOOKUP(F403,'Set up'!$A$2:$C$70,2,FALSE)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up'!$A$2:$C$70,3,FALSE)</f>
        <v>Cash</v>
      </c>
      <c r="J403" s="5">
        <f>VLOOKUP(F403,'Set up'!$A$2:$D$70,4,FALSE)</f>
        <v>0</v>
      </c>
      <c r="K403" s="4">
        <f t="shared" si="65"/>
        <v>44503</v>
      </c>
      <c r="L403" s="5">
        <f t="shared" si="66"/>
        <v>11</v>
      </c>
      <c r="M403" s="5">
        <f t="shared" si="67"/>
        <v>2021</v>
      </c>
      <c r="N403" s="6">
        <v>320</v>
      </c>
      <c r="O403" s="6">
        <f t="shared" ref="O403:O409" si="69">-N403</f>
        <v>-320</v>
      </c>
      <c r="P403" s="6">
        <f t="shared" si="61"/>
        <v>0</v>
      </c>
      <c r="Q403" s="7">
        <f t="shared" si="68"/>
        <v>623520.85</v>
      </c>
      <c r="R403" s="44" t="str">
        <f>VLOOKUP(F403,'Set up'!$A$2:$E$70,5,FALSE)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63"/>
        <v>11</v>
      </c>
      <c r="C404" s="5">
        <f t="shared" si="64"/>
        <v>2021</v>
      </c>
      <c r="D404" s="5" t="s">
        <v>460</v>
      </c>
      <c r="E404" s="5" t="str">
        <f>VLOOKUP(F404,'Set up'!$A$2:$C$70,2,FALSE)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up'!$A$2:$C$70,3,FALSE)</f>
        <v>120</v>
      </c>
      <c r="J404" s="5">
        <f>VLOOKUP(F404,'Set up'!$A$2:$D$70,4,FALSE)</f>
        <v>120</v>
      </c>
      <c r="K404" s="4">
        <f t="shared" si="65"/>
        <v>44623</v>
      </c>
      <c r="L404" s="5">
        <f t="shared" si="66"/>
        <v>3</v>
      </c>
      <c r="M404" s="5">
        <f t="shared" si="67"/>
        <v>2022</v>
      </c>
      <c r="N404" s="6">
        <v>275</v>
      </c>
      <c r="O404" s="6">
        <f t="shared" si="69"/>
        <v>-275</v>
      </c>
      <c r="P404" s="6">
        <f t="shared" si="61"/>
        <v>0</v>
      </c>
      <c r="Q404" s="7">
        <f t="shared" si="68"/>
        <v>623795.85</v>
      </c>
      <c r="R404" s="44" t="str">
        <f>VLOOKUP(F404,'Set up'!$A$2:$E$70,5,FALSE)</f>
        <v>Trsf</v>
      </c>
      <c r="S404" s="1" t="s">
        <v>631</v>
      </c>
    </row>
    <row r="405" spans="1:19" x14ac:dyDescent="0.35">
      <c r="A405" s="4">
        <v>44503</v>
      </c>
      <c r="B405" s="5">
        <f t="shared" si="63"/>
        <v>11</v>
      </c>
      <c r="C405" s="5">
        <f t="shared" si="64"/>
        <v>2021</v>
      </c>
      <c r="D405" s="5" t="s">
        <v>460</v>
      </c>
      <c r="E405" s="5" t="str">
        <f>VLOOKUP(F405,'Set up'!$A$2:$C$70,2,FALSE)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up'!$A$2:$C$70,3,FALSE)</f>
        <v>120</v>
      </c>
      <c r="J405" s="5">
        <f>VLOOKUP(F405,'Set up'!$A$2:$D$70,4,FALSE)</f>
        <v>120</v>
      </c>
      <c r="K405" s="4">
        <f t="shared" si="65"/>
        <v>44623</v>
      </c>
      <c r="L405" s="5">
        <f t="shared" si="66"/>
        <v>3</v>
      </c>
      <c r="M405" s="5">
        <f t="shared" si="67"/>
        <v>2022</v>
      </c>
      <c r="N405" s="6">
        <v>320</v>
      </c>
      <c r="O405" s="6">
        <f t="shared" si="69"/>
        <v>-320</v>
      </c>
      <c r="P405" s="6">
        <f t="shared" ref="P405:P468" si="70">SUM(N405+O405)</f>
        <v>0</v>
      </c>
      <c r="Q405" s="7">
        <f t="shared" si="68"/>
        <v>624115.85</v>
      </c>
      <c r="R405" s="44" t="str">
        <f>VLOOKUP(F405,'Set up'!$A$2:$E$70,5,FALSE)</f>
        <v>Trsf</v>
      </c>
      <c r="S405" s="1" t="s">
        <v>631</v>
      </c>
    </row>
    <row r="406" spans="1:19" x14ac:dyDescent="0.35">
      <c r="A406" s="4">
        <v>44503</v>
      </c>
      <c r="B406" s="5">
        <f t="shared" si="63"/>
        <v>11</v>
      </c>
      <c r="C406" s="5">
        <f t="shared" si="64"/>
        <v>2021</v>
      </c>
      <c r="D406" s="5" t="s">
        <v>460</v>
      </c>
      <c r="E406" s="5" t="str">
        <f>VLOOKUP(F406,'Set up'!$A$2:$C$70,2,FALSE)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up'!$A$2:$C$70,3,FALSE)</f>
        <v>120</v>
      </c>
      <c r="J406" s="5">
        <f>VLOOKUP(F406,'Set up'!$A$2:$D$70,4,FALSE)</f>
        <v>120</v>
      </c>
      <c r="K406" s="4">
        <f t="shared" si="65"/>
        <v>44623</v>
      </c>
      <c r="L406" s="5">
        <f t="shared" si="66"/>
        <v>3</v>
      </c>
      <c r="M406" s="5">
        <f t="shared" si="67"/>
        <v>2022</v>
      </c>
      <c r="N406" s="6">
        <v>1320</v>
      </c>
      <c r="O406" s="6">
        <f t="shared" si="69"/>
        <v>-1320</v>
      </c>
      <c r="P406" s="6">
        <f t="shared" si="70"/>
        <v>0</v>
      </c>
      <c r="Q406" s="7">
        <f t="shared" si="68"/>
        <v>625435.85</v>
      </c>
      <c r="R406" s="44" t="str">
        <f>VLOOKUP(F406,'Set up'!$A$2:$E$70,5,FALSE)</f>
        <v>Trsf</v>
      </c>
      <c r="S406" s="1" t="s">
        <v>631</v>
      </c>
    </row>
    <row r="407" spans="1:19" x14ac:dyDescent="0.35">
      <c r="A407" s="4">
        <v>44503</v>
      </c>
      <c r="B407" s="5">
        <f t="shared" si="63"/>
        <v>11</v>
      </c>
      <c r="C407" s="5">
        <f t="shared" si="64"/>
        <v>2021</v>
      </c>
      <c r="D407" s="5" t="s">
        <v>460</v>
      </c>
      <c r="E407" s="5" t="str">
        <f>VLOOKUP(F407,'Set up'!$A$2:$C$70,2,FALSE)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up'!$A$2:$C$70,3,FALSE)</f>
        <v>120</v>
      </c>
      <c r="J407" s="5">
        <f>VLOOKUP(F407,'Set up'!$A$2:$D$70,4,FALSE)</f>
        <v>120</v>
      </c>
      <c r="K407" s="4">
        <f t="shared" si="65"/>
        <v>44623</v>
      </c>
      <c r="L407" s="5">
        <f t="shared" si="66"/>
        <v>3</v>
      </c>
      <c r="M407" s="5">
        <f t="shared" si="67"/>
        <v>2022</v>
      </c>
      <c r="N407" s="6">
        <v>220</v>
      </c>
      <c r="O407" s="6">
        <f t="shared" si="69"/>
        <v>-220</v>
      </c>
      <c r="P407" s="6">
        <f t="shared" si="70"/>
        <v>0</v>
      </c>
      <c r="Q407" s="7">
        <f t="shared" si="68"/>
        <v>625655.85</v>
      </c>
      <c r="R407" s="44" t="str">
        <f>VLOOKUP(F407,'Set up'!$A$2:$E$70,5,FALSE)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63"/>
        <v>11</v>
      </c>
      <c r="C408" s="5">
        <f t="shared" si="64"/>
        <v>2021</v>
      </c>
      <c r="D408" s="5" t="s">
        <v>464</v>
      </c>
      <c r="E408" s="5" t="str">
        <f>VLOOKUP(F408,'Set up'!$A$2:$C$70,2,FALSE)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up'!$A$2:$C$70,3,FALSE)</f>
        <v>Cash</v>
      </c>
      <c r="J408" s="5">
        <f>VLOOKUP(F408,'Set up'!$A$2:$D$70,4,FALSE)</f>
        <v>0</v>
      </c>
      <c r="K408" s="4">
        <f t="shared" si="65"/>
        <v>44506</v>
      </c>
      <c r="L408" s="5">
        <f t="shared" si="66"/>
        <v>11</v>
      </c>
      <c r="M408" s="5">
        <f t="shared" si="67"/>
        <v>2021</v>
      </c>
      <c r="N408" s="6">
        <v>4048</v>
      </c>
      <c r="O408" s="6">
        <f t="shared" si="69"/>
        <v>-4048</v>
      </c>
      <c r="P408" s="6">
        <f t="shared" si="70"/>
        <v>0</v>
      </c>
      <c r="Q408" s="7">
        <f t="shared" si="68"/>
        <v>629703.85</v>
      </c>
      <c r="R408" s="44" t="str">
        <f>VLOOKUP(F408,'Set up'!$A$2:$E$70,5,FALSE)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63"/>
        <v>11</v>
      </c>
      <c r="C409" s="5">
        <f t="shared" si="64"/>
        <v>2021</v>
      </c>
      <c r="D409" s="5" t="s">
        <v>464</v>
      </c>
      <c r="E409" s="5" t="str">
        <f>VLOOKUP(F409,'Set up'!$A$2:$C$70,2,FALSE)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up'!$A$2:$C$70,3,FALSE)</f>
        <v>Cash</v>
      </c>
      <c r="J409" s="5">
        <f>VLOOKUP(F409,'Set up'!$A$2:$D$70,4,FALSE)</f>
        <v>0</v>
      </c>
      <c r="K409" s="4">
        <f t="shared" si="65"/>
        <v>44506</v>
      </c>
      <c r="L409" s="5">
        <f t="shared" si="66"/>
        <v>11</v>
      </c>
      <c r="M409" s="5">
        <f t="shared" si="67"/>
        <v>2021</v>
      </c>
      <c r="N409" s="6">
        <v>6072</v>
      </c>
      <c r="O409" s="6">
        <f t="shared" si="69"/>
        <v>-6072</v>
      </c>
      <c r="P409" s="6">
        <f t="shared" si="70"/>
        <v>0</v>
      </c>
      <c r="Q409" s="7">
        <f t="shared" si="68"/>
        <v>635775.85</v>
      </c>
      <c r="R409" s="44" t="str">
        <f>VLOOKUP(F409,'Set up'!$A$2:$E$70,5,FALSE)</f>
        <v>Trsf</v>
      </c>
      <c r="S409" s="1" t="s">
        <v>543</v>
      </c>
    </row>
    <row r="410" spans="1:19" x14ac:dyDescent="0.35">
      <c r="A410" s="4">
        <v>44506</v>
      </c>
      <c r="B410" s="5">
        <f t="shared" si="63"/>
        <v>11</v>
      </c>
      <c r="C410" s="5">
        <f t="shared" si="64"/>
        <v>2021</v>
      </c>
      <c r="D410" s="5" t="s">
        <v>464</v>
      </c>
      <c r="E410" s="5" t="str">
        <f>VLOOKUP(F410,'Set up'!$A$2:$C$70,2,FALSE)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up'!$A$2:$C$70,3,FALSE)</f>
        <v>Cash</v>
      </c>
      <c r="J410" s="5">
        <f>VLOOKUP(F410,'Set up'!$A$2:$D$70,4,FALSE)</f>
        <v>0</v>
      </c>
      <c r="K410" s="4">
        <f t="shared" si="65"/>
        <v>44506</v>
      </c>
      <c r="L410" s="5">
        <f t="shared" si="66"/>
        <v>11</v>
      </c>
      <c r="M410" s="5">
        <f t="shared" si="67"/>
        <v>2021</v>
      </c>
      <c r="N410" s="6">
        <v>5106</v>
      </c>
      <c r="O410" s="6">
        <f>-512.3-4593.7</f>
        <v>-5106</v>
      </c>
      <c r="P410" s="6">
        <f t="shared" si="70"/>
        <v>0</v>
      </c>
      <c r="Q410" s="7">
        <f t="shared" si="68"/>
        <v>640881.85</v>
      </c>
      <c r="R410" s="44" t="str">
        <f>VLOOKUP(F410,'Set up'!$A$2:$E$70,5,FALSE)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63"/>
        <v>11</v>
      </c>
      <c r="C411" s="5">
        <f t="shared" si="64"/>
        <v>2021</v>
      </c>
      <c r="D411" s="5" t="s">
        <v>464</v>
      </c>
      <c r="E411" s="5" t="str">
        <f>VLOOKUP(F411,'Set up'!$A$2:$C$70,2,FALSE)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up'!$A$2:$C$70,3,FALSE)</f>
        <v>Cash</v>
      </c>
      <c r="J411" s="5">
        <f>VLOOKUP(F411,'Set up'!$A$2:$D$70,4,FALSE)</f>
        <v>0</v>
      </c>
      <c r="K411" s="4">
        <f t="shared" si="65"/>
        <v>44506</v>
      </c>
      <c r="L411" s="5">
        <f t="shared" si="66"/>
        <v>11</v>
      </c>
      <c r="M411" s="5">
        <f t="shared" si="67"/>
        <v>2021</v>
      </c>
      <c r="N411" s="6">
        <v>312.5</v>
      </c>
      <c r="O411" s="6">
        <f t="shared" ref="O411:O420" si="71">-N411</f>
        <v>-312.5</v>
      </c>
      <c r="P411" s="6">
        <f t="shared" si="70"/>
        <v>0</v>
      </c>
      <c r="Q411" s="7">
        <f t="shared" si="68"/>
        <v>641194.35</v>
      </c>
      <c r="R411" s="44" t="str">
        <f>VLOOKUP(F411,'Set up'!$A$2:$E$70,5,FALSE)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63"/>
        <v>11</v>
      </c>
      <c r="C412" s="5">
        <f t="shared" si="64"/>
        <v>2021</v>
      </c>
      <c r="D412" s="5" t="s">
        <v>464</v>
      </c>
      <c r="E412" s="5" t="str">
        <f>VLOOKUP(F412,'Set up'!$A$2:$C$70,2,FALSE)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up'!$A$2:$C$70,3,FALSE)</f>
        <v>Cash</v>
      </c>
      <c r="J412" s="5">
        <f>VLOOKUP(F412,'Set up'!$A$2:$D$70,4,FALSE)</f>
        <v>0</v>
      </c>
      <c r="K412" s="4">
        <f t="shared" si="65"/>
        <v>44506</v>
      </c>
      <c r="L412" s="5">
        <f t="shared" si="66"/>
        <v>11</v>
      </c>
      <c r="M412" s="5">
        <f t="shared" si="67"/>
        <v>2021</v>
      </c>
      <c r="N412" s="6">
        <v>2457</v>
      </c>
      <c r="O412" s="6">
        <f t="shared" si="71"/>
        <v>-2457</v>
      </c>
      <c r="P412" s="6">
        <f t="shared" si="70"/>
        <v>0</v>
      </c>
      <c r="Q412" s="7">
        <f t="shared" si="68"/>
        <v>643651.35</v>
      </c>
      <c r="R412" s="44" t="str">
        <f>VLOOKUP(F412,'Set up'!$A$2:$E$70,5,FALSE)</f>
        <v>Trsf</v>
      </c>
      <c r="S412" s="1" t="s">
        <v>572</v>
      </c>
    </row>
    <row r="413" spans="1:19" x14ac:dyDescent="0.35">
      <c r="A413" s="4">
        <v>44506</v>
      </c>
      <c r="B413" s="5">
        <f t="shared" si="63"/>
        <v>11</v>
      </c>
      <c r="C413" s="5">
        <f t="shared" si="64"/>
        <v>2021</v>
      </c>
      <c r="D413" s="5" t="s">
        <v>464</v>
      </c>
      <c r="E413" s="5" t="str">
        <f>VLOOKUP(F413,'Set up'!$A$2:$C$70,2,FALSE)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up'!$A$2:$C$70,3,FALSE)</f>
        <v>Cash</v>
      </c>
      <c r="J413" s="5">
        <f>VLOOKUP(F413,'Set up'!$A$2:$D$70,4,FALSE)</f>
        <v>0</v>
      </c>
      <c r="K413" s="4">
        <f t="shared" si="65"/>
        <v>44506</v>
      </c>
      <c r="L413" s="5">
        <f t="shared" si="66"/>
        <v>11</v>
      </c>
      <c r="M413" s="5">
        <f t="shared" si="67"/>
        <v>2021</v>
      </c>
      <c r="N413" s="6">
        <v>320</v>
      </c>
      <c r="O413" s="6">
        <f t="shared" si="71"/>
        <v>-320</v>
      </c>
      <c r="P413" s="6">
        <f t="shared" si="70"/>
        <v>0</v>
      </c>
      <c r="Q413" s="7">
        <f t="shared" si="68"/>
        <v>643971.35</v>
      </c>
      <c r="R413" s="44" t="str">
        <f>VLOOKUP(F413,'Set up'!$A$2:$E$70,5,FALSE)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63"/>
        <v>11</v>
      </c>
      <c r="C414" s="5">
        <f t="shared" si="64"/>
        <v>2021</v>
      </c>
      <c r="D414" s="5" t="s">
        <v>464</v>
      </c>
      <c r="E414" s="5" t="str">
        <f>VLOOKUP(F414,'Set up'!$A$2:$C$70,2,FALSE)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up'!$A$2:$C$70,3,FALSE)</f>
        <v>Cash</v>
      </c>
      <c r="J414" s="5">
        <f>VLOOKUP(F414,'Set up'!$A$2:$D$70,4,FALSE)</f>
        <v>0</v>
      </c>
      <c r="K414" s="4">
        <f t="shared" si="65"/>
        <v>44506</v>
      </c>
      <c r="L414" s="5">
        <f t="shared" si="66"/>
        <v>11</v>
      </c>
      <c r="M414" s="5">
        <f t="shared" si="67"/>
        <v>2021</v>
      </c>
      <c r="N414" s="6">
        <v>1000</v>
      </c>
      <c r="O414" s="6">
        <f t="shared" si="71"/>
        <v>-1000</v>
      </c>
      <c r="P414" s="6">
        <f t="shared" si="70"/>
        <v>0</v>
      </c>
      <c r="Q414" s="7">
        <f t="shared" si="68"/>
        <v>644971.35</v>
      </c>
      <c r="R414" s="44" t="str">
        <f>VLOOKUP(F414,'Set up'!$A$2:$E$70,5,FALSE)</f>
        <v>Trsf</v>
      </c>
      <c r="S414" s="1" t="s">
        <v>572</v>
      </c>
    </row>
    <row r="415" spans="1:19" x14ac:dyDescent="0.35">
      <c r="A415" s="4">
        <v>44508</v>
      </c>
      <c r="B415" s="5">
        <f t="shared" si="63"/>
        <v>11</v>
      </c>
      <c r="C415" s="5">
        <f t="shared" si="64"/>
        <v>2021</v>
      </c>
      <c r="D415" s="5" t="s">
        <v>465</v>
      </c>
      <c r="E415" s="5" t="str">
        <f>VLOOKUP(F415,'Set up'!$A$2:$C$70,2,FALSE)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up'!$A$2:$C$70,3,FALSE)</f>
        <v>120</v>
      </c>
      <c r="J415" s="5">
        <f>VLOOKUP(F415,'Set up'!$A$2:$D$70,4,FALSE)</f>
        <v>120</v>
      </c>
      <c r="K415" s="4">
        <f t="shared" si="65"/>
        <v>44628</v>
      </c>
      <c r="L415" s="5">
        <f t="shared" si="66"/>
        <v>3</v>
      </c>
      <c r="M415" s="5">
        <f t="shared" si="67"/>
        <v>2022</v>
      </c>
      <c r="N415" s="6">
        <v>12144</v>
      </c>
      <c r="O415" s="6">
        <f t="shared" si="71"/>
        <v>-12144</v>
      </c>
      <c r="P415" s="6">
        <f t="shared" si="70"/>
        <v>0</v>
      </c>
      <c r="Q415" s="7">
        <f t="shared" si="68"/>
        <v>657115.35</v>
      </c>
      <c r="R415" s="44" t="str">
        <f>VLOOKUP(F415,'Set up'!$A$2:$E$70,5,FALSE)</f>
        <v>Trsf</v>
      </c>
      <c r="S415" s="1" t="s">
        <v>631</v>
      </c>
    </row>
    <row r="416" spans="1:19" x14ac:dyDescent="0.35">
      <c r="A416" s="4">
        <v>44508</v>
      </c>
      <c r="B416" s="5">
        <f t="shared" si="63"/>
        <v>11</v>
      </c>
      <c r="C416" s="5">
        <f t="shared" si="64"/>
        <v>2021</v>
      </c>
      <c r="D416" s="5" t="s">
        <v>465</v>
      </c>
      <c r="E416" s="5" t="str">
        <f>VLOOKUP(F416,'Set up'!$A$2:$C$70,2,FALSE)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up'!$A$2:$C$70,3,FALSE)</f>
        <v>120</v>
      </c>
      <c r="J416" s="5">
        <f>VLOOKUP(F416,'Set up'!$A$2:$D$70,4,FALSE)</f>
        <v>120</v>
      </c>
      <c r="K416" s="4">
        <f t="shared" si="65"/>
        <v>44628</v>
      </c>
      <c r="L416" s="5">
        <f t="shared" si="66"/>
        <v>3</v>
      </c>
      <c r="M416" s="5">
        <f t="shared" si="67"/>
        <v>2022</v>
      </c>
      <c r="N416" s="6">
        <v>2109</v>
      </c>
      <c r="O416" s="6">
        <f t="shared" si="71"/>
        <v>-2109</v>
      </c>
      <c r="P416" s="6">
        <f t="shared" si="70"/>
        <v>0</v>
      </c>
      <c r="Q416" s="7">
        <f t="shared" si="68"/>
        <v>659224.35</v>
      </c>
      <c r="R416" s="44" t="str">
        <f>VLOOKUP(F416,'Set up'!$A$2:$E$70,5,FALSE)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63"/>
        <v>11</v>
      </c>
      <c r="C417" s="5">
        <f t="shared" si="64"/>
        <v>2021</v>
      </c>
      <c r="D417" s="5" t="s">
        <v>470</v>
      </c>
      <c r="E417" s="5" t="e">
        <f>VLOOKUP(F417,'Set up'!$A$2:$C$70,2,FALSE)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up'!$A$2:$C$70,3,FALSE)</f>
        <v>#N/A</v>
      </c>
      <c r="J417" s="5" t="e">
        <f>VLOOKUP(F417,'Set up'!$A$2:$D$70,4,FALSE)</f>
        <v>#N/A</v>
      </c>
      <c r="K417" s="4" t="e">
        <f t="shared" si="65"/>
        <v>#N/A</v>
      </c>
      <c r="L417" s="5" t="e">
        <f t="shared" si="66"/>
        <v>#N/A</v>
      </c>
      <c r="M417" s="5" t="e">
        <f t="shared" si="67"/>
        <v>#N/A</v>
      </c>
      <c r="N417" s="6">
        <v>240</v>
      </c>
      <c r="O417" s="6">
        <f t="shared" si="71"/>
        <v>-240</v>
      </c>
      <c r="P417" s="6">
        <f t="shared" si="70"/>
        <v>0</v>
      </c>
      <c r="Q417" s="7">
        <f t="shared" si="68"/>
        <v>659464.35</v>
      </c>
      <c r="R417" s="44" t="e">
        <f>VLOOKUP(F417,'Set up'!$A$2:$E$70,5,FALSE)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63"/>
        <v>11</v>
      </c>
      <c r="C418" s="5">
        <f t="shared" si="64"/>
        <v>2021</v>
      </c>
      <c r="D418" s="5" t="s">
        <v>472</v>
      </c>
      <c r="E418" s="5" t="str">
        <f>VLOOKUP(F418,'Set up'!$A$2:$C$70,2,FALSE)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up'!$A$2:$C$70,3,FALSE)</f>
        <v>Cash</v>
      </c>
      <c r="J418" s="5">
        <f>VLOOKUP(F418,'Set up'!$A$2:$D$70,4,FALSE)</f>
        <v>0</v>
      </c>
      <c r="K418" s="4">
        <f t="shared" si="65"/>
        <v>44510</v>
      </c>
      <c r="L418" s="5">
        <f t="shared" si="66"/>
        <v>11</v>
      </c>
      <c r="M418" s="5">
        <f t="shared" si="67"/>
        <v>2021</v>
      </c>
      <c r="N418" s="6">
        <v>2024</v>
      </c>
      <c r="O418" s="6">
        <f t="shared" si="71"/>
        <v>-2024</v>
      </c>
      <c r="P418" s="6">
        <f t="shared" si="70"/>
        <v>0</v>
      </c>
      <c r="Q418" s="7">
        <f t="shared" si="68"/>
        <v>661488.35</v>
      </c>
      <c r="R418" s="44" t="str">
        <f>VLOOKUP(F418,'Set up'!$A$2:$E$70,5,FALSE)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63"/>
        <v>11</v>
      </c>
      <c r="C419" s="5">
        <f t="shared" si="64"/>
        <v>2021</v>
      </c>
      <c r="D419" s="5" t="s">
        <v>473</v>
      </c>
      <c r="E419" s="5" t="str">
        <f>VLOOKUP(F419,'Set up'!$A$2:$C$70,2,FALSE)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up'!$A$2:$C$70,3,FALSE)</f>
        <v>Cash</v>
      </c>
      <c r="J419" s="5">
        <f>VLOOKUP(F419,'Set up'!$A$2:$D$70,4,FALSE)</f>
        <v>0</v>
      </c>
      <c r="K419" s="4">
        <f t="shared" si="65"/>
        <v>44511</v>
      </c>
      <c r="L419" s="5">
        <f t="shared" si="66"/>
        <v>11</v>
      </c>
      <c r="M419" s="5">
        <f t="shared" si="67"/>
        <v>2021</v>
      </c>
      <c r="N419" s="6">
        <v>20680</v>
      </c>
      <c r="O419" s="6">
        <f t="shared" si="71"/>
        <v>-20680</v>
      </c>
      <c r="P419" s="6">
        <f t="shared" si="70"/>
        <v>0</v>
      </c>
      <c r="Q419" s="7">
        <f t="shared" si="68"/>
        <v>682168.35</v>
      </c>
      <c r="R419" s="44" t="str">
        <f>VLOOKUP(F419,'Set up'!$A$2:$E$70,5,FALSE)</f>
        <v>Trsf</v>
      </c>
      <c r="S419" s="1" t="s">
        <v>572</v>
      </c>
    </row>
    <row r="420" spans="1:19" x14ac:dyDescent="0.35">
      <c r="A420" s="4">
        <v>44511</v>
      </c>
      <c r="B420" s="5">
        <f t="shared" si="63"/>
        <v>11</v>
      </c>
      <c r="C420" s="5">
        <f t="shared" si="64"/>
        <v>2021</v>
      </c>
      <c r="D420" s="5" t="s">
        <v>473</v>
      </c>
      <c r="E420" s="5" t="str">
        <f>VLOOKUP(F420,'Set up'!$A$2:$C$70,2,FALSE)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up'!$A$2:$C$70,3,FALSE)</f>
        <v>Cash</v>
      </c>
      <c r="J420" s="5">
        <f>VLOOKUP(F420,'Set up'!$A$2:$D$70,4,FALSE)</f>
        <v>0</v>
      </c>
      <c r="K420" s="4">
        <f t="shared" si="65"/>
        <v>44511</v>
      </c>
      <c r="L420" s="5">
        <f t="shared" si="66"/>
        <v>11</v>
      </c>
      <c r="M420" s="5">
        <f t="shared" si="67"/>
        <v>2021</v>
      </c>
      <c r="N420" s="6">
        <v>5328</v>
      </c>
      <c r="O420" s="6">
        <f t="shared" si="71"/>
        <v>-5328</v>
      </c>
      <c r="P420" s="6">
        <f t="shared" si="70"/>
        <v>0</v>
      </c>
      <c r="Q420" s="7">
        <f t="shared" si="68"/>
        <v>687496.35</v>
      </c>
      <c r="R420" s="44" t="str">
        <f>VLOOKUP(F420,'Set up'!$A$2:$E$70,5,FALSE)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63"/>
        <v>11</v>
      </c>
      <c r="C421" s="5">
        <f t="shared" si="64"/>
        <v>2021</v>
      </c>
      <c r="D421" s="5" t="s">
        <v>473</v>
      </c>
      <c r="E421" s="5" t="str">
        <f>VLOOKUP(F421,'Set up'!$A$2:$C$70,2,FALSE)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up'!$A$2:$C$70,3,FALSE)</f>
        <v>Cash</v>
      </c>
      <c r="J421" s="5">
        <f>VLOOKUP(F421,'Set up'!$A$2:$D$70,4,FALSE)</f>
        <v>0</v>
      </c>
      <c r="K421" s="4">
        <f t="shared" si="65"/>
        <v>44511</v>
      </c>
      <c r="L421" s="5">
        <f t="shared" si="66"/>
        <v>11</v>
      </c>
      <c r="M421" s="5">
        <f t="shared" si="67"/>
        <v>2021</v>
      </c>
      <c r="N421" s="6">
        <v>4914</v>
      </c>
      <c r="O421" s="6">
        <f>-2808.8-2105.2</f>
        <v>-4914</v>
      </c>
      <c r="P421" s="6">
        <f t="shared" si="70"/>
        <v>0</v>
      </c>
      <c r="Q421" s="7">
        <f t="shared" si="68"/>
        <v>692410.35</v>
      </c>
      <c r="R421" s="44" t="str">
        <f>VLOOKUP(F421,'Set up'!$A$2:$E$70,5,FALSE)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63"/>
        <v>11</v>
      </c>
      <c r="C422" s="5">
        <f t="shared" si="64"/>
        <v>2021</v>
      </c>
      <c r="D422" s="5" t="s">
        <v>473</v>
      </c>
      <c r="E422" s="5" t="str">
        <f>VLOOKUP(F422,'Set up'!$A$2:$C$70,2,FALSE)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up'!$A$2:$C$70,3,FALSE)</f>
        <v>Cash</v>
      </c>
      <c r="J422" s="5">
        <f>VLOOKUP(F422,'Set up'!$A$2:$D$70,4,FALSE)</f>
        <v>0</v>
      </c>
      <c r="K422" s="4">
        <f t="shared" si="65"/>
        <v>44511</v>
      </c>
      <c r="L422" s="5">
        <f t="shared" si="66"/>
        <v>11</v>
      </c>
      <c r="M422" s="5">
        <f t="shared" si="67"/>
        <v>2021</v>
      </c>
      <c r="N422" s="6">
        <v>250</v>
      </c>
      <c r="O422" s="6">
        <f t="shared" ref="O422:O456" si="72">-N422</f>
        <v>-250</v>
      </c>
      <c r="P422" s="6">
        <f t="shared" si="70"/>
        <v>0</v>
      </c>
      <c r="Q422" s="7">
        <f t="shared" si="68"/>
        <v>692660.35</v>
      </c>
      <c r="R422" s="44" t="str">
        <f>VLOOKUP(F422,'Set up'!$A$2:$E$70,5,FALSE)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63"/>
        <v>11</v>
      </c>
      <c r="C423" s="5">
        <f t="shared" si="64"/>
        <v>2021</v>
      </c>
      <c r="D423" s="5" t="s">
        <v>473</v>
      </c>
      <c r="E423" s="5" t="str">
        <f>VLOOKUP(F423,'Set up'!$A$2:$C$70,2,FALSE)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up'!$A$2:$C$70,3,FALSE)</f>
        <v>Cash</v>
      </c>
      <c r="J423" s="5">
        <f>VLOOKUP(F423,'Set up'!$A$2:$D$70,4,FALSE)</f>
        <v>0</v>
      </c>
      <c r="K423" s="4">
        <f t="shared" si="65"/>
        <v>44511</v>
      </c>
      <c r="L423" s="5">
        <f t="shared" si="66"/>
        <v>11</v>
      </c>
      <c r="M423" s="5">
        <f t="shared" si="67"/>
        <v>2021</v>
      </c>
      <c r="N423" s="6">
        <v>2000</v>
      </c>
      <c r="O423" s="6">
        <f t="shared" si="72"/>
        <v>-2000</v>
      </c>
      <c r="P423" s="6">
        <f t="shared" si="70"/>
        <v>0</v>
      </c>
      <c r="Q423" s="7">
        <f t="shared" si="68"/>
        <v>694660.35</v>
      </c>
      <c r="R423" s="44" t="str">
        <f>VLOOKUP(F423,'Set up'!$A$2:$E$70,5,FALSE)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63"/>
        <v>11</v>
      </c>
      <c r="C424" s="5">
        <f t="shared" si="64"/>
        <v>2021</v>
      </c>
      <c r="D424" s="5" t="s">
        <v>475</v>
      </c>
      <c r="E424" s="5" t="str">
        <f>VLOOKUP(F424,'Set up'!$A$2:$C$70,2,FALSE)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up'!$A$2:$C$70,3,FALSE)</f>
        <v>Cash</v>
      </c>
      <c r="J424" s="5">
        <f>VLOOKUP(F424,'Set up'!$A$2:$D$70,4,FALSE)</f>
        <v>0</v>
      </c>
      <c r="K424" s="4">
        <f t="shared" si="65"/>
        <v>44511</v>
      </c>
      <c r="L424" s="5">
        <f t="shared" si="66"/>
        <v>11</v>
      </c>
      <c r="M424" s="5">
        <f t="shared" si="67"/>
        <v>2021</v>
      </c>
      <c r="N424" s="6">
        <v>312.5</v>
      </c>
      <c r="O424" s="6">
        <f t="shared" si="72"/>
        <v>-312.5</v>
      </c>
      <c r="P424" s="6">
        <f t="shared" si="70"/>
        <v>0</v>
      </c>
      <c r="Q424" s="7">
        <f t="shared" si="68"/>
        <v>694972.85</v>
      </c>
      <c r="R424" s="44" t="str">
        <f>VLOOKUP(F424,'Set up'!$A$2:$E$70,5,FALSE)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63"/>
        <v>11</v>
      </c>
      <c r="C425" s="5">
        <f t="shared" si="64"/>
        <v>2021</v>
      </c>
      <c r="D425" s="5" t="s">
        <v>476</v>
      </c>
      <c r="E425" s="5" t="e">
        <f>VLOOKUP(F425,'Set up'!$A$2:$C$70,2,FALSE)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up'!$A$2:$C$70,3,FALSE)</f>
        <v>#N/A</v>
      </c>
      <c r="J425" s="5" t="e">
        <f>VLOOKUP(F425,'Set up'!$A$2:$D$70,4,FALSE)</f>
        <v>#N/A</v>
      </c>
      <c r="K425" s="4" t="e">
        <f t="shared" si="65"/>
        <v>#N/A</v>
      </c>
      <c r="L425" s="5" t="e">
        <f t="shared" si="66"/>
        <v>#N/A</v>
      </c>
      <c r="M425" s="5" t="e">
        <f t="shared" si="67"/>
        <v>#N/A</v>
      </c>
      <c r="N425" s="6">
        <v>2090</v>
      </c>
      <c r="O425" s="6">
        <f t="shared" si="72"/>
        <v>-2090</v>
      </c>
      <c r="P425" s="6">
        <f t="shared" si="70"/>
        <v>0</v>
      </c>
      <c r="Q425" s="7">
        <f t="shared" si="68"/>
        <v>697062.85</v>
      </c>
      <c r="R425" s="44" t="e">
        <f>VLOOKUP(F425,'Set up'!$A$2:$E$70,5,FALSE)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63"/>
        <v>11</v>
      </c>
      <c r="C426" s="5">
        <f t="shared" si="64"/>
        <v>2021</v>
      </c>
      <c r="D426" s="5" t="s">
        <v>476</v>
      </c>
      <c r="E426" s="5" t="e">
        <f>VLOOKUP(F426,'Set up'!$A$2:$C$70,2,FALSE)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up'!$A$2:$C$70,3,FALSE)</f>
        <v>#N/A</v>
      </c>
      <c r="J426" s="5" t="e">
        <f>VLOOKUP(F426,'Set up'!$A$2:$D$70,4,FALSE)</f>
        <v>#N/A</v>
      </c>
      <c r="K426" s="4" t="e">
        <f t="shared" si="65"/>
        <v>#N/A</v>
      </c>
      <c r="L426" s="5" t="e">
        <f t="shared" si="66"/>
        <v>#N/A</v>
      </c>
      <c r="M426" s="5" t="e">
        <f t="shared" si="67"/>
        <v>#N/A</v>
      </c>
      <c r="N426" s="6">
        <v>120</v>
      </c>
      <c r="O426" s="6">
        <f t="shared" si="72"/>
        <v>-120</v>
      </c>
      <c r="P426" s="6">
        <f t="shared" si="70"/>
        <v>0</v>
      </c>
      <c r="Q426" s="7">
        <f t="shared" si="68"/>
        <v>697182.85</v>
      </c>
      <c r="R426" s="44" t="e">
        <f>VLOOKUP(F426,'Set up'!$A$2:$E$70,5,FALSE)</f>
        <v>#N/A</v>
      </c>
      <c r="S426" s="1" t="s">
        <v>496</v>
      </c>
    </row>
    <row r="427" spans="1:19" x14ac:dyDescent="0.35">
      <c r="A427" s="4">
        <v>44513</v>
      </c>
      <c r="B427" s="5">
        <f t="shared" si="63"/>
        <v>11</v>
      </c>
      <c r="C427" s="5">
        <f t="shared" si="64"/>
        <v>2021</v>
      </c>
      <c r="D427" s="5" t="s">
        <v>476</v>
      </c>
      <c r="E427" s="5" t="e">
        <f>VLOOKUP(F427,'Set up'!$A$2:$C$70,2,FALSE)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up'!$A$2:$C$70,3,FALSE)</f>
        <v>#N/A</v>
      </c>
      <c r="J427" s="5" t="e">
        <f>VLOOKUP(F427,'Set up'!$A$2:$D$70,4,FALSE)</f>
        <v>#N/A</v>
      </c>
      <c r="K427" s="4" t="e">
        <f t="shared" si="65"/>
        <v>#N/A</v>
      </c>
      <c r="L427" s="5" t="e">
        <f t="shared" si="66"/>
        <v>#N/A</v>
      </c>
      <c r="M427" s="5" t="e">
        <f t="shared" si="67"/>
        <v>#N/A</v>
      </c>
      <c r="N427" s="6">
        <v>540</v>
      </c>
      <c r="O427" s="6">
        <f t="shared" si="72"/>
        <v>-540</v>
      </c>
      <c r="P427" s="6">
        <f t="shared" si="70"/>
        <v>0</v>
      </c>
      <c r="Q427" s="7">
        <f t="shared" si="68"/>
        <v>697722.85</v>
      </c>
      <c r="R427" s="44" t="e">
        <f>VLOOKUP(F427,'Set up'!$A$2:$E$70,5,FALSE)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63"/>
        <v>11</v>
      </c>
      <c r="C428" s="5">
        <f t="shared" si="64"/>
        <v>2021</v>
      </c>
      <c r="D428" s="5" t="s">
        <v>476</v>
      </c>
      <c r="E428" s="5" t="e">
        <f>VLOOKUP(F428,'Set up'!$A$2:$C$70,2,FALSE)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up'!$A$2:$C$70,3,FALSE)</f>
        <v>#N/A</v>
      </c>
      <c r="J428" s="5" t="e">
        <f>VLOOKUP(F428,'Set up'!$A$2:$D$70,4,FALSE)</f>
        <v>#N/A</v>
      </c>
      <c r="K428" s="4" t="e">
        <f t="shared" si="65"/>
        <v>#N/A</v>
      </c>
      <c r="L428" s="5" t="e">
        <f t="shared" si="66"/>
        <v>#N/A</v>
      </c>
      <c r="M428" s="5" t="e">
        <f t="shared" si="67"/>
        <v>#N/A</v>
      </c>
      <c r="N428" s="6">
        <v>320</v>
      </c>
      <c r="O428" s="6">
        <f t="shared" si="72"/>
        <v>-320</v>
      </c>
      <c r="P428" s="6">
        <f t="shared" si="70"/>
        <v>0</v>
      </c>
      <c r="Q428" s="7">
        <f t="shared" si="68"/>
        <v>698042.85</v>
      </c>
      <c r="R428" s="44" t="e">
        <f>VLOOKUP(F428,'Set up'!$A$2:$E$70,5,FALSE)</f>
        <v>#N/A</v>
      </c>
      <c r="S428" s="1" t="s">
        <v>496</v>
      </c>
    </row>
    <row r="429" spans="1:19" x14ac:dyDescent="0.35">
      <c r="A429" s="4">
        <v>44513</v>
      </c>
      <c r="B429" s="5">
        <f t="shared" si="63"/>
        <v>11</v>
      </c>
      <c r="C429" s="5">
        <f t="shared" si="64"/>
        <v>2021</v>
      </c>
      <c r="D429" s="5" t="s">
        <v>477</v>
      </c>
      <c r="E429" s="5" t="str">
        <f>VLOOKUP(F429,'Set up'!$A$2:$C$70,2,FALSE)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up'!$A$2:$C$70,3,FALSE)</f>
        <v>Cash</v>
      </c>
      <c r="J429" s="5">
        <f>VLOOKUP(F429,'Set up'!$A$2:$D$70,4,FALSE)</f>
        <v>0</v>
      </c>
      <c r="K429" s="4">
        <f t="shared" si="65"/>
        <v>44513</v>
      </c>
      <c r="L429" s="5">
        <f t="shared" si="66"/>
        <v>11</v>
      </c>
      <c r="M429" s="5">
        <f t="shared" si="67"/>
        <v>2021</v>
      </c>
      <c r="N429" s="6">
        <v>4048</v>
      </c>
      <c r="O429" s="6">
        <f t="shared" si="72"/>
        <v>-4048</v>
      </c>
      <c r="P429" s="6">
        <f t="shared" si="70"/>
        <v>0</v>
      </c>
      <c r="Q429" s="7">
        <f t="shared" si="68"/>
        <v>702090.85</v>
      </c>
      <c r="R429" s="44" t="str">
        <f>VLOOKUP(F429,'Set up'!$A$2:$E$70,5,FALSE)</f>
        <v>Trsf</v>
      </c>
      <c r="S429" s="1" t="s">
        <v>495</v>
      </c>
    </row>
    <row r="430" spans="1:19" x14ac:dyDescent="0.35">
      <c r="A430" s="4">
        <v>44513</v>
      </c>
      <c r="B430" s="5">
        <f t="shared" si="63"/>
        <v>11</v>
      </c>
      <c r="C430" s="5">
        <f t="shared" si="64"/>
        <v>2021</v>
      </c>
      <c r="D430" s="5" t="s">
        <v>477</v>
      </c>
      <c r="E430" s="5" t="str">
        <f>VLOOKUP(F430,'Set up'!$A$2:$C$70,2,FALSE)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up'!$A$2:$C$70,3,FALSE)</f>
        <v>Cash</v>
      </c>
      <c r="J430" s="5">
        <f>VLOOKUP(F430,'Set up'!$A$2:$D$70,4,FALSE)</f>
        <v>0</v>
      </c>
      <c r="K430" s="4">
        <f t="shared" si="65"/>
        <v>44513</v>
      </c>
      <c r="L430" s="5">
        <f t="shared" si="66"/>
        <v>11</v>
      </c>
      <c r="M430" s="5">
        <f t="shared" si="67"/>
        <v>2021</v>
      </c>
      <c r="N430" s="6">
        <v>993.6</v>
      </c>
      <c r="O430" s="6">
        <f t="shared" si="72"/>
        <v>-993.6</v>
      </c>
      <c r="P430" s="6">
        <f t="shared" si="70"/>
        <v>0</v>
      </c>
      <c r="Q430" s="7">
        <f t="shared" si="68"/>
        <v>703084.45</v>
      </c>
      <c r="R430" s="44" t="str">
        <f>VLOOKUP(F430,'Set up'!$A$2:$E$70,5,FALSE)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63"/>
        <v>11</v>
      </c>
      <c r="C431" s="5">
        <f t="shared" si="64"/>
        <v>2021</v>
      </c>
      <c r="D431" s="5" t="s">
        <v>477</v>
      </c>
      <c r="E431" s="5" t="str">
        <f>VLOOKUP(F431,'Set up'!$A$2:$C$70,2,FALSE)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up'!$A$2:$C$70,3,FALSE)</f>
        <v>Cash</v>
      </c>
      <c r="J431" s="5">
        <f>VLOOKUP(F431,'Set up'!$A$2:$D$70,4,FALSE)</f>
        <v>0</v>
      </c>
      <c r="K431" s="4">
        <f t="shared" si="65"/>
        <v>44513</v>
      </c>
      <c r="L431" s="5">
        <f t="shared" si="66"/>
        <v>11</v>
      </c>
      <c r="M431" s="5">
        <f t="shared" si="67"/>
        <v>2021</v>
      </c>
      <c r="N431" s="6">
        <v>125</v>
      </c>
      <c r="O431" s="6">
        <f t="shared" si="72"/>
        <v>-125</v>
      </c>
      <c r="P431" s="6">
        <f t="shared" si="70"/>
        <v>0</v>
      </c>
      <c r="Q431" s="7">
        <f t="shared" si="68"/>
        <v>703209.45</v>
      </c>
      <c r="R431" s="44" t="str">
        <f>VLOOKUP(F431,'Set up'!$A$2:$E$70,5,FALSE)</f>
        <v>Trsf</v>
      </c>
      <c r="S431" s="1" t="s">
        <v>495</v>
      </c>
    </row>
    <row r="432" spans="1:19" x14ac:dyDescent="0.35">
      <c r="A432" s="4">
        <v>44513</v>
      </c>
      <c r="B432" s="5">
        <f t="shared" si="63"/>
        <v>11</v>
      </c>
      <c r="C432" s="5">
        <f t="shared" si="64"/>
        <v>2021</v>
      </c>
      <c r="D432" s="5" t="s">
        <v>477</v>
      </c>
      <c r="E432" s="5" t="str">
        <f>VLOOKUP(F432,'Set up'!$A$2:$C$70,2,FALSE)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up'!$A$2:$C$70,3,FALSE)</f>
        <v>Cash</v>
      </c>
      <c r="J432" s="5">
        <f>VLOOKUP(F432,'Set up'!$A$2:$D$70,4,FALSE)</f>
        <v>0</v>
      </c>
      <c r="K432" s="4">
        <f t="shared" si="65"/>
        <v>44513</v>
      </c>
      <c r="L432" s="5">
        <f t="shared" si="66"/>
        <v>11</v>
      </c>
      <c r="M432" s="5">
        <f t="shared" si="67"/>
        <v>2021</v>
      </c>
      <c r="N432" s="6">
        <v>200</v>
      </c>
      <c r="O432" s="6">
        <f t="shared" si="72"/>
        <v>-200</v>
      </c>
      <c r="P432" s="6">
        <f t="shared" si="70"/>
        <v>0</v>
      </c>
      <c r="Q432" s="7">
        <f t="shared" si="68"/>
        <v>703409.45</v>
      </c>
      <c r="R432" s="44" t="str">
        <f>VLOOKUP(F432,'Set up'!$A$2:$E$70,5,FALSE)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63"/>
        <v>11</v>
      </c>
      <c r="C433" s="5">
        <f t="shared" si="64"/>
        <v>2021</v>
      </c>
      <c r="D433" s="5" t="s">
        <v>480</v>
      </c>
      <c r="E433" s="5" t="str">
        <f>VLOOKUP(F433,'Set up'!$A$2:$C$70,2,FALSE)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up'!$A$2:$C$70,3,FALSE)</f>
        <v>45</v>
      </c>
      <c r="J433" s="5">
        <f>VLOOKUP(F433,'Set up'!$A$2:$D$70,4,FALSE)</f>
        <v>45</v>
      </c>
      <c r="K433" s="4">
        <f t="shared" si="65"/>
        <v>44568</v>
      </c>
      <c r="L433" s="5">
        <f t="shared" si="66"/>
        <v>1</v>
      </c>
      <c r="M433" s="5">
        <f t="shared" si="67"/>
        <v>2022</v>
      </c>
      <c r="N433" s="6">
        <v>2024</v>
      </c>
      <c r="O433" s="6">
        <f t="shared" si="72"/>
        <v>-2024</v>
      </c>
      <c r="P433" s="6">
        <f t="shared" si="70"/>
        <v>0</v>
      </c>
      <c r="Q433" s="7">
        <f t="shared" si="68"/>
        <v>705433.45</v>
      </c>
      <c r="R433" s="44" t="str">
        <f>VLOOKUP(F433,'Set up'!$A$2:$E$70,5,FALSE)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63"/>
        <v>11</v>
      </c>
      <c r="C434" s="5">
        <f t="shared" si="64"/>
        <v>2021</v>
      </c>
      <c r="D434" s="5" t="s">
        <v>480</v>
      </c>
      <c r="E434" s="5" t="str">
        <f>VLOOKUP(F434,'Set up'!$A$2:$C$70,2,FALSE)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up'!$A$2:$C$70,3,FALSE)</f>
        <v>45</v>
      </c>
      <c r="J434" s="5">
        <f>VLOOKUP(F434,'Set up'!$A$2:$D$70,4,FALSE)</f>
        <v>45</v>
      </c>
      <c r="K434" s="4">
        <f t="shared" si="65"/>
        <v>44568</v>
      </c>
      <c r="L434" s="5">
        <f t="shared" si="66"/>
        <v>1</v>
      </c>
      <c r="M434" s="5">
        <f t="shared" si="67"/>
        <v>2022</v>
      </c>
      <c r="N434" s="6">
        <v>170</v>
      </c>
      <c r="O434" s="6">
        <f t="shared" si="72"/>
        <v>-170</v>
      </c>
      <c r="P434" s="6">
        <f t="shared" si="70"/>
        <v>0</v>
      </c>
      <c r="Q434" s="7">
        <f t="shared" si="68"/>
        <v>705603.45</v>
      </c>
      <c r="R434" s="44" t="str">
        <f>VLOOKUP(F434,'Set up'!$A$2:$E$70,5,FALSE)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63"/>
        <v>11</v>
      </c>
      <c r="C435" s="5">
        <f t="shared" si="64"/>
        <v>2021</v>
      </c>
      <c r="D435" s="5" t="s">
        <v>480</v>
      </c>
      <c r="E435" s="5" t="str">
        <f>VLOOKUP(F435,'Set up'!$A$2:$C$70,2,FALSE)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up'!$A$2:$C$70,3,FALSE)</f>
        <v>45</v>
      </c>
      <c r="J435" s="5">
        <f>VLOOKUP(F435,'Set up'!$A$2:$D$70,4,FALSE)</f>
        <v>45</v>
      </c>
      <c r="K435" s="4">
        <f t="shared" si="65"/>
        <v>44568</v>
      </c>
      <c r="L435" s="5">
        <f t="shared" si="66"/>
        <v>1</v>
      </c>
      <c r="M435" s="5">
        <f t="shared" si="67"/>
        <v>2022</v>
      </c>
      <c r="N435" s="6">
        <v>172.5</v>
      </c>
      <c r="O435" s="6">
        <f t="shared" si="72"/>
        <v>-172.5</v>
      </c>
      <c r="P435" s="6">
        <f t="shared" si="70"/>
        <v>0</v>
      </c>
      <c r="Q435" s="7">
        <f t="shared" si="68"/>
        <v>705775.95</v>
      </c>
      <c r="R435" s="44" t="str">
        <f>VLOOKUP(F435,'Set up'!$A$2:$E$70,5,FALSE)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63"/>
        <v>11</v>
      </c>
      <c r="C436" s="5">
        <f t="shared" si="64"/>
        <v>2021</v>
      </c>
      <c r="D436" s="5" t="s">
        <v>481</v>
      </c>
      <c r="E436" s="5" t="str">
        <f>VLOOKUP(F436,'Set up'!$A$2:$C$70,2,FALSE)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up'!$A$2:$C$70,3,FALSE)</f>
        <v>Cash</v>
      </c>
      <c r="J436" s="5">
        <f>VLOOKUP(F436,'Set up'!$A$2:$D$70,4,FALSE)</f>
        <v>0</v>
      </c>
      <c r="K436" s="4">
        <f t="shared" si="65"/>
        <v>44526</v>
      </c>
      <c r="L436" s="5">
        <f t="shared" si="66"/>
        <v>11</v>
      </c>
      <c r="M436" s="5">
        <f t="shared" si="67"/>
        <v>2021</v>
      </c>
      <c r="N436" s="71">
        <v>2024</v>
      </c>
      <c r="O436" s="6">
        <f t="shared" si="72"/>
        <v>-2024</v>
      </c>
      <c r="P436" s="6">
        <f t="shared" si="70"/>
        <v>0</v>
      </c>
      <c r="Q436" s="7">
        <f t="shared" si="68"/>
        <v>707799.95</v>
      </c>
      <c r="R436" s="44" t="str">
        <f>VLOOKUP(F436,'Set up'!$A$2:$E$70,5,FALSE)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63"/>
        <v>11</v>
      </c>
      <c r="C437" s="5">
        <f t="shared" si="64"/>
        <v>2021</v>
      </c>
      <c r="D437" s="5" t="s">
        <v>481</v>
      </c>
      <c r="E437" s="5" t="str">
        <f>VLOOKUP(F437,'Set up'!$A$2:$C$70,2,FALSE)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up'!$A$2:$C$70,3,FALSE)</f>
        <v>Cash</v>
      </c>
      <c r="J437" s="5">
        <f>VLOOKUP(F437,'Set up'!$A$2:$D$70,4,FALSE)</f>
        <v>0</v>
      </c>
      <c r="K437" s="4">
        <f t="shared" si="65"/>
        <v>44526</v>
      </c>
      <c r="L437" s="5">
        <f t="shared" si="66"/>
        <v>11</v>
      </c>
      <c r="M437" s="5">
        <f t="shared" si="67"/>
        <v>2021</v>
      </c>
      <c r="N437" s="6">
        <v>250</v>
      </c>
      <c r="O437" s="6">
        <f t="shared" si="72"/>
        <v>-250</v>
      </c>
      <c r="P437" s="6">
        <f t="shared" si="70"/>
        <v>0</v>
      </c>
      <c r="Q437" s="7">
        <f t="shared" si="68"/>
        <v>708049.95</v>
      </c>
      <c r="R437" s="44" t="str">
        <f>VLOOKUP(F437,'Set up'!$A$2:$E$70,5,FALSE)</f>
        <v>Trsf</v>
      </c>
      <c r="S437" s="1" t="s">
        <v>516</v>
      </c>
    </row>
    <row r="438" spans="1:19" x14ac:dyDescent="0.35">
      <c r="A438" s="4">
        <v>44526</v>
      </c>
      <c r="B438" s="5">
        <f t="shared" si="63"/>
        <v>11</v>
      </c>
      <c r="C438" s="5">
        <f t="shared" si="64"/>
        <v>2021</v>
      </c>
      <c r="D438" s="5" t="s">
        <v>481</v>
      </c>
      <c r="E438" s="5" t="str">
        <f>VLOOKUP(F438,'Set up'!$A$2:$C$70,2,FALSE)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up'!$A$2:$C$70,3,FALSE)</f>
        <v>Cash</v>
      </c>
      <c r="J438" s="5">
        <f>VLOOKUP(F438,'Set up'!$A$2:$D$70,4,FALSE)</f>
        <v>0</v>
      </c>
      <c r="K438" s="4">
        <f t="shared" si="65"/>
        <v>44526</v>
      </c>
      <c r="L438" s="5">
        <f t="shared" si="66"/>
        <v>11</v>
      </c>
      <c r="M438" s="5">
        <f t="shared" si="67"/>
        <v>2021</v>
      </c>
      <c r="N438" s="6">
        <v>100</v>
      </c>
      <c r="O438" s="6">
        <f t="shared" si="72"/>
        <v>-100</v>
      </c>
      <c r="P438" s="6">
        <f t="shared" si="70"/>
        <v>0</v>
      </c>
      <c r="Q438" s="7">
        <f t="shared" si="68"/>
        <v>708149.95</v>
      </c>
      <c r="R438" s="44" t="str">
        <f>VLOOKUP(F438,'Set up'!$A$2:$E$70,5,FALSE)</f>
        <v>Trsf</v>
      </c>
      <c r="S438" s="1" t="s">
        <v>516</v>
      </c>
    </row>
    <row r="439" spans="1:19" x14ac:dyDescent="0.35">
      <c r="A439" s="4">
        <v>44526</v>
      </c>
      <c r="B439" s="5">
        <f t="shared" si="63"/>
        <v>11</v>
      </c>
      <c r="C439" s="5">
        <f t="shared" si="64"/>
        <v>2021</v>
      </c>
      <c r="D439" s="5" t="s">
        <v>482</v>
      </c>
      <c r="E439" s="5" t="str">
        <f>VLOOKUP(F439,'Set up'!$A$2:$C$70,2,FALSE)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up'!$A$2:$C$70,3,FALSE)</f>
        <v>Cash</v>
      </c>
      <c r="J439" s="5">
        <f>VLOOKUP(F439,'Set up'!$A$2:$D$70,4,FALSE)</f>
        <v>0</v>
      </c>
      <c r="K439" s="4">
        <f t="shared" si="65"/>
        <v>44526</v>
      </c>
      <c r="L439" s="5">
        <f t="shared" si="66"/>
        <v>11</v>
      </c>
      <c r="M439" s="5">
        <f t="shared" si="67"/>
        <v>2021</v>
      </c>
      <c r="N439" s="6">
        <v>2024</v>
      </c>
      <c r="O439" s="6">
        <f t="shared" si="72"/>
        <v>-2024</v>
      </c>
      <c r="P439" s="6">
        <f t="shared" si="70"/>
        <v>0</v>
      </c>
      <c r="Q439" s="7">
        <f t="shared" si="68"/>
        <v>710173.95</v>
      </c>
      <c r="R439" s="44" t="str">
        <f>VLOOKUP(F439,'Set up'!$A$2:$E$70,5,FALSE)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63"/>
        <v>11</v>
      </c>
      <c r="C440" s="5">
        <f t="shared" si="64"/>
        <v>2021</v>
      </c>
      <c r="D440" s="5" t="s">
        <v>484</v>
      </c>
      <c r="E440" s="5" t="str">
        <f>VLOOKUP(F440,'Set up'!$A$2:$C$70,2,FALSE)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up'!$A$2:$C$70,3,FALSE)</f>
        <v>Cash</v>
      </c>
      <c r="J440" s="5">
        <f>VLOOKUP(F440,'Set up'!$A$2:$D$70,4,FALSE)</f>
        <v>0</v>
      </c>
      <c r="K440" s="4">
        <f t="shared" si="65"/>
        <v>44529</v>
      </c>
      <c r="L440" s="5">
        <f t="shared" si="66"/>
        <v>11</v>
      </c>
      <c r="M440" s="5">
        <f t="shared" si="67"/>
        <v>2021</v>
      </c>
      <c r="N440" s="6">
        <v>2090</v>
      </c>
      <c r="O440" s="6">
        <f t="shared" si="72"/>
        <v>-2090</v>
      </c>
      <c r="P440" s="6">
        <f t="shared" si="70"/>
        <v>0</v>
      </c>
      <c r="Q440" s="7">
        <f t="shared" si="68"/>
        <v>712263.95</v>
      </c>
      <c r="R440" s="44" t="str">
        <f>VLOOKUP(F440,'Set up'!$A$2:$E$70,5,FALSE)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63"/>
        <v>11</v>
      </c>
      <c r="C441" s="5">
        <f t="shared" si="64"/>
        <v>2021</v>
      </c>
      <c r="D441" s="5" t="s">
        <v>484</v>
      </c>
      <c r="E441" s="5" t="str">
        <f>VLOOKUP(F441,'Set up'!$A$2:$C$70,2,FALSE)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up'!$A$2:$C$70,3,FALSE)</f>
        <v>Cash</v>
      </c>
      <c r="J441" s="5">
        <f>VLOOKUP(F441,'Set up'!$A$2:$D$70,4,FALSE)</f>
        <v>0</v>
      </c>
      <c r="K441" s="4">
        <f t="shared" si="65"/>
        <v>44529</v>
      </c>
      <c r="L441" s="5">
        <f t="shared" si="66"/>
        <v>11</v>
      </c>
      <c r="M441" s="5">
        <f t="shared" si="67"/>
        <v>2021</v>
      </c>
      <c r="N441" s="6">
        <v>1406</v>
      </c>
      <c r="O441" s="6">
        <f t="shared" si="72"/>
        <v>-1406</v>
      </c>
      <c r="P441" s="6">
        <f t="shared" si="70"/>
        <v>0</v>
      </c>
      <c r="Q441" s="7">
        <f t="shared" si="68"/>
        <v>713669.95</v>
      </c>
      <c r="R441" s="44" t="str">
        <f>VLOOKUP(F441,'Set up'!$A$2:$E$70,5,FALSE)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63"/>
        <v>12</v>
      </c>
      <c r="C442" s="5">
        <f t="shared" si="64"/>
        <v>2021</v>
      </c>
      <c r="D442" s="5" t="s">
        <v>501</v>
      </c>
      <c r="E442" s="5" t="str">
        <f>VLOOKUP(F442,'Set up'!$A$2:$C$70,2,FALSE)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up'!$A$2:$C$70,3,FALSE)</f>
        <v>Cash</v>
      </c>
      <c r="J442" s="5">
        <f>VLOOKUP(F442,'Set up'!$A$2:$D$70,4,FALSE)</f>
        <v>0</v>
      </c>
      <c r="K442" s="4">
        <f t="shared" si="65"/>
        <v>44537</v>
      </c>
      <c r="L442" s="5">
        <f t="shared" si="66"/>
        <v>12</v>
      </c>
      <c r="M442" s="5">
        <f t="shared" si="67"/>
        <v>2021</v>
      </c>
      <c r="N442" s="6">
        <v>6138</v>
      </c>
      <c r="O442" s="6">
        <f t="shared" si="72"/>
        <v>-6138</v>
      </c>
      <c r="P442" s="6">
        <f t="shared" si="70"/>
        <v>0</v>
      </c>
      <c r="Q442" s="7">
        <f t="shared" si="68"/>
        <v>719807.95</v>
      </c>
      <c r="R442" s="44" t="str">
        <f>VLOOKUP(F442,'Set up'!$A$2:$E$70,5,FALSE)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63"/>
        <v>12</v>
      </c>
      <c r="C443" s="5">
        <f t="shared" si="64"/>
        <v>2021</v>
      </c>
      <c r="D443" s="5" t="s">
        <v>501</v>
      </c>
      <c r="E443" s="5" t="str">
        <f>VLOOKUP(F443,'Set up'!$A$2:$C$70,2,FALSE)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up'!$A$2:$C$70,3,FALSE)</f>
        <v>Cash</v>
      </c>
      <c r="J443" s="5">
        <f>VLOOKUP(F443,'Set up'!$A$2:$D$70,4,FALSE)</f>
        <v>0</v>
      </c>
      <c r="K443" s="4">
        <f t="shared" si="65"/>
        <v>44537</v>
      </c>
      <c r="L443" s="5">
        <f t="shared" si="66"/>
        <v>12</v>
      </c>
      <c r="M443" s="5">
        <f t="shared" si="67"/>
        <v>2021</v>
      </c>
      <c r="N443" s="6">
        <v>3263.4</v>
      </c>
      <c r="O443" s="6">
        <f t="shared" si="72"/>
        <v>-3263.4</v>
      </c>
      <c r="P443" s="6">
        <f t="shared" si="70"/>
        <v>0</v>
      </c>
      <c r="Q443" s="7">
        <f t="shared" si="68"/>
        <v>723071.35</v>
      </c>
      <c r="R443" s="44" t="str">
        <f>VLOOKUP(F443,'Set up'!$A$2:$E$70,5,FALSE)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63"/>
        <v>12</v>
      </c>
      <c r="C444" s="5">
        <f t="shared" si="64"/>
        <v>2021</v>
      </c>
      <c r="D444" s="5" t="s">
        <v>501</v>
      </c>
      <c r="E444" s="5" t="str">
        <f>VLOOKUP(F444,'Set up'!$A$2:$C$70,2,FALSE)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up'!$A$2:$C$70,3,FALSE)</f>
        <v>Cash</v>
      </c>
      <c r="J444" s="5">
        <f>VLOOKUP(F444,'Set up'!$A$2:$D$70,4,FALSE)</f>
        <v>0</v>
      </c>
      <c r="K444" s="4">
        <f t="shared" si="65"/>
        <v>44537</v>
      </c>
      <c r="L444" s="5">
        <f t="shared" si="66"/>
        <v>12</v>
      </c>
      <c r="M444" s="5">
        <f t="shared" si="67"/>
        <v>2021</v>
      </c>
      <c r="N444" s="6">
        <v>2430</v>
      </c>
      <c r="O444" s="6">
        <f t="shared" si="72"/>
        <v>-2430</v>
      </c>
      <c r="P444" s="6">
        <f t="shared" si="70"/>
        <v>0</v>
      </c>
      <c r="Q444" s="7">
        <f t="shared" si="68"/>
        <v>725501.35</v>
      </c>
      <c r="R444" s="44" t="str">
        <f>VLOOKUP(F444,'Set up'!$A$2:$E$70,5,FALSE)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63"/>
        <v>12</v>
      </c>
      <c r="C445" s="5">
        <f t="shared" si="64"/>
        <v>2021</v>
      </c>
      <c r="D445" s="5" t="s">
        <v>501</v>
      </c>
      <c r="E445" s="5" t="str">
        <f>VLOOKUP(F445,'Set up'!$A$2:$C$70,2,FALSE)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up'!$A$2:$C$70,3,FALSE)</f>
        <v>Cash</v>
      </c>
      <c r="J445" s="5">
        <f>VLOOKUP(F445,'Set up'!$A$2:$D$70,4,FALSE)</f>
        <v>0</v>
      </c>
      <c r="K445" s="4">
        <f t="shared" si="65"/>
        <v>44537</v>
      </c>
      <c r="L445" s="5">
        <f t="shared" si="66"/>
        <v>12</v>
      </c>
      <c r="M445" s="5">
        <f t="shared" si="67"/>
        <v>2021</v>
      </c>
      <c r="N445" s="6">
        <v>187.5</v>
      </c>
      <c r="O445" s="6">
        <f t="shared" si="72"/>
        <v>-187.5</v>
      </c>
      <c r="P445" s="6">
        <f t="shared" si="70"/>
        <v>0</v>
      </c>
      <c r="Q445" s="7">
        <f t="shared" si="68"/>
        <v>725688.85</v>
      </c>
      <c r="R445" s="44" t="str">
        <f>VLOOKUP(F445,'Set up'!$A$2:$E$70,5,FALSE)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63"/>
        <v>12</v>
      </c>
      <c r="C446" s="5">
        <f t="shared" si="64"/>
        <v>2021</v>
      </c>
      <c r="D446" s="5" t="s">
        <v>501</v>
      </c>
      <c r="E446" s="5" t="str">
        <f>VLOOKUP(F446,'Set up'!$A$2:$C$70,2,FALSE)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up'!$A$2:$C$70,3,FALSE)</f>
        <v>Cash</v>
      </c>
      <c r="J446" s="5">
        <f>VLOOKUP(F446,'Set up'!$A$2:$D$70,4,FALSE)</f>
        <v>0</v>
      </c>
      <c r="K446" s="4">
        <f t="shared" si="65"/>
        <v>44537</v>
      </c>
      <c r="L446" s="5">
        <f t="shared" si="66"/>
        <v>12</v>
      </c>
      <c r="M446" s="5">
        <f t="shared" si="67"/>
        <v>2021</v>
      </c>
      <c r="N446" s="6">
        <v>170</v>
      </c>
      <c r="O446" s="6">
        <f t="shared" si="72"/>
        <v>-170</v>
      </c>
      <c r="P446" s="6">
        <f t="shared" si="70"/>
        <v>0</v>
      </c>
      <c r="Q446" s="7">
        <f t="shared" si="68"/>
        <v>725858.85</v>
      </c>
      <c r="R446" s="44" t="str">
        <f>VLOOKUP(F446,'Set up'!$A$2:$E$70,5,FALSE)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63"/>
        <v>12</v>
      </c>
      <c r="C447" s="5">
        <f t="shared" si="64"/>
        <v>2021</v>
      </c>
      <c r="D447" s="5" t="s">
        <v>502</v>
      </c>
      <c r="E447" s="5" t="str">
        <f>VLOOKUP(F447,'Set up'!$A$2:$C$70,2,FALSE)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up'!$A$2:$C$70,3,FALSE)</f>
        <v>Cash</v>
      </c>
      <c r="J447" s="5">
        <f>VLOOKUP(F447,'Set up'!$A$2:$D$70,4,FALSE)</f>
        <v>0</v>
      </c>
      <c r="K447" s="4">
        <f t="shared" si="65"/>
        <v>44540</v>
      </c>
      <c r="L447" s="5">
        <f t="shared" si="66"/>
        <v>12</v>
      </c>
      <c r="M447" s="5">
        <f t="shared" si="67"/>
        <v>2021</v>
      </c>
      <c r="N447" s="6">
        <v>2112</v>
      </c>
      <c r="O447" s="6">
        <f t="shared" si="72"/>
        <v>-2112</v>
      </c>
      <c r="P447" s="6">
        <f t="shared" si="70"/>
        <v>0</v>
      </c>
      <c r="Q447" s="7">
        <f t="shared" si="68"/>
        <v>727970.85</v>
      </c>
      <c r="R447" s="44" t="str">
        <f>VLOOKUP(F447,'Set up'!$A$2:$E$70,5,FALSE)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63"/>
        <v>12</v>
      </c>
      <c r="C448" s="5">
        <f t="shared" si="64"/>
        <v>2021</v>
      </c>
      <c r="D448" s="5" t="s">
        <v>502</v>
      </c>
      <c r="E448" s="5" t="str">
        <f>VLOOKUP(F448,'Set up'!$A$2:$C$70,2,FALSE)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up'!$A$2:$C$70,3,FALSE)</f>
        <v>Cash</v>
      </c>
      <c r="J448" s="5">
        <f>VLOOKUP(F448,'Set up'!$A$2:$D$70,4,FALSE)</f>
        <v>0</v>
      </c>
      <c r="K448" s="4">
        <f t="shared" si="65"/>
        <v>44540</v>
      </c>
      <c r="L448" s="5">
        <f t="shared" si="66"/>
        <v>12</v>
      </c>
      <c r="M448" s="5">
        <f t="shared" si="67"/>
        <v>2021</v>
      </c>
      <c r="N448" s="6">
        <v>60</v>
      </c>
      <c r="O448" s="6">
        <f t="shared" si="72"/>
        <v>-60</v>
      </c>
      <c r="P448" s="6">
        <f t="shared" si="70"/>
        <v>0</v>
      </c>
      <c r="Q448" s="7">
        <f t="shared" si="68"/>
        <v>728030.85</v>
      </c>
      <c r="R448" s="44" t="str">
        <f>VLOOKUP(F448,'Set up'!$A$2:$E$70,5,FALSE)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63"/>
        <v>12</v>
      </c>
      <c r="C449" s="5">
        <f t="shared" si="64"/>
        <v>2021</v>
      </c>
      <c r="D449" s="5" t="s">
        <v>502</v>
      </c>
      <c r="E449" s="5" t="str">
        <f>VLOOKUP(F449,'Set up'!$A$2:$C$70,2,FALSE)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up'!$A$2:$C$70,3,FALSE)</f>
        <v>Cash</v>
      </c>
      <c r="J449" s="5">
        <f>VLOOKUP(F449,'Set up'!$A$2:$D$70,4,FALSE)</f>
        <v>0</v>
      </c>
      <c r="K449" s="4">
        <f t="shared" si="65"/>
        <v>44540</v>
      </c>
      <c r="L449" s="5">
        <f t="shared" si="66"/>
        <v>12</v>
      </c>
      <c r="M449" s="5">
        <f t="shared" si="67"/>
        <v>2021</v>
      </c>
      <c r="N449" s="6">
        <v>270</v>
      </c>
      <c r="O449" s="6">
        <f t="shared" si="72"/>
        <v>-270</v>
      </c>
      <c r="P449" s="6">
        <f t="shared" si="70"/>
        <v>0</v>
      </c>
      <c r="Q449" s="7">
        <f t="shared" si="68"/>
        <v>728300.85</v>
      </c>
      <c r="R449" s="44" t="str">
        <f>VLOOKUP(F449,'Set up'!$A$2:$E$70,5,FALSE)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63"/>
        <v>12</v>
      </c>
      <c r="C450" s="5">
        <f t="shared" si="64"/>
        <v>2021</v>
      </c>
      <c r="D450" s="5" t="s">
        <v>502</v>
      </c>
      <c r="E450" s="5" t="str">
        <f>VLOOKUP(F450,'Set up'!$A$2:$C$70,2,FALSE)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up'!$A$2:$C$70,3,FALSE)</f>
        <v>Cash</v>
      </c>
      <c r="J450" s="5">
        <f>VLOOKUP(F450,'Set up'!$A$2:$D$70,4,FALSE)</f>
        <v>0</v>
      </c>
      <c r="K450" s="4">
        <f t="shared" si="65"/>
        <v>44540</v>
      </c>
      <c r="L450" s="5">
        <f t="shared" si="66"/>
        <v>12</v>
      </c>
      <c r="M450" s="5">
        <f t="shared" si="67"/>
        <v>2021</v>
      </c>
      <c r="N450" s="6">
        <v>320</v>
      </c>
      <c r="O450" s="6">
        <f t="shared" si="72"/>
        <v>-320</v>
      </c>
      <c r="P450" s="6">
        <f t="shared" si="70"/>
        <v>0</v>
      </c>
      <c r="Q450" s="7">
        <f t="shared" si="68"/>
        <v>728620.85</v>
      </c>
      <c r="R450" s="44" t="str">
        <f>VLOOKUP(F450,'Set up'!$A$2:$E$70,5,FALSE)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ref="B451:B514" si="73">MONTH(A451)</f>
        <v>12</v>
      </c>
      <c r="C451" s="5">
        <f t="shared" ref="C451:C514" si="74">YEAR(A451)</f>
        <v>2021</v>
      </c>
      <c r="D451" s="5" t="s">
        <v>502</v>
      </c>
      <c r="E451" s="5" t="str">
        <f>VLOOKUP(F451,'Set up'!$A$2:$C$70,2,FALSE)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up'!$A$2:$C$70,3,FALSE)</f>
        <v>Cash</v>
      </c>
      <c r="J451" s="5">
        <f>VLOOKUP(F451,'Set up'!$A$2:$D$70,4,FALSE)</f>
        <v>0</v>
      </c>
      <c r="K451" s="4">
        <f t="shared" ref="K451:K514" si="75">A451+J451</f>
        <v>44540</v>
      </c>
      <c r="L451" s="5">
        <f t="shared" ref="L451:L514" si="76">MONTH(K451)</f>
        <v>12</v>
      </c>
      <c r="M451" s="5">
        <f t="shared" ref="M451:M514" si="77">YEAR(K451)</f>
        <v>2021</v>
      </c>
      <c r="N451" s="6">
        <v>390</v>
      </c>
      <c r="O451" s="6">
        <f t="shared" si="72"/>
        <v>-390</v>
      </c>
      <c r="P451" s="6">
        <f t="shared" si="70"/>
        <v>0</v>
      </c>
      <c r="Q451" s="7">
        <f t="shared" ref="Q451:Q514" si="78">SUM(Q450+N451)</f>
        <v>729010.85</v>
      </c>
      <c r="R451" s="44" t="str">
        <f>VLOOKUP(F451,'Set up'!$A$2:$E$70,5,FALSE)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3"/>
        <v>12</v>
      </c>
      <c r="C452" s="5">
        <f t="shared" si="74"/>
        <v>2021</v>
      </c>
      <c r="D452" s="5" t="s">
        <v>502</v>
      </c>
      <c r="E452" s="5" t="str">
        <f>VLOOKUP(F452,'Set up'!$A$2:$C$70,2,FALSE)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up'!$A$2:$C$70,3,FALSE)</f>
        <v>Cash</v>
      </c>
      <c r="J452" s="5">
        <f>VLOOKUP(F452,'Set up'!$A$2:$D$70,4,FALSE)</f>
        <v>0</v>
      </c>
      <c r="K452" s="4">
        <f t="shared" si="75"/>
        <v>44540</v>
      </c>
      <c r="L452" s="5">
        <f t="shared" si="76"/>
        <v>12</v>
      </c>
      <c r="M452" s="5">
        <f t="shared" si="77"/>
        <v>2021</v>
      </c>
      <c r="N452" s="6">
        <v>170</v>
      </c>
      <c r="O452" s="6">
        <f t="shared" si="72"/>
        <v>-170</v>
      </c>
      <c r="P452" s="6">
        <f t="shared" si="70"/>
        <v>0</v>
      </c>
      <c r="Q452" s="7">
        <f t="shared" si="78"/>
        <v>729180.85</v>
      </c>
      <c r="R452" s="44" t="str">
        <f>VLOOKUP(F452,'Set up'!$A$2:$E$70,5,FALSE)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3"/>
        <v>12</v>
      </c>
      <c r="C453" s="5">
        <f t="shared" si="74"/>
        <v>2021</v>
      </c>
      <c r="D453" s="5" t="s">
        <v>502</v>
      </c>
      <c r="E453" s="5" t="str">
        <f>VLOOKUP(F453,'Set up'!$A$2:$C$70,2,FALSE)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up'!$A$2:$C$70,3,FALSE)</f>
        <v>Cash</v>
      </c>
      <c r="J453" s="5">
        <f>VLOOKUP(F453,'Set up'!$A$2:$D$70,4,FALSE)</f>
        <v>0</v>
      </c>
      <c r="K453" s="4">
        <f t="shared" si="75"/>
        <v>44540</v>
      </c>
      <c r="L453" s="5">
        <f t="shared" si="76"/>
        <v>12</v>
      </c>
      <c r="M453" s="5">
        <f t="shared" si="77"/>
        <v>2021</v>
      </c>
      <c r="N453" s="6">
        <v>45</v>
      </c>
      <c r="O453" s="6">
        <f t="shared" si="72"/>
        <v>-45</v>
      </c>
      <c r="P453" s="6">
        <f t="shared" si="70"/>
        <v>0</v>
      </c>
      <c r="Q453" s="7">
        <f t="shared" si="78"/>
        <v>729225.85</v>
      </c>
      <c r="R453" s="44" t="str">
        <f>VLOOKUP(F453,'Set up'!$A$2:$E$70,5,FALSE)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3"/>
        <v>12</v>
      </c>
      <c r="C454" s="5">
        <f t="shared" si="74"/>
        <v>2021</v>
      </c>
      <c r="D454" s="5" t="s">
        <v>502</v>
      </c>
      <c r="E454" s="5" t="str">
        <f>VLOOKUP(F454,'Set up'!$A$2:$C$70,2,FALSE)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up'!$A$2:$C$70,3,FALSE)</f>
        <v>Cash</v>
      </c>
      <c r="J454" s="5">
        <f>VLOOKUP(F454,'Set up'!$A$2:$D$70,4,FALSE)</f>
        <v>0</v>
      </c>
      <c r="K454" s="4">
        <f t="shared" si="75"/>
        <v>44540</v>
      </c>
      <c r="L454" s="5">
        <f t="shared" si="76"/>
        <v>12</v>
      </c>
      <c r="M454" s="5">
        <f t="shared" si="77"/>
        <v>2021</v>
      </c>
      <c r="N454" s="6">
        <v>529.20000000000005</v>
      </c>
      <c r="O454" s="6">
        <f t="shared" si="72"/>
        <v>-529.20000000000005</v>
      </c>
      <c r="P454" s="6">
        <f t="shared" si="70"/>
        <v>0</v>
      </c>
      <c r="Q454" s="7">
        <f t="shared" si="78"/>
        <v>729755.04999999993</v>
      </c>
      <c r="R454" s="44" t="str">
        <f>VLOOKUP(F454,'Set up'!$A$2:$E$70,5,FALSE)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3"/>
        <v>12</v>
      </c>
      <c r="C455" s="5">
        <f t="shared" si="74"/>
        <v>2021</v>
      </c>
      <c r="D455" s="5" t="s">
        <v>502</v>
      </c>
      <c r="E455" s="5" t="str">
        <f>VLOOKUP(F455,'Set up'!$A$2:$C$70,2,FALSE)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up'!$A$2:$C$70,3,FALSE)</f>
        <v>Cash</v>
      </c>
      <c r="J455" s="5">
        <f>VLOOKUP(F455,'Set up'!$A$2:$D$70,4,FALSE)</f>
        <v>0</v>
      </c>
      <c r="K455" s="4">
        <f t="shared" si="75"/>
        <v>44540</v>
      </c>
      <c r="L455" s="5">
        <f t="shared" si="76"/>
        <v>12</v>
      </c>
      <c r="M455" s="5">
        <f t="shared" si="77"/>
        <v>2021</v>
      </c>
      <c r="N455" s="6">
        <v>529.20000000000005</v>
      </c>
      <c r="O455" s="6">
        <f t="shared" si="72"/>
        <v>-529.20000000000005</v>
      </c>
      <c r="P455" s="6">
        <f t="shared" si="70"/>
        <v>0</v>
      </c>
      <c r="Q455" s="7">
        <f t="shared" si="78"/>
        <v>730284.24999999988</v>
      </c>
      <c r="R455" s="44" t="str">
        <f>VLOOKUP(F455,'Set up'!$A$2:$E$70,5,FALSE)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3"/>
        <v>12</v>
      </c>
      <c r="C456" s="5">
        <f t="shared" si="74"/>
        <v>2021</v>
      </c>
      <c r="D456" s="5" t="s">
        <v>502</v>
      </c>
      <c r="E456" s="5" t="str">
        <f>VLOOKUP(F456,'Set up'!$A$2:$C$70,2,FALSE)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up'!$A$2:$C$70,3,FALSE)</f>
        <v>Cash</v>
      </c>
      <c r="J456" s="5">
        <f>VLOOKUP(F456,'Set up'!$A$2:$D$70,4,FALSE)</f>
        <v>0</v>
      </c>
      <c r="K456" s="4">
        <f t="shared" si="75"/>
        <v>44540</v>
      </c>
      <c r="L456" s="5">
        <f t="shared" si="76"/>
        <v>12</v>
      </c>
      <c r="M456" s="5">
        <f t="shared" si="77"/>
        <v>2021</v>
      </c>
      <c r="N456" s="6">
        <v>750</v>
      </c>
      <c r="O456" s="6">
        <f t="shared" si="72"/>
        <v>-750</v>
      </c>
      <c r="P456" s="6">
        <f t="shared" si="70"/>
        <v>0</v>
      </c>
      <c r="Q456" s="7">
        <f t="shared" si="78"/>
        <v>731034.24999999988</v>
      </c>
      <c r="R456" s="44" t="str">
        <f>VLOOKUP(F456,'Set up'!$A$2:$E$70,5,FALSE)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3"/>
        <v>12</v>
      </c>
      <c r="C457" s="5">
        <f t="shared" si="74"/>
        <v>2021</v>
      </c>
      <c r="D457" s="5" t="s">
        <v>504</v>
      </c>
      <c r="E457" s="5" t="str">
        <f>VLOOKUP(F457,'Set up'!$A$2:$C$70,2,FALSE)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up'!$A$2:$C$70,3,FALSE)</f>
        <v>Cash</v>
      </c>
      <c r="J457" s="5">
        <f>VLOOKUP(F457,'Set up'!$A$2:$D$70,4,FALSE)</f>
        <v>0</v>
      </c>
      <c r="K457" s="4">
        <f t="shared" si="75"/>
        <v>44540</v>
      </c>
      <c r="L457" s="5">
        <f t="shared" si="76"/>
        <v>12</v>
      </c>
      <c r="M457" s="5">
        <f t="shared" si="77"/>
        <v>2021</v>
      </c>
      <c r="N457" s="6">
        <v>10462.5</v>
      </c>
      <c r="O457" s="6">
        <f>-332.3-5000-5000-130.2</f>
        <v>-10462.5</v>
      </c>
      <c r="P457" s="6">
        <f t="shared" si="70"/>
        <v>0</v>
      </c>
      <c r="Q457" s="7">
        <f t="shared" si="78"/>
        <v>741496.74999999988</v>
      </c>
      <c r="R457" s="44" t="str">
        <f>VLOOKUP(F457,'Set up'!$A$2:$E$70,5,FALSE)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3"/>
        <v>12</v>
      </c>
      <c r="C458" s="5">
        <f t="shared" si="74"/>
        <v>2021</v>
      </c>
      <c r="D458" s="5" t="s">
        <v>504</v>
      </c>
      <c r="E458" s="5" t="str">
        <f>VLOOKUP(F458,'Set up'!$A$2:$C$70,2,FALSE)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up'!$A$2:$C$70,3,FALSE)</f>
        <v>Cash</v>
      </c>
      <c r="J458" s="5">
        <f>VLOOKUP(F458,'Set up'!$A$2:$D$70,4,FALSE)</f>
        <v>0</v>
      </c>
      <c r="K458" s="4">
        <f t="shared" si="75"/>
        <v>44540</v>
      </c>
      <c r="L458" s="5">
        <f t="shared" si="76"/>
        <v>12</v>
      </c>
      <c r="M458" s="5">
        <f t="shared" si="77"/>
        <v>2021</v>
      </c>
      <c r="N458" s="6">
        <v>3420</v>
      </c>
      <c r="O458" s="6">
        <f>-2769.8-650.2</f>
        <v>-3420</v>
      </c>
      <c r="P458" s="6">
        <f t="shared" si="70"/>
        <v>0</v>
      </c>
      <c r="Q458" s="7">
        <f t="shared" si="78"/>
        <v>744916.74999999988</v>
      </c>
      <c r="R458" s="44" t="str">
        <f>VLOOKUP(F458,'Set up'!$A$2:$E$70,5,FALSE)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3"/>
        <v>12</v>
      </c>
      <c r="C459" s="5">
        <f t="shared" si="74"/>
        <v>2021</v>
      </c>
      <c r="D459" s="5" t="s">
        <v>504</v>
      </c>
      <c r="E459" s="5" t="str">
        <f>VLOOKUP(F459,'Set up'!$A$2:$C$70,2,FALSE)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up'!$A$2:$C$70,3,FALSE)</f>
        <v>Cash</v>
      </c>
      <c r="J459" s="5">
        <f>VLOOKUP(F459,'Set up'!$A$2:$D$70,4,FALSE)</f>
        <v>0</v>
      </c>
      <c r="K459" s="4">
        <f t="shared" si="75"/>
        <v>44540</v>
      </c>
      <c r="L459" s="5">
        <f t="shared" si="76"/>
        <v>12</v>
      </c>
      <c r="M459" s="5">
        <f t="shared" si="77"/>
        <v>2021</v>
      </c>
      <c r="N459" s="6">
        <v>2835</v>
      </c>
      <c r="O459" s="6">
        <f t="shared" ref="O459:O473" si="79">-N459</f>
        <v>-2835</v>
      </c>
      <c r="P459" s="6">
        <f t="shared" si="70"/>
        <v>0</v>
      </c>
      <c r="Q459" s="7">
        <f t="shared" si="78"/>
        <v>747751.74999999988</v>
      </c>
      <c r="R459" s="44" t="str">
        <f>VLOOKUP(F459,'Set up'!$A$2:$E$70,5,FALSE)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3"/>
        <v>12</v>
      </c>
      <c r="C460" s="5">
        <f t="shared" si="74"/>
        <v>2021</v>
      </c>
      <c r="D460" s="5" t="s">
        <v>504</v>
      </c>
      <c r="E460" s="5" t="str">
        <f>VLOOKUP(F460,'Set up'!$A$2:$C$70,2,FALSE)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up'!$A$2:$C$70,3,FALSE)</f>
        <v>Cash</v>
      </c>
      <c r="J460" s="5">
        <f>VLOOKUP(F460,'Set up'!$A$2:$D$70,4,FALSE)</f>
        <v>0</v>
      </c>
      <c r="K460" s="4">
        <f t="shared" si="75"/>
        <v>44540</v>
      </c>
      <c r="L460" s="5">
        <f t="shared" si="76"/>
        <v>12</v>
      </c>
      <c r="M460" s="5">
        <f t="shared" si="77"/>
        <v>2021</v>
      </c>
      <c r="N460" s="6">
        <v>312.5</v>
      </c>
      <c r="O460" s="6">
        <f t="shared" si="79"/>
        <v>-312.5</v>
      </c>
      <c r="P460" s="6">
        <f t="shared" si="70"/>
        <v>0</v>
      </c>
      <c r="Q460" s="7">
        <f t="shared" si="78"/>
        <v>748064.24999999988</v>
      </c>
      <c r="R460" s="44" t="str">
        <f>VLOOKUP(F460,'Set up'!$A$2:$E$70,5,FALSE)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3"/>
        <v>12</v>
      </c>
      <c r="C461" s="5">
        <f t="shared" si="74"/>
        <v>2021</v>
      </c>
      <c r="D461" s="5" t="s">
        <v>504</v>
      </c>
      <c r="E461" s="5" t="str">
        <f>VLOOKUP(F461,'Set up'!$A$2:$C$70,2,FALSE)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up'!$A$2:$C$70,3,FALSE)</f>
        <v>Cash</v>
      </c>
      <c r="J461" s="5">
        <f>VLOOKUP(F461,'Set up'!$A$2:$D$70,4,FALSE)</f>
        <v>0</v>
      </c>
      <c r="K461" s="4">
        <f t="shared" si="75"/>
        <v>44540</v>
      </c>
      <c r="L461" s="5">
        <f t="shared" si="76"/>
        <v>12</v>
      </c>
      <c r="M461" s="5">
        <f t="shared" si="77"/>
        <v>2021</v>
      </c>
      <c r="N461" s="6">
        <v>1000</v>
      </c>
      <c r="O461" s="6">
        <f t="shared" si="79"/>
        <v>-1000</v>
      </c>
      <c r="P461" s="6">
        <f t="shared" si="70"/>
        <v>0</v>
      </c>
      <c r="Q461" s="7">
        <f t="shared" si="78"/>
        <v>749064.24999999988</v>
      </c>
      <c r="R461" s="44" t="str">
        <f>VLOOKUP(F461,'Set up'!$A$2:$E$70,5,FALSE)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3"/>
        <v>12</v>
      </c>
      <c r="C462" s="5">
        <f t="shared" si="74"/>
        <v>2021</v>
      </c>
      <c r="D462" s="5" t="s">
        <v>504</v>
      </c>
      <c r="E462" s="5" t="str">
        <f>VLOOKUP(F462,'Set up'!$A$2:$C$70,2,FALSE)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up'!$A$2:$C$70,3,FALSE)</f>
        <v>Cash</v>
      </c>
      <c r="J462" s="5">
        <f>VLOOKUP(F462,'Set up'!$A$2:$D$70,4,FALSE)</f>
        <v>0</v>
      </c>
      <c r="K462" s="4">
        <f t="shared" si="75"/>
        <v>44540</v>
      </c>
      <c r="L462" s="5">
        <f t="shared" si="76"/>
        <v>12</v>
      </c>
      <c r="M462" s="5">
        <f t="shared" si="77"/>
        <v>2021</v>
      </c>
      <c r="N462" s="6">
        <v>170</v>
      </c>
      <c r="O462" s="6">
        <f t="shared" si="79"/>
        <v>-170</v>
      </c>
      <c r="P462" s="6">
        <f t="shared" si="70"/>
        <v>0</v>
      </c>
      <c r="Q462" s="7">
        <f t="shared" si="78"/>
        <v>749234.24999999988</v>
      </c>
      <c r="R462" s="44" t="str">
        <f>VLOOKUP(F462,'Set up'!$A$2:$E$70,5,FALSE)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3"/>
        <v>12</v>
      </c>
      <c r="C463" s="5">
        <f t="shared" si="74"/>
        <v>2021</v>
      </c>
      <c r="D463" s="5" t="s">
        <v>504</v>
      </c>
      <c r="E463" s="5" t="str">
        <f>VLOOKUP(F463,'Set up'!$A$2:$C$70,2,FALSE)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up'!$A$2:$C$70,3,FALSE)</f>
        <v>Cash</v>
      </c>
      <c r="J463" s="5">
        <f>VLOOKUP(F463,'Set up'!$A$2:$D$70,4,FALSE)</f>
        <v>0</v>
      </c>
      <c r="K463" s="4">
        <f t="shared" si="75"/>
        <v>44540</v>
      </c>
      <c r="L463" s="5">
        <f t="shared" si="76"/>
        <v>12</v>
      </c>
      <c r="M463" s="5">
        <f t="shared" si="77"/>
        <v>2021</v>
      </c>
      <c r="N463" s="6">
        <v>484.5</v>
      </c>
      <c r="O463" s="6">
        <f t="shared" si="79"/>
        <v>-484.5</v>
      </c>
      <c r="P463" s="6">
        <f t="shared" si="70"/>
        <v>0</v>
      </c>
      <c r="Q463" s="7">
        <f t="shared" si="78"/>
        <v>749718.74999999988</v>
      </c>
      <c r="R463" s="44" t="str">
        <f>VLOOKUP(F463,'Set up'!$A$2:$E$70,5,FALSE)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3"/>
        <v>12</v>
      </c>
      <c r="C464" s="5">
        <f t="shared" si="74"/>
        <v>2021</v>
      </c>
      <c r="D464" s="5" t="s">
        <v>507</v>
      </c>
      <c r="E464" s="5" t="str">
        <f>VLOOKUP(F464,'Set up'!$A$2:$C$70,2,FALSE)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up'!$A$2:$C$70,3,FALSE)</f>
        <v>120</v>
      </c>
      <c r="J464" s="5">
        <f>VLOOKUP(F464,'Set up'!$A$2:$D$70,4,FALSE)</f>
        <v>120</v>
      </c>
      <c r="K464" s="4">
        <f t="shared" si="75"/>
        <v>44665</v>
      </c>
      <c r="L464" s="5">
        <f t="shared" si="76"/>
        <v>4</v>
      </c>
      <c r="M464" s="5">
        <f t="shared" si="77"/>
        <v>2022</v>
      </c>
      <c r="N464" s="6">
        <v>12144</v>
      </c>
      <c r="O464" s="6">
        <f t="shared" si="79"/>
        <v>-12144</v>
      </c>
      <c r="P464" s="6">
        <f t="shared" si="70"/>
        <v>0</v>
      </c>
      <c r="Q464" s="7">
        <f t="shared" si="78"/>
        <v>761862.74999999988</v>
      </c>
      <c r="R464" s="44" t="str">
        <f>VLOOKUP(F464,'Set up'!$A$2:$E$70,5,FALSE)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3"/>
        <v>12</v>
      </c>
      <c r="C465" s="5">
        <f t="shared" si="74"/>
        <v>2021</v>
      </c>
      <c r="D465" s="5" t="s">
        <v>508</v>
      </c>
      <c r="E465" s="5" t="str">
        <f>VLOOKUP(F465,'Set up'!$A$2:$C$70,2,FALSE)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up'!$A$2:$C$70,3,FALSE)</f>
        <v>120</v>
      </c>
      <c r="J465" s="5">
        <f>VLOOKUP(F465,'Set up'!$A$2:$D$70,4,FALSE)</f>
        <v>120</v>
      </c>
      <c r="K465" s="4">
        <f t="shared" si="75"/>
        <v>44665</v>
      </c>
      <c r="L465" s="5">
        <f t="shared" si="76"/>
        <v>4</v>
      </c>
      <c r="M465" s="5">
        <f t="shared" si="77"/>
        <v>2022</v>
      </c>
      <c r="N465" s="6">
        <v>10120</v>
      </c>
      <c r="O465" s="6">
        <f t="shared" si="79"/>
        <v>-10120</v>
      </c>
      <c r="P465" s="6">
        <f t="shared" si="70"/>
        <v>0</v>
      </c>
      <c r="Q465" s="7">
        <f t="shared" si="78"/>
        <v>771982.74999999988</v>
      </c>
      <c r="R465" s="44" t="str">
        <f>VLOOKUP(F465,'Set up'!$A$2:$E$70,5,FALSE)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si="73"/>
        <v>12</v>
      </c>
      <c r="C466" s="5">
        <f t="shared" si="74"/>
        <v>2021</v>
      </c>
      <c r="D466" s="5" t="s">
        <v>508</v>
      </c>
      <c r="E466" s="5" t="str">
        <f>VLOOKUP(F466,'Set up'!$A$2:$C$70,2,FALSE)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up'!$A$2:$C$70,3,FALSE)</f>
        <v>120</v>
      </c>
      <c r="J466" s="5">
        <f>VLOOKUP(F466,'Set up'!$A$2:$D$70,4,FALSE)</f>
        <v>120</v>
      </c>
      <c r="K466" s="4">
        <f t="shared" si="75"/>
        <v>44665</v>
      </c>
      <c r="L466" s="5">
        <f t="shared" si="76"/>
        <v>4</v>
      </c>
      <c r="M466" s="5">
        <f t="shared" si="77"/>
        <v>2022</v>
      </c>
      <c r="N466" s="6">
        <v>2024</v>
      </c>
      <c r="O466" s="6">
        <f t="shared" si="79"/>
        <v>-2024</v>
      </c>
      <c r="P466" s="6">
        <f t="shared" si="70"/>
        <v>0</v>
      </c>
      <c r="Q466" s="7">
        <f t="shared" si="78"/>
        <v>774006.74999999988</v>
      </c>
      <c r="R466" s="44" t="str">
        <f>VLOOKUP(F466,'Set up'!$A$2:$E$70,5,FALSE)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73"/>
        <v>12</v>
      </c>
      <c r="C467" s="5">
        <f t="shared" si="74"/>
        <v>2021</v>
      </c>
      <c r="D467" s="5" t="s">
        <v>508</v>
      </c>
      <c r="E467" s="5" t="str">
        <f>VLOOKUP(F467,'Set up'!$A$2:$C$70,2,FALSE)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up'!$A$2:$C$70,3,FALSE)</f>
        <v>120</v>
      </c>
      <c r="J467" s="5">
        <f>VLOOKUP(F467,'Set up'!$A$2:$D$70,4,FALSE)</f>
        <v>120</v>
      </c>
      <c r="K467" s="4">
        <f t="shared" si="75"/>
        <v>44665</v>
      </c>
      <c r="L467" s="5">
        <f t="shared" si="76"/>
        <v>4</v>
      </c>
      <c r="M467" s="5">
        <f t="shared" si="77"/>
        <v>2022</v>
      </c>
      <c r="N467" s="6">
        <v>340</v>
      </c>
      <c r="O467" s="6">
        <f t="shared" si="79"/>
        <v>-340</v>
      </c>
      <c r="P467" s="6">
        <f t="shared" si="70"/>
        <v>0</v>
      </c>
      <c r="Q467" s="7">
        <f t="shared" si="78"/>
        <v>774346.74999999988</v>
      </c>
      <c r="R467" s="44" t="str">
        <f>VLOOKUP(F467,'Set up'!$A$2:$E$70,5,FALSE)</f>
        <v>Chq</v>
      </c>
      <c r="S467" s="1" t="s">
        <v>749</v>
      </c>
    </row>
    <row r="468" spans="1:19" x14ac:dyDescent="0.35">
      <c r="A468" s="4">
        <v>44546</v>
      </c>
      <c r="B468" s="5">
        <f t="shared" si="73"/>
        <v>12</v>
      </c>
      <c r="C468" s="5">
        <f t="shared" si="74"/>
        <v>2021</v>
      </c>
      <c r="D468" s="5" t="s">
        <v>510</v>
      </c>
      <c r="E468" s="5" t="str">
        <f>VLOOKUP(F468,'Set up'!$A$2:$C$70,2,FALSE)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up'!$A$2:$C$70,3,FALSE)</f>
        <v>120</v>
      </c>
      <c r="J468" s="5">
        <f>VLOOKUP(F468,'Set up'!$A$2:$D$70,4,FALSE)</f>
        <v>120</v>
      </c>
      <c r="K468" s="4">
        <f t="shared" si="75"/>
        <v>44666</v>
      </c>
      <c r="L468" s="5">
        <f t="shared" si="76"/>
        <v>4</v>
      </c>
      <c r="M468" s="5">
        <f t="shared" si="77"/>
        <v>2022</v>
      </c>
      <c r="N468" s="6">
        <v>390</v>
      </c>
      <c r="O468" s="6">
        <f t="shared" si="79"/>
        <v>-390</v>
      </c>
      <c r="P468" s="6">
        <f t="shared" si="70"/>
        <v>0</v>
      </c>
      <c r="Q468" s="7">
        <f t="shared" si="78"/>
        <v>774736.74999999988</v>
      </c>
      <c r="R468" s="44" t="str">
        <f>VLOOKUP(F468,'Set up'!$A$2:$E$70,5,FALSE)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73"/>
        <v>12</v>
      </c>
      <c r="C469" s="5">
        <f t="shared" si="74"/>
        <v>2021</v>
      </c>
      <c r="D469" s="5" t="s">
        <v>511</v>
      </c>
      <c r="E469" s="5" t="str">
        <f>VLOOKUP(F469,'Set up'!$A$2:$C$70,2,FALSE)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up'!$A$2:$C$70,3,FALSE)</f>
        <v>Cash</v>
      </c>
      <c r="J469" s="5">
        <f>VLOOKUP(F469,'Set up'!$A$2:$D$70,4,FALSE)</f>
        <v>0</v>
      </c>
      <c r="K469" s="4">
        <f t="shared" si="75"/>
        <v>44550</v>
      </c>
      <c r="L469" s="5">
        <f t="shared" si="76"/>
        <v>12</v>
      </c>
      <c r="M469" s="5">
        <f t="shared" si="77"/>
        <v>2021</v>
      </c>
      <c r="N469" s="6">
        <v>6270</v>
      </c>
      <c r="O469" s="6">
        <f t="shared" si="79"/>
        <v>-6270</v>
      </c>
      <c r="P469" s="6">
        <f t="shared" ref="P469:P532" si="80">SUM(N469+O469)</f>
        <v>0</v>
      </c>
      <c r="Q469" s="7">
        <f t="shared" si="78"/>
        <v>781006.74999999988</v>
      </c>
      <c r="R469" s="44" t="str">
        <f>VLOOKUP(F469,'Set up'!$A$2:$E$70,5,FALSE)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73"/>
        <v>12</v>
      </c>
      <c r="C470" s="5">
        <f t="shared" si="74"/>
        <v>2021</v>
      </c>
      <c r="D470" s="5" t="s">
        <v>511</v>
      </c>
      <c r="E470" s="5" t="str">
        <f>VLOOKUP(F470,'Set up'!$A$2:$C$70,2,FALSE)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up'!$A$2:$C$70,3,FALSE)</f>
        <v>Cash</v>
      </c>
      <c r="J470" s="5">
        <f>VLOOKUP(F470,'Set up'!$A$2:$D$70,4,FALSE)</f>
        <v>0</v>
      </c>
      <c r="K470" s="4">
        <f t="shared" si="75"/>
        <v>44550</v>
      </c>
      <c r="L470" s="5">
        <f t="shared" si="76"/>
        <v>12</v>
      </c>
      <c r="M470" s="5">
        <f t="shared" si="77"/>
        <v>2021</v>
      </c>
      <c r="N470" s="6">
        <v>1000</v>
      </c>
      <c r="O470" s="6">
        <f t="shared" si="79"/>
        <v>-1000</v>
      </c>
      <c r="P470" s="6">
        <f t="shared" si="80"/>
        <v>0</v>
      </c>
      <c r="Q470" s="7">
        <f t="shared" si="78"/>
        <v>782006.74999999988</v>
      </c>
      <c r="R470" s="44" t="str">
        <f>VLOOKUP(F470,'Set up'!$A$2:$E$70,5,FALSE)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73"/>
        <v>12</v>
      </c>
      <c r="C471" s="5">
        <f t="shared" si="74"/>
        <v>2021</v>
      </c>
      <c r="D471" s="5" t="s">
        <v>511</v>
      </c>
      <c r="E471" s="5" t="str">
        <f>VLOOKUP(F471,'Set up'!$A$2:$C$70,2,FALSE)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up'!$A$2:$C$70,3,FALSE)</f>
        <v>Cash</v>
      </c>
      <c r="J471" s="5">
        <f>VLOOKUP(F471,'Set up'!$A$2:$D$70,4,FALSE)</f>
        <v>0</v>
      </c>
      <c r="K471" s="4">
        <f t="shared" si="75"/>
        <v>44550</v>
      </c>
      <c r="L471" s="5">
        <f t="shared" si="76"/>
        <v>12</v>
      </c>
      <c r="M471" s="5">
        <f t="shared" si="77"/>
        <v>2021</v>
      </c>
      <c r="N471" s="6">
        <v>187.5</v>
      </c>
      <c r="O471" s="6">
        <f t="shared" si="79"/>
        <v>-187.5</v>
      </c>
      <c r="P471" s="6">
        <f t="shared" si="80"/>
        <v>0</v>
      </c>
      <c r="Q471" s="7">
        <f t="shared" si="78"/>
        <v>782194.24999999988</v>
      </c>
      <c r="R471" s="44" t="str">
        <f>VLOOKUP(F471,'Set up'!$A$2:$E$70,5,FALSE)</f>
        <v>Trsf</v>
      </c>
      <c r="S471" s="1" t="s">
        <v>674</v>
      </c>
    </row>
    <row r="472" spans="1:19" x14ac:dyDescent="0.35">
      <c r="A472" s="4">
        <v>44551</v>
      </c>
      <c r="B472" s="5">
        <f t="shared" si="73"/>
        <v>12</v>
      </c>
      <c r="C472" s="5">
        <f t="shared" si="74"/>
        <v>2021</v>
      </c>
      <c r="D472" s="5" t="s">
        <v>512</v>
      </c>
      <c r="E472" s="5" t="str">
        <f>VLOOKUP(F472,'Set up'!$A$2:$C$70,2,FALSE)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up'!$A$2:$C$70,3,FALSE)</f>
        <v>120</v>
      </c>
      <c r="J472" s="5">
        <f>VLOOKUP(F472,'Set up'!$A$2:$D$70,4,FALSE)</f>
        <v>120</v>
      </c>
      <c r="K472" s="4">
        <f t="shared" si="75"/>
        <v>44671</v>
      </c>
      <c r="L472" s="5">
        <f t="shared" si="76"/>
        <v>4</v>
      </c>
      <c r="M472" s="5">
        <f t="shared" si="77"/>
        <v>2022</v>
      </c>
      <c r="N472" s="6">
        <v>513</v>
      </c>
      <c r="O472" s="6">
        <f t="shared" si="79"/>
        <v>-513</v>
      </c>
      <c r="P472" s="6">
        <f t="shared" si="80"/>
        <v>0</v>
      </c>
      <c r="Q472" s="7">
        <f t="shared" si="78"/>
        <v>782707.24999999988</v>
      </c>
      <c r="R472" s="44" t="str">
        <f>VLOOKUP(F472,'Set up'!$A$2:$E$70,5,FALSE)</f>
        <v>Chq</v>
      </c>
      <c r="S472" s="1" t="s">
        <v>749</v>
      </c>
    </row>
    <row r="473" spans="1:19" x14ac:dyDescent="0.35">
      <c r="A473" s="4">
        <v>44551</v>
      </c>
      <c r="B473" s="5">
        <f t="shared" si="73"/>
        <v>12</v>
      </c>
      <c r="C473" s="5">
        <f t="shared" si="74"/>
        <v>2021</v>
      </c>
      <c r="D473" s="5" t="s">
        <v>512</v>
      </c>
      <c r="E473" s="5" t="str">
        <f>VLOOKUP(F473,'Set up'!$A$2:$C$70,2,FALSE)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up'!$A$2:$C$70,3,FALSE)</f>
        <v>120</v>
      </c>
      <c r="J473" s="5">
        <f>VLOOKUP(F473,'Set up'!$A$2:$D$70,4,FALSE)</f>
        <v>120</v>
      </c>
      <c r="K473" s="4">
        <f t="shared" si="75"/>
        <v>44671</v>
      </c>
      <c r="L473" s="5">
        <f t="shared" si="76"/>
        <v>4</v>
      </c>
      <c r="M473" s="5">
        <f t="shared" si="77"/>
        <v>2022</v>
      </c>
      <c r="N473" s="6">
        <v>2508.8000000000002</v>
      </c>
      <c r="O473" s="6">
        <f t="shared" si="79"/>
        <v>-2508.8000000000002</v>
      </c>
      <c r="P473" s="6">
        <f t="shared" si="80"/>
        <v>0</v>
      </c>
      <c r="Q473" s="7">
        <f t="shared" si="78"/>
        <v>785216.04999999993</v>
      </c>
      <c r="R473" s="44" t="str">
        <f>VLOOKUP(F473,'Set up'!$A$2:$E$70,5,FALSE)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73"/>
        <v>12</v>
      </c>
      <c r="C474" s="5">
        <f t="shared" si="74"/>
        <v>2021</v>
      </c>
      <c r="D474" s="5" t="s">
        <v>522</v>
      </c>
      <c r="E474" s="5" t="str">
        <f>VLOOKUP(F474,'Set up'!$A$2:$C$70,2,FALSE)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up'!$A$2:$C$70,3,FALSE)</f>
        <v>Cash</v>
      </c>
      <c r="J474" s="5">
        <f>VLOOKUP(F474,'Set up'!$A$2:$D$70,4,FALSE)</f>
        <v>0</v>
      </c>
      <c r="K474" s="4">
        <f t="shared" si="75"/>
        <v>44552</v>
      </c>
      <c r="L474" s="5">
        <f t="shared" si="76"/>
        <v>12</v>
      </c>
      <c r="M474" s="5">
        <f t="shared" si="77"/>
        <v>2021</v>
      </c>
      <c r="N474" s="6">
        <v>6270</v>
      </c>
      <c r="O474" s="6">
        <f>-3090.3-3179.7</f>
        <v>-6270</v>
      </c>
      <c r="P474" s="6">
        <f t="shared" si="80"/>
        <v>0</v>
      </c>
      <c r="Q474" s="7">
        <f t="shared" si="78"/>
        <v>791486.04999999993</v>
      </c>
      <c r="R474" s="44" t="str">
        <f>VLOOKUP(F474,'Set up'!$A$2:$E$70,5,FALSE)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73"/>
        <v>12</v>
      </c>
      <c r="C475" s="5">
        <f t="shared" si="74"/>
        <v>2021</v>
      </c>
      <c r="D475" s="5" t="s">
        <v>522</v>
      </c>
      <c r="E475" s="5" t="str">
        <f>VLOOKUP(F475,'Set up'!$A$2:$C$70,2,FALSE)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up'!$A$2:$C$70,3,FALSE)</f>
        <v>Cash</v>
      </c>
      <c r="J475" s="5">
        <f>VLOOKUP(F475,'Set up'!$A$2:$D$70,4,FALSE)</f>
        <v>0</v>
      </c>
      <c r="K475" s="4">
        <f t="shared" si="75"/>
        <v>44552</v>
      </c>
      <c r="L475" s="5">
        <f t="shared" si="76"/>
        <v>12</v>
      </c>
      <c r="M475" s="5">
        <f t="shared" si="77"/>
        <v>2021</v>
      </c>
      <c r="N475" s="6">
        <v>1000</v>
      </c>
      <c r="O475" s="6">
        <f>-N475</f>
        <v>-1000</v>
      </c>
      <c r="P475" s="6">
        <f t="shared" si="80"/>
        <v>0</v>
      </c>
      <c r="Q475" s="7">
        <f t="shared" si="78"/>
        <v>792486.04999999993</v>
      </c>
      <c r="R475" s="44" t="str">
        <f>VLOOKUP(F475,'Set up'!$A$2:$E$70,5,FALSE)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73"/>
        <v>12</v>
      </c>
      <c r="C476" s="5">
        <f t="shared" si="74"/>
        <v>2021</v>
      </c>
      <c r="D476" s="5" t="s">
        <v>522</v>
      </c>
      <c r="E476" s="5" t="str">
        <f>VLOOKUP(F476,'Set up'!$A$2:$C$70,2,FALSE)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up'!$A$2:$C$70,3,FALSE)</f>
        <v>Cash</v>
      </c>
      <c r="J476" s="5">
        <f>VLOOKUP(F476,'Set up'!$A$2:$D$70,4,FALSE)</f>
        <v>0</v>
      </c>
      <c r="K476" s="4">
        <f t="shared" si="75"/>
        <v>44552</v>
      </c>
      <c r="L476" s="5">
        <f t="shared" si="76"/>
        <v>12</v>
      </c>
      <c r="M476" s="5">
        <f t="shared" si="77"/>
        <v>2021</v>
      </c>
      <c r="N476" s="6">
        <v>187.5</v>
      </c>
      <c r="O476" s="6">
        <f>-N476</f>
        <v>-187.5</v>
      </c>
      <c r="P476" s="6">
        <f t="shared" si="80"/>
        <v>0</v>
      </c>
      <c r="Q476" s="7">
        <f t="shared" si="78"/>
        <v>792673.54999999993</v>
      </c>
      <c r="R476" s="44" t="str">
        <f>VLOOKUP(F476,'Set up'!$A$2:$E$70,5,FALSE)</f>
        <v>Trsf</v>
      </c>
      <c r="S476" s="1" t="s">
        <v>676</v>
      </c>
    </row>
    <row r="477" spans="1:19" x14ac:dyDescent="0.35">
      <c r="A477" s="4">
        <v>44552</v>
      </c>
      <c r="B477" s="5">
        <f t="shared" si="73"/>
        <v>12</v>
      </c>
      <c r="C477" s="5">
        <f t="shared" si="74"/>
        <v>2021</v>
      </c>
      <c r="D477" s="5" t="s">
        <v>522</v>
      </c>
      <c r="E477" s="5" t="str">
        <f>VLOOKUP(F477,'Set up'!$A$2:$C$70,2,FALSE)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up'!$A$2:$C$70,3,FALSE)</f>
        <v>Cash</v>
      </c>
      <c r="J477" s="5">
        <f>VLOOKUP(F477,'Set up'!$A$2:$D$70,4,FALSE)</f>
        <v>0</v>
      </c>
      <c r="K477" s="4">
        <f t="shared" si="75"/>
        <v>44552</v>
      </c>
      <c r="L477" s="5">
        <f t="shared" si="76"/>
        <v>12</v>
      </c>
      <c r="M477" s="5">
        <f t="shared" si="77"/>
        <v>2021</v>
      </c>
      <c r="N477" s="6">
        <v>3108</v>
      </c>
      <c r="O477" s="6">
        <f>-432.8-2675.2</f>
        <v>-3108</v>
      </c>
      <c r="P477" s="6">
        <f t="shared" si="80"/>
        <v>0</v>
      </c>
      <c r="Q477" s="7">
        <f t="shared" si="78"/>
        <v>795781.54999999993</v>
      </c>
      <c r="R477" s="44" t="str">
        <f>VLOOKUP(F477,'Set up'!$A$2:$E$70,5,FALSE)</f>
        <v>Trsf</v>
      </c>
      <c r="S477" s="1" t="s">
        <v>678</v>
      </c>
    </row>
    <row r="478" spans="1:19" x14ac:dyDescent="0.35">
      <c r="A478" s="4">
        <v>44554</v>
      </c>
      <c r="B478" s="5">
        <f t="shared" si="73"/>
        <v>12</v>
      </c>
      <c r="C478" s="5">
        <f t="shared" si="74"/>
        <v>2021</v>
      </c>
      <c r="D478" s="5" t="s">
        <v>529</v>
      </c>
      <c r="E478" s="5" t="str">
        <f>VLOOKUP(F478,'Set up'!$A$2:$C$70,2,FALSE)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up'!$A$2:$C$70,3,FALSE)</f>
        <v>Cash</v>
      </c>
      <c r="J478" s="5">
        <f>VLOOKUP(F478,'Set up'!$A$2:$D$70,4,FALSE)</f>
        <v>0</v>
      </c>
      <c r="K478" s="4">
        <f t="shared" si="75"/>
        <v>44554</v>
      </c>
      <c r="L478" s="5">
        <f t="shared" si="76"/>
        <v>12</v>
      </c>
      <c r="M478" s="5">
        <f t="shared" si="77"/>
        <v>2021</v>
      </c>
      <c r="N478" s="6">
        <v>777</v>
      </c>
      <c r="O478" s="6">
        <f>-N478</f>
        <v>-777</v>
      </c>
      <c r="P478" s="6">
        <f t="shared" si="80"/>
        <v>0</v>
      </c>
      <c r="Q478" s="7">
        <f t="shared" si="78"/>
        <v>796558.54999999993</v>
      </c>
      <c r="R478" s="44" t="str">
        <f>VLOOKUP(F478,'Set up'!$A$2:$E$70,5,FALSE)</f>
        <v>Trsf</v>
      </c>
      <c r="S478" s="1" t="s">
        <v>738</v>
      </c>
    </row>
    <row r="479" spans="1:19" x14ac:dyDescent="0.35">
      <c r="A479" s="4">
        <v>44557</v>
      </c>
      <c r="B479" s="5">
        <f t="shared" si="73"/>
        <v>12</v>
      </c>
      <c r="C479" s="5">
        <f t="shared" si="74"/>
        <v>2021</v>
      </c>
      <c r="D479" s="5" t="s">
        <v>530</v>
      </c>
      <c r="E479" s="5" t="str">
        <f>VLOOKUP(F479,'Set up'!$A$2:$C$70,2,FALSE)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up'!$A$2:$C$70,3,FALSE)</f>
        <v>Cash</v>
      </c>
      <c r="J479" s="5">
        <f>VLOOKUP(F479,'Set up'!$A$2:$D$70,4,FALSE)</f>
        <v>0</v>
      </c>
      <c r="K479" s="4">
        <f t="shared" si="75"/>
        <v>44557</v>
      </c>
      <c r="L479" s="5">
        <f t="shared" si="76"/>
        <v>12</v>
      </c>
      <c r="M479" s="5">
        <f t="shared" si="77"/>
        <v>2021</v>
      </c>
      <c r="N479" s="6">
        <v>777</v>
      </c>
      <c r="O479" s="6">
        <f>-N479</f>
        <v>-777</v>
      </c>
      <c r="P479" s="6">
        <f t="shared" si="80"/>
        <v>0</v>
      </c>
      <c r="Q479" s="7">
        <f t="shared" si="78"/>
        <v>797335.54999999993</v>
      </c>
      <c r="R479" s="44" t="str">
        <f>VLOOKUP(F479,'Set up'!$A$2:$E$70,5,FALSE)</f>
        <v>Trsf</v>
      </c>
      <c r="S479" s="1" t="s">
        <v>738</v>
      </c>
    </row>
    <row r="480" spans="1:19" x14ac:dyDescent="0.35">
      <c r="A480" s="4">
        <v>44557</v>
      </c>
      <c r="B480" s="5">
        <f t="shared" si="73"/>
        <v>12</v>
      </c>
      <c r="C480" s="5">
        <f t="shared" si="74"/>
        <v>2021</v>
      </c>
      <c r="D480" s="5" t="s">
        <v>530</v>
      </c>
      <c r="E480" s="5" t="str">
        <f>VLOOKUP(F480,'Set up'!$A$2:$C$70,2,FALSE)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up'!$A$2:$C$70,3,FALSE)</f>
        <v>Cash</v>
      </c>
      <c r="J480" s="5">
        <f>VLOOKUP(F480,'Set up'!$A$2:$D$70,4,FALSE)</f>
        <v>0</v>
      </c>
      <c r="K480" s="4">
        <f t="shared" si="75"/>
        <v>44557</v>
      </c>
      <c r="L480" s="5">
        <f t="shared" si="76"/>
        <v>12</v>
      </c>
      <c r="M480" s="5">
        <f t="shared" si="77"/>
        <v>2021</v>
      </c>
      <c r="N480" s="6">
        <v>300</v>
      </c>
      <c r="O480" s="6">
        <f>-N480</f>
        <v>-300</v>
      </c>
      <c r="P480" s="6">
        <f t="shared" si="80"/>
        <v>0</v>
      </c>
      <c r="Q480" s="7">
        <f t="shared" si="78"/>
        <v>797635.54999999993</v>
      </c>
      <c r="R480" s="44" t="str">
        <f>VLOOKUP(F480,'Set up'!$A$2:$E$70,5,FALSE)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73"/>
        <v>12</v>
      </c>
      <c r="C481" s="5">
        <f t="shared" si="74"/>
        <v>2021</v>
      </c>
      <c r="D481" s="5" t="s">
        <v>531</v>
      </c>
      <c r="E481" s="5" t="str">
        <f>VLOOKUP(F481,'Set up'!$A$2:$C$70,2,FALSE)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up'!$A$2:$C$70,3,FALSE)</f>
        <v>Cash</v>
      </c>
      <c r="J481" s="5">
        <f>VLOOKUP(F481,'Set up'!$A$2:$D$70,4,FALSE)</f>
        <v>0</v>
      </c>
      <c r="K481" s="4">
        <f t="shared" si="75"/>
        <v>44558</v>
      </c>
      <c r="L481" s="5">
        <f t="shared" si="76"/>
        <v>12</v>
      </c>
      <c r="M481" s="5">
        <f t="shared" si="77"/>
        <v>2021</v>
      </c>
      <c r="N481" s="6">
        <v>4136</v>
      </c>
      <c r="O481" s="6">
        <f>-N481</f>
        <v>-4136</v>
      </c>
      <c r="P481" s="6">
        <f t="shared" si="80"/>
        <v>0</v>
      </c>
      <c r="Q481" s="7">
        <f t="shared" si="78"/>
        <v>801771.54999999993</v>
      </c>
      <c r="R481" s="44" t="str">
        <f>VLOOKUP(F481,'Set up'!$A$2:$E$70,5,FALSE)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73"/>
        <v>12</v>
      </c>
      <c r="C482" s="5">
        <f t="shared" si="74"/>
        <v>2021</v>
      </c>
      <c r="D482" s="5" t="s">
        <v>531</v>
      </c>
      <c r="E482" s="5" t="str">
        <f>VLOOKUP(F482,'Set up'!$A$2:$C$70,2,FALSE)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up'!$A$2:$C$70,3,FALSE)</f>
        <v>Cash</v>
      </c>
      <c r="J482" s="5">
        <f>VLOOKUP(F482,'Set up'!$A$2:$D$70,4,FALSE)</f>
        <v>0</v>
      </c>
      <c r="K482" s="4">
        <f t="shared" si="75"/>
        <v>44558</v>
      </c>
      <c r="L482" s="5">
        <f t="shared" si="76"/>
        <v>12</v>
      </c>
      <c r="M482" s="5">
        <f t="shared" si="77"/>
        <v>2021</v>
      </c>
      <c r="N482" s="6">
        <v>1455</v>
      </c>
      <c r="O482" s="6">
        <f>-N482</f>
        <v>-1455</v>
      </c>
      <c r="P482" s="6">
        <f t="shared" si="80"/>
        <v>0</v>
      </c>
      <c r="Q482" s="7">
        <f t="shared" si="78"/>
        <v>803226.54999999993</v>
      </c>
      <c r="R482" s="44" t="str">
        <f>VLOOKUP(F482,'Set up'!$A$2:$E$70,5,FALSE)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73"/>
        <v>12</v>
      </c>
      <c r="C483" s="5">
        <f t="shared" si="74"/>
        <v>2021</v>
      </c>
      <c r="D483" s="5" t="s">
        <v>532</v>
      </c>
      <c r="E483" s="5" t="str">
        <f>VLOOKUP(F483,'Set up'!$A$2:$C$70,2,FALSE)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up'!$A$2:$C$70,3,FALSE)</f>
        <v>Cash</v>
      </c>
      <c r="J483" s="5">
        <f>VLOOKUP(F483,'Set up'!$A$2:$D$70,4,FALSE)</f>
        <v>0</v>
      </c>
      <c r="K483" s="4">
        <f t="shared" si="75"/>
        <v>44560</v>
      </c>
      <c r="L483" s="5">
        <f t="shared" si="76"/>
        <v>12</v>
      </c>
      <c r="M483" s="5">
        <f t="shared" si="77"/>
        <v>2021</v>
      </c>
      <c r="N483" s="6">
        <v>10450</v>
      </c>
      <c r="O483" s="6">
        <f>-1470.8-6200-2779.2</f>
        <v>-10450</v>
      </c>
      <c r="P483" s="6">
        <f t="shared" si="80"/>
        <v>0</v>
      </c>
      <c r="Q483" s="7">
        <f t="shared" si="78"/>
        <v>813676.54999999993</v>
      </c>
      <c r="R483" s="44" t="str">
        <f>VLOOKUP(F483,'Set up'!$A$2:$E$70,5,FALSE)</f>
        <v>Trsf</v>
      </c>
      <c r="S483" s="1" t="s">
        <v>739</v>
      </c>
    </row>
    <row r="484" spans="1:19" x14ac:dyDescent="0.35">
      <c r="A484" s="4">
        <v>44560</v>
      </c>
      <c r="B484" s="5">
        <f t="shared" si="73"/>
        <v>12</v>
      </c>
      <c r="C484" s="5">
        <f t="shared" si="74"/>
        <v>2021</v>
      </c>
      <c r="D484" s="5" t="s">
        <v>532</v>
      </c>
      <c r="E484" s="5" t="str">
        <f>VLOOKUP(F484,'Set up'!$A$2:$C$70,2,FALSE)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up'!$A$2:$C$70,3,FALSE)</f>
        <v>Cash</v>
      </c>
      <c r="J484" s="5">
        <f>VLOOKUP(F484,'Set up'!$A$2:$D$70,4,FALSE)</f>
        <v>0</v>
      </c>
      <c r="K484" s="4">
        <f t="shared" si="75"/>
        <v>44560</v>
      </c>
      <c r="L484" s="5">
        <f t="shared" si="76"/>
        <v>12</v>
      </c>
      <c r="M484" s="5">
        <f t="shared" si="77"/>
        <v>2021</v>
      </c>
      <c r="N484" s="6">
        <v>4410</v>
      </c>
      <c r="O484" s="6">
        <f>-4220.8-189.2</f>
        <v>-4410</v>
      </c>
      <c r="P484" s="6">
        <f t="shared" si="80"/>
        <v>0</v>
      </c>
      <c r="Q484" s="7">
        <f t="shared" si="78"/>
        <v>818086.54999999993</v>
      </c>
      <c r="R484" s="44" t="str">
        <f>VLOOKUP(F484,'Set up'!$A$2:$E$70,5,FALSE)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73"/>
        <v>12</v>
      </c>
      <c r="C485" s="5">
        <f t="shared" si="74"/>
        <v>2021</v>
      </c>
      <c r="D485" s="5" t="s">
        <v>532</v>
      </c>
      <c r="E485" s="5" t="str">
        <f>VLOOKUP(F485,'Set up'!$A$2:$C$70,2,FALSE)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up'!$A$2:$C$70,3,FALSE)</f>
        <v>Cash</v>
      </c>
      <c r="J485" s="5">
        <f>VLOOKUP(F485,'Set up'!$A$2:$D$70,4,FALSE)</f>
        <v>0</v>
      </c>
      <c r="K485" s="4">
        <f t="shared" si="75"/>
        <v>44560</v>
      </c>
      <c r="L485" s="5">
        <f t="shared" si="76"/>
        <v>12</v>
      </c>
      <c r="M485" s="5">
        <f t="shared" si="77"/>
        <v>2021</v>
      </c>
      <c r="N485" s="6">
        <v>2808</v>
      </c>
      <c r="O485" s="6">
        <f>-N485</f>
        <v>-2808</v>
      </c>
      <c r="P485" s="6">
        <f t="shared" si="80"/>
        <v>0</v>
      </c>
      <c r="Q485" s="7">
        <f t="shared" si="78"/>
        <v>820894.54999999993</v>
      </c>
      <c r="R485" s="44" t="str">
        <f>VLOOKUP(F485,'Set up'!$A$2:$E$70,5,FALSE)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73"/>
        <v>12</v>
      </c>
      <c r="C486" s="5">
        <f t="shared" si="74"/>
        <v>2021</v>
      </c>
      <c r="D486" s="5" t="s">
        <v>532</v>
      </c>
      <c r="E486" s="5" t="str">
        <f>VLOOKUP(F486,'Set up'!$A$2:$C$70,2,FALSE)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up'!$A$2:$C$70,3,FALSE)</f>
        <v>Cash</v>
      </c>
      <c r="J486" s="5">
        <f>VLOOKUP(F486,'Set up'!$A$2:$D$70,4,FALSE)</f>
        <v>0</v>
      </c>
      <c r="K486" s="4">
        <f t="shared" si="75"/>
        <v>44560</v>
      </c>
      <c r="L486" s="5">
        <f t="shared" si="76"/>
        <v>12</v>
      </c>
      <c r="M486" s="5">
        <f t="shared" si="77"/>
        <v>2021</v>
      </c>
      <c r="N486" s="6">
        <v>312.5</v>
      </c>
      <c r="O486" s="6">
        <f>-2.8-309.7</f>
        <v>-312.5</v>
      </c>
      <c r="P486" s="6">
        <f t="shared" si="80"/>
        <v>0</v>
      </c>
      <c r="Q486" s="7">
        <f t="shared" si="78"/>
        <v>821207.04999999993</v>
      </c>
      <c r="R486" s="44" t="str">
        <f>VLOOKUP(F486,'Set up'!$A$2:$E$70,5,FALSE)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73"/>
        <v>12</v>
      </c>
      <c r="C487" s="5">
        <f t="shared" si="74"/>
        <v>2021</v>
      </c>
      <c r="D487" s="5" t="s">
        <v>532</v>
      </c>
      <c r="E487" s="5" t="str">
        <f>VLOOKUP(F487,'Set up'!$A$2:$C$70,2,FALSE)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up'!$A$2:$C$70,3,FALSE)</f>
        <v>Cash</v>
      </c>
      <c r="J487" s="5">
        <f>VLOOKUP(F487,'Set up'!$A$2:$D$70,4,FALSE)</f>
        <v>0</v>
      </c>
      <c r="K487" s="4">
        <f t="shared" si="75"/>
        <v>44560</v>
      </c>
      <c r="L487" s="5">
        <f t="shared" si="76"/>
        <v>12</v>
      </c>
      <c r="M487" s="5">
        <f t="shared" si="77"/>
        <v>2021</v>
      </c>
      <c r="N487" s="6">
        <v>1000</v>
      </c>
      <c r="O487" s="6">
        <f t="shared" ref="O487:O494" si="81">-N487</f>
        <v>-1000</v>
      </c>
      <c r="P487" s="6">
        <f t="shared" si="80"/>
        <v>0</v>
      </c>
      <c r="Q487" s="7">
        <f t="shared" si="78"/>
        <v>822207.04999999993</v>
      </c>
      <c r="R487" s="44" t="str">
        <f>VLOOKUP(F487,'Set up'!$A$2:$E$70,5,FALSE)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73"/>
        <v>12</v>
      </c>
      <c r="C488" s="5">
        <f t="shared" si="74"/>
        <v>2021</v>
      </c>
      <c r="D488" s="5" t="s">
        <v>532</v>
      </c>
      <c r="E488" s="5" t="str">
        <f>VLOOKUP(F488,'Set up'!$A$2:$C$70,2,FALSE)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up'!$A$2:$C$70,3,FALSE)</f>
        <v>Cash</v>
      </c>
      <c r="J488" s="5">
        <f>VLOOKUP(F488,'Set up'!$A$2:$D$70,4,FALSE)</f>
        <v>0</v>
      </c>
      <c r="K488" s="4">
        <f t="shared" si="75"/>
        <v>44560</v>
      </c>
      <c r="L488" s="5">
        <f t="shared" si="76"/>
        <v>12</v>
      </c>
      <c r="M488" s="5">
        <f t="shared" si="77"/>
        <v>2021</v>
      </c>
      <c r="N488" s="6">
        <v>340</v>
      </c>
      <c r="O488" s="6">
        <f t="shared" si="81"/>
        <v>-340</v>
      </c>
      <c r="P488" s="6">
        <f t="shared" si="80"/>
        <v>0</v>
      </c>
      <c r="Q488" s="7">
        <f t="shared" si="78"/>
        <v>822547.04999999993</v>
      </c>
      <c r="R488" s="44" t="str">
        <f>VLOOKUP(F488,'Set up'!$A$2:$E$70,5,FALSE)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73"/>
        <v>12</v>
      </c>
      <c r="C489" s="5">
        <f t="shared" si="74"/>
        <v>2021</v>
      </c>
      <c r="D489" s="5" t="s">
        <v>535</v>
      </c>
      <c r="E489" s="5" t="str">
        <f>VLOOKUP(F489,'Set up'!$A$2:$C$70,2,FALSE)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up'!$A$2:$C$70,3,FALSE)</f>
        <v>120</v>
      </c>
      <c r="J489" s="5">
        <f>VLOOKUP(F489,'Set up'!$A$2:$D$70,4,FALSE)</f>
        <v>120</v>
      </c>
      <c r="K489" s="4">
        <f t="shared" si="75"/>
        <v>44681</v>
      </c>
      <c r="L489" s="5">
        <f t="shared" si="76"/>
        <v>4</v>
      </c>
      <c r="M489" s="5">
        <f t="shared" si="77"/>
        <v>2022</v>
      </c>
      <c r="N489" s="6">
        <v>8096</v>
      </c>
      <c r="O489" s="6">
        <f t="shared" si="81"/>
        <v>-8096</v>
      </c>
      <c r="P489" s="6">
        <f t="shared" si="80"/>
        <v>0</v>
      </c>
      <c r="Q489" s="7">
        <f t="shared" si="78"/>
        <v>830643.04999999993</v>
      </c>
      <c r="R489" s="44" t="str">
        <f>VLOOKUP(F489,'Set up'!$A$2:$E$70,5,FALSE)</f>
        <v>Trsf</v>
      </c>
      <c r="S489" s="1" t="s">
        <v>667</v>
      </c>
    </row>
    <row r="490" spans="1:19" ht="29" x14ac:dyDescent="0.35">
      <c r="A490" s="4">
        <v>44561</v>
      </c>
      <c r="B490" s="5">
        <f t="shared" si="73"/>
        <v>12</v>
      </c>
      <c r="C490" s="5">
        <f t="shared" si="74"/>
        <v>2021</v>
      </c>
      <c r="D490" s="5" t="s">
        <v>535</v>
      </c>
      <c r="E490" s="5" t="str">
        <f>VLOOKUP(F490,'Set up'!$A$2:$C$70,2,FALSE)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up'!$A$2:$C$70,3,FALSE)</f>
        <v>120</v>
      </c>
      <c r="J490" s="5">
        <f>VLOOKUP(F490,'Set up'!$A$2:$D$70,4,FALSE)</f>
        <v>120</v>
      </c>
      <c r="K490" s="4">
        <f t="shared" si="75"/>
        <v>44681</v>
      </c>
      <c r="L490" s="5">
        <f t="shared" si="76"/>
        <v>4</v>
      </c>
      <c r="M490" s="5">
        <f t="shared" si="77"/>
        <v>2022</v>
      </c>
      <c r="N490" s="6">
        <v>2024</v>
      </c>
      <c r="O490" s="6">
        <f t="shared" si="81"/>
        <v>-2024</v>
      </c>
      <c r="P490" s="6">
        <f t="shared" si="80"/>
        <v>0</v>
      </c>
      <c r="Q490" s="7">
        <f t="shared" si="78"/>
        <v>832667.04999999993</v>
      </c>
      <c r="R490" s="44" t="str">
        <f>VLOOKUP(F490,'Set up'!$A$2:$E$70,5,FALSE)</f>
        <v>Trsf</v>
      </c>
      <c r="S490" s="1" t="s">
        <v>667</v>
      </c>
    </row>
    <row r="491" spans="1:19" ht="46.5" x14ac:dyDescent="0.35">
      <c r="A491" s="4">
        <v>44561</v>
      </c>
      <c r="B491" s="5">
        <f t="shared" si="73"/>
        <v>12</v>
      </c>
      <c r="C491" s="5">
        <f t="shared" si="74"/>
        <v>2021</v>
      </c>
      <c r="D491" s="5" t="s">
        <v>536</v>
      </c>
      <c r="E491" s="5" t="str">
        <f>VLOOKUP(F491,'Set up'!$A$2:$C$70,2,FALSE)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up'!$A$2:$C$70,3,FALSE)</f>
        <v>Cash</v>
      </c>
      <c r="J491" s="5">
        <f>VLOOKUP(F491,'Set up'!$A$2:$D$70,4,FALSE)</f>
        <v>0</v>
      </c>
      <c r="K491" s="4">
        <f t="shared" si="75"/>
        <v>44561</v>
      </c>
      <c r="L491" s="5">
        <f t="shared" si="76"/>
        <v>12</v>
      </c>
      <c r="M491" s="5">
        <f t="shared" si="77"/>
        <v>2021</v>
      </c>
      <c r="N491" s="6">
        <v>4136</v>
      </c>
      <c r="O491" s="6">
        <f t="shared" si="81"/>
        <v>-4136</v>
      </c>
      <c r="P491" s="6">
        <f t="shared" si="80"/>
        <v>0</v>
      </c>
      <c r="Q491" s="7">
        <f t="shared" si="78"/>
        <v>836803.04999999993</v>
      </c>
      <c r="R491" s="44" t="str">
        <f>VLOOKUP(F491,'Set up'!$A$2:$E$70,5,FALSE)</f>
        <v>Trsf</v>
      </c>
      <c r="S491" s="1" t="s">
        <v>579</v>
      </c>
    </row>
    <row r="492" spans="1:19" ht="31" x14ac:dyDescent="0.35">
      <c r="A492" s="4">
        <v>44561</v>
      </c>
      <c r="B492" s="5">
        <f t="shared" si="73"/>
        <v>12</v>
      </c>
      <c r="C492" s="5">
        <f t="shared" si="74"/>
        <v>2021</v>
      </c>
      <c r="D492" s="5" t="s">
        <v>536</v>
      </c>
      <c r="E492" s="5" t="str">
        <f>VLOOKUP(F492,'Set up'!$A$2:$C$70,2,FALSE)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up'!$A$2:$C$70,3,FALSE)</f>
        <v>Cash</v>
      </c>
      <c r="J492" s="5">
        <f>VLOOKUP(F492,'Set up'!$A$2:$D$70,4,FALSE)</f>
        <v>0</v>
      </c>
      <c r="K492" s="4">
        <f t="shared" si="75"/>
        <v>44561</v>
      </c>
      <c r="L492" s="5">
        <f t="shared" si="76"/>
        <v>12</v>
      </c>
      <c r="M492" s="5">
        <f t="shared" si="77"/>
        <v>2021</v>
      </c>
      <c r="N492" s="6">
        <v>250</v>
      </c>
      <c r="O492" s="6">
        <f t="shared" si="81"/>
        <v>-250</v>
      </c>
      <c r="P492" s="6">
        <f t="shared" si="80"/>
        <v>0</v>
      </c>
      <c r="Q492" s="7">
        <f t="shared" si="78"/>
        <v>837053.04999999993</v>
      </c>
      <c r="R492" s="44" t="str">
        <f>VLOOKUP(F492,'Set up'!$A$2:$E$70,5,FALSE)</f>
        <v>Trsf</v>
      </c>
      <c r="S492" s="1" t="s">
        <v>579</v>
      </c>
    </row>
    <row r="493" spans="1:19" x14ac:dyDescent="0.35">
      <c r="A493" s="4">
        <v>44561</v>
      </c>
      <c r="B493" s="5">
        <f t="shared" si="73"/>
        <v>12</v>
      </c>
      <c r="C493" s="5">
        <f t="shared" si="74"/>
        <v>2021</v>
      </c>
      <c r="D493" s="5" t="s">
        <v>536</v>
      </c>
      <c r="E493" s="5" t="str">
        <f>VLOOKUP(F493,'Set up'!$A$2:$C$70,2,FALSE)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up'!$A$2:$C$70,3,FALSE)</f>
        <v>Cash</v>
      </c>
      <c r="J493" s="5">
        <f>VLOOKUP(F493,'Set up'!$A$2:$D$70,4,FALSE)</f>
        <v>0</v>
      </c>
      <c r="K493" s="4">
        <f t="shared" si="75"/>
        <v>44561</v>
      </c>
      <c r="L493" s="5">
        <f t="shared" si="76"/>
        <v>12</v>
      </c>
      <c r="M493" s="5">
        <f t="shared" si="77"/>
        <v>2021</v>
      </c>
      <c r="N493" s="6">
        <v>105</v>
      </c>
      <c r="O493" s="6">
        <f t="shared" si="81"/>
        <v>-105</v>
      </c>
      <c r="P493" s="6">
        <f t="shared" si="80"/>
        <v>0</v>
      </c>
      <c r="Q493" s="7">
        <f t="shared" si="78"/>
        <v>837158.04999999993</v>
      </c>
      <c r="R493" s="44" t="str">
        <f>VLOOKUP(F493,'Set up'!$A$2:$E$70,5,FALSE)</f>
        <v>Trsf</v>
      </c>
      <c r="S493" s="1" t="s">
        <v>579</v>
      </c>
    </row>
    <row r="494" spans="1:19" x14ac:dyDescent="0.35">
      <c r="A494" s="4">
        <v>44561</v>
      </c>
      <c r="B494" s="5">
        <f t="shared" si="73"/>
        <v>12</v>
      </c>
      <c r="C494" s="5">
        <f t="shared" si="74"/>
        <v>2021</v>
      </c>
      <c r="D494" s="5" t="s">
        <v>536</v>
      </c>
      <c r="E494" s="5" t="str">
        <f>VLOOKUP(F494,'Set up'!$A$2:$C$70,2,FALSE)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up'!$A$2:$C$70,3,FALSE)</f>
        <v>Cash</v>
      </c>
      <c r="J494" s="5">
        <f>VLOOKUP(F494,'Set up'!$A$2:$D$70,4,FALSE)</f>
        <v>0</v>
      </c>
      <c r="K494" s="4">
        <f t="shared" si="75"/>
        <v>44561</v>
      </c>
      <c r="L494" s="5">
        <f t="shared" si="76"/>
        <v>12</v>
      </c>
      <c r="M494" s="5">
        <f t="shared" si="77"/>
        <v>2021</v>
      </c>
      <c r="N494" s="6">
        <v>523.79999999999995</v>
      </c>
      <c r="O494" s="6">
        <f t="shared" si="81"/>
        <v>-523.79999999999995</v>
      </c>
      <c r="P494" s="6">
        <f t="shared" si="80"/>
        <v>0</v>
      </c>
      <c r="Q494" s="7">
        <f t="shared" si="78"/>
        <v>837681.85</v>
      </c>
      <c r="R494" s="44" t="str">
        <f>VLOOKUP(F494,'Set up'!$A$2:$E$70,5,FALSE)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73"/>
        <v>1</v>
      </c>
      <c r="C495" s="5">
        <f t="shared" si="74"/>
        <v>2022</v>
      </c>
      <c r="D495" s="5" t="s">
        <v>546</v>
      </c>
      <c r="E495" s="5" t="str">
        <f>VLOOKUP(F495,'Set up'!$A$2:$C$70,2,FALSE)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up'!$A$2:$C$70,3,FALSE)</f>
        <v>Cash</v>
      </c>
      <c r="J495" s="5">
        <f>VLOOKUP(F495,'Set up'!$A$2:$D$70,4,FALSE)</f>
        <v>0</v>
      </c>
      <c r="K495" s="4">
        <f t="shared" si="75"/>
        <v>44564</v>
      </c>
      <c r="L495" s="5">
        <f t="shared" si="76"/>
        <v>1</v>
      </c>
      <c r="M495" s="5">
        <f t="shared" si="77"/>
        <v>2022</v>
      </c>
      <c r="N495" s="6">
        <v>6270</v>
      </c>
      <c r="O495" s="6">
        <f>-3350.3-2919.7</f>
        <v>-6270</v>
      </c>
      <c r="P495" s="6">
        <f t="shared" si="80"/>
        <v>0</v>
      </c>
      <c r="Q495" s="7">
        <f t="shared" si="78"/>
        <v>843951.85</v>
      </c>
      <c r="R495" s="44" t="str">
        <f>VLOOKUP(F495,'Set up'!$A$2:$E$70,5,FALSE)</f>
        <v>Trsf</v>
      </c>
      <c r="S495" s="1" t="s">
        <v>734</v>
      </c>
    </row>
    <row r="496" spans="1:19" x14ac:dyDescent="0.35">
      <c r="A496" s="4">
        <v>44564</v>
      </c>
      <c r="B496" s="5">
        <f t="shared" si="73"/>
        <v>1</v>
      </c>
      <c r="C496" s="5">
        <f t="shared" si="74"/>
        <v>2022</v>
      </c>
      <c r="D496" s="5" t="s">
        <v>546</v>
      </c>
      <c r="E496" s="5" t="str">
        <f>VLOOKUP(F496,'Set up'!$A$2:$C$70,2,FALSE)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up'!$A$2:$C$70,3,FALSE)</f>
        <v>Cash</v>
      </c>
      <c r="J496" s="5">
        <f>VLOOKUP(F496,'Set up'!$A$2:$D$70,4,FALSE)</f>
        <v>0</v>
      </c>
      <c r="K496" s="4">
        <f t="shared" si="75"/>
        <v>44564</v>
      </c>
      <c r="L496" s="5">
        <f t="shared" si="76"/>
        <v>1</v>
      </c>
      <c r="M496" s="5">
        <f t="shared" si="77"/>
        <v>2022</v>
      </c>
      <c r="N496" s="6">
        <v>1176</v>
      </c>
      <c r="O496" s="6">
        <f t="shared" ref="O496:O503" si="82">-N496</f>
        <v>-1176</v>
      </c>
      <c r="P496" s="6">
        <f t="shared" si="80"/>
        <v>0</v>
      </c>
      <c r="Q496" s="7">
        <f t="shared" si="78"/>
        <v>845127.85</v>
      </c>
      <c r="R496" s="44" t="str">
        <f>VLOOKUP(F496,'Set up'!$A$2:$E$70,5,FALSE)</f>
        <v>Trsf</v>
      </c>
      <c r="S496" s="1" t="s">
        <v>735</v>
      </c>
    </row>
    <row r="497" spans="1:19" x14ac:dyDescent="0.35">
      <c r="A497" s="4">
        <v>44564</v>
      </c>
      <c r="B497" s="5">
        <f t="shared" si="73"/>
        <v>1</v>
      </c>
      <c r="C497" s="5">
        <f t="shared" si="74"/>
        <v>2022</v>
      </c>
      <c r="D497" s="5" t="s">
        <v>546</v>
      </c>
      <c r="E497" s="5" t="str">
        <f>VLOOKUP(F497,'Set up'!$A$2:$C$70,2,FALSE)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up'!$A$2:$C$70,3,FALSE)</f>
        <v>Cash</v>
      </c>
      <c r="J497" s="5">
        <f>VLOOKUP(F497,'Set up'!$A$2:$D$70,4,FALSE)</f>
        <v>0</v>
      </c>
      <c r="K497" s="4">
        <f t="shared" si="75"/>
        <v>44564</v>
      </c>
      <c r="L497" s="5">
        <f t="shared" si="76"/>
        <v>1</v>
      </c>
      <c r="M497" s="5">
        <f t="shared" si="77"/>
        <v>2022</v>
      </c>
      <c r="N497" s="6">
        <v>702</v>
      </c>
      <c r="O497" s="6">
        <f t="shared" si="82"/>
        <v>-702</v>
      </c>
      <c r="P497" s="6">
        <f t="shared" si="80"/>
        <v>0</v>
      </c>
      <c r="Q497" s="7">
        <f t="shared" si="78"/>
        <v>845829.85</v>
      </c>
      <c r="R497" s="44" t="str">
        <f>VLOOKUP(F497,'Set up'!$A$2:$E$70,5,FALSE)</f>
        <v>Trsf</v>
      </c>
      <c r="S497" s="1" t="s">
        <v>735</v>
      </c>
    </row>
    <row r="498" spans="1:19" x14ac:dyDescent="0.35">
      <c r="A498" s="4">
        <v>44564</v>
      </c>
      <c r="B498" s="5">
        <f t="shared" si="73"/>
        <v>1</v>
      </c>
      <c r="C498" s="5">
        <f t="shared" si="74"/>
        <v>2022</v>
      </c>
      <c r="D498" s="5" t="s">
        <v>546</v>
      </c>
      <c r="E498" s="5" t="str">
        <f>VLOOKUP(F498,'Set up'!$A$2:$C$70,2,FALSE)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up'!$A$2:$C$70,3,FALSE)</f>
        <v>Cash</v>
      </c>
      <c r="J498" s="5">
        <f>VLOOKUP(F498,'Set up'!$A$2:$D$70,4,FALSE)</f>
        <v>0</v>
      </c>
      <c r="K498" s="4">
        <f t="shared" si="75"/>
        <v>44564</v>
      </c>
      <c r="L498" s="5">
        <f t="shared" si="76"/>
        <v>1</v>
      </c>
      <c r="M498" s="5">
        <f t="shared" si="77"/>
        <v>2022</v>
      </c>
      <c r="N498" s="6">
        <v>125</v>
      </c>
      <c r="O498" s="6">
        <f t="shared" si="82"/>
        <v>-125</v>
      </c>
      <c r="P498" s="6">
        <f t="shared" si="80"/>
        <v>0</v>
      </c>
      <c r="Q498" s="7">
        <f t="shared" si="78"/>
        <v>845954.85</v>
      </c>
      <c r="R498" s="44" t="str">
        <f>VLOOKUP(F498,'Set up'!$A$2:$E$70,5,FALSE)</f>
        <v>Trsf</v>
      </c>
      <c r="S498" s="1" t="s">
        <v>735</v>
      </c>
    </row>
    <row r="499" spans="1:19" x14ac:dyDescent="0.35">
      <c r="A499" s="4">
        <v>44567</v>
      </c>
      <c r="B499" s="5">
        <f t="shared" si="73"/>
        <v>1</v>
      </c>
      <c r="C499" s="5">
        <f t="shared" si="74"/>
        <v>2022</v>
      </c>
      <c r="D499" s="5" t="s">
        <v>547</v>
      </c>
      <c r="E499" s="5" t="str">
        <f>VLOOKUP(F499,'Set up'!$A$2:$C$70,2,FALSE)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up'!$A$2:$C$70,3,FALSE)</f>
        <v>Cash</v>
      </c>
      <c r="J499" s="5">
        <f>VLOOKUP(F499,'Set up'!$A$2:$D$70,4,FALSE)</f>
        <v>0</v>
      </c>
      <c r="K499" s="4">
        <f t="shared" si="75"/>
        <v>44567</v>
      </c>
      <c r="L499" s="5">
        <f t="shared" si="76"/>
        <v>1</v>
      </c>
      <c r="M499" s="5">
        <f t="shared" si="77"/>
        <v>2022</v>
      </c>
      <c r="N499" s="6">
        <v>360</v>
      </c>
      <c r="O499" s="6">
        <f t="shared" si="82"/>
        <v>-360</v>
      </c>
      <c r="P499" s="6">
        <f t="shared" si="80"/>
        <v>0</v>
      </c>
      <c r="Q499" s="7">
        <f t="shared" si="78"/>
        <v>846314.85</v>
      </c>
      <c r="R499" s="44" t="str">
        <f>VLOOKUP(F499,'Set up'!$A$2:$E$70,5,FALSE)</f>
        <v>Trsf</v>
      </c>
      <c r="S499" s="1" t="s">
        <v>580</v>
      </c>
    </row>
    <row r="500" spans="1:19" x14ac:dyDescent="0.35">
      <c r="A500" s="4">
        <v>44567</v>
      </c>
      <c r="B500" s="5">
        <f t="shared" si="73"/>
        <v>1</v>
      </c>
      <c r="C500" s="5">
        <f t="shared" si="74"/>
        <v>2022</v>
      </c>
      <c r="D500" s="5" t="s">
        <v>547</v>
      </c>
      <c r="E500" s="5" t="str">
        <f>VLOOKUP(F500,'Set up'!$A$2:$C$70,2,FALSE)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up'!$A$2:$C$70,3,FALSE)</f>
        <v>Cash</v>
      </c>
      <c r="J500" s="5">
        <f>VLOOKUP(F500,'Set up'!$A$2:$D$70,4,FALSE)</f>
        <v>0</v>
      </c>
      <c r="K500" s="4">
        <f t="shared" si="75"/>
        <v>44567</v>
      </c>
      <c r="L500" s="5">
        <f t="shared" si="76"/>
        <v>1</v>
      </c>
      <c r="M500" s="5">
        <f t="shared" si="77"/>
        <v>2022</v>
      </c>
      <c r="N500" s="6">
        <v>720</v>
      </c>
      <c r="O500" s="6">
        <f t="shared" si="82"/>
        <v>-720</v>
      </c>
      <c r="P500" s="6">
        <f t="shared" si="80"/>
        <v>0</v>
      </c>
      <c r="Q500" s="7">
        <f t="shared" si="78"/>
        <v>847034.85</v>
      </c>
      <c r="R500" s="44" t="str">
        <f>VLOOKUP(F500,'Set up'!$A$2:$E$70,5,FALSE)</f>
        <v>Trsf</v>
      </c>
      <c r="S500" s="1" t="s">
        <v>580</v>
      </c>
    </row>
    <row r="501" spans="1:19" x14ac:dyDescent="0.35">
      <c r="A501" s="4">
        <v>44568</v>
      </c>
      <c r="B501" s="5">
        <f t="shared" si="73"/>
        <v>1</v>
      </c>
      <c r="C501" s="5">
        <f t="shared" si="74"/>
        <v>2022</v>
      </c>
      <c r="D501" s="5" t="s">
        <v>548</v>
      </c>
      <c r="E501" s="5" t="str">
        <f>VLOOKUP(F501,'Set up'!$A$2:$C$70,2,FALSE)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up'!$A$2:$C$70,3,FALSE)</f>
        <v>Cash</v>
      </c>
      <c r="J501" s="5">
        <f>VLOOKUP(F501,'Set up'!$A$2:$D$70,4,FALSE)</f>
        <v>0</v>
      </c>
      <c r="K501" s="4">
        <f t="shared" si="75"/>
        <v>44568</v>
      </c>
      <c r="L501" s="5">
        <f t="shared" si="76"/>
        <v>1</v>
      </c>
      <c r="M501" s="5">
        <f t="shared" si="77"/>
        <v>2022</v>
      </c>
      <c r="N501" s="6">
        <v>882</v>
      </c>
      <c r="O501" s="6">
        <f t="shared" si="82"/>
        <v>-882</v>
      </c>
      <c r="P501" s="6">
        <f t="shared" si="80"/>
        <v>0</v>
      </c>
      <c r="Q501" s="7">
        <f t="shared" si="78"/>
        <v>847916.85</v>
      </c>
      <c r="R501" s="44" t="str">
        <f>VLOOKUP(F501,'Set up'!$A$2:$E$70,5,FALSE)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73"/>
        <v>1</v>
      </c>
      <c r="C502" s="5">
        <f t="shared" si="74"/>
        <v>2022</v>
      </c>
      <c r="D502" s="5" t="s">
        <v>548</v>
      </c>
      <c r="E502" s="5" t="str">
        <f>VLOOKUP(F502,'Set up'!$A$2:$C$70,2,FALSE)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up'!$A$2:$C$70,3,FALSE)</f>
        <v>Cash</v>
      </c>
      <c r="J502" s="5">
        <f>VLOOKUP(F502,'Set up'!$A$2:$D$70,4,FALSE)</f>
        <v>0</v>
      </c>
      <c r="K502" s="4">
        <f t="shared" si="75"/>
        <v>44568</v>
      </c>
      <c r="L502" s="5">
        <f t="shared" si="76"/>
        <v>1</v>
      </c>
      <c r="M502" s="5">
        <f t="shared" si="77"/>
        <v>2022</v>
      </c>
      <c r="N502" s="6">
        <v>351</v>
      </c>
      <c r="O502" s="6">
        <f t="shared" si="82"/>
        <v>-351</v>
      </c>
      <c r="P502" s="6">
        <f t="shared" si="80"/>
        <v>0</v>
      </c>
      <c r="Q502" s="7">
        <f t="shared" si="78"/>
        <v>848267.85</v>
      </c>
      <c r="R502" s="44" t="str">
        <f>VLOOKUP(F502,'Set up'!$A$2:$E$70,5,FALSE)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73"/>
        <v>1</v>
      </c>
      <c r="C503" s="5">
        <f t="shared" si="74"/>
        <v>2022</v>
      </c>
      <c r="D503" s="5" t="s">
        <v>549</v>
      </c>
      <c r="E503" s="5" t="str">
        <f>VLOOKUP(F503,'Set up'!$A$2:$C$70,2,FALSE)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up'!$A$2:$C$70,3,FALSE)</f>
        <v>Cash</v>
      </c>
      <c r="J503" s="5">
        <f>VLOOKUP(F503,'Set up'!$A$2:$D$70,4,FALSE)</f>
        <v>0</v>
      </c>
      <c r="K503" s="4">
        <f t="shared" si="75"/>
        <v>44569</v>
      </c>
      <c r="L503" s="5">
        <f t="shared" si="76"/>
        <v>1</v>
      </c>
      <c r="M503" s="5">
        <f t="shared" si="77"/>
        <v>2022</v>
      </c>
      <c r="N503" s="6">
        <v>4180</v>
      </c>
      <c r="O503" s="6">
        <f t="shared" si="82"/>
        <v>-4180</v>
      </c>
      <c r="P503" s="6">
        <f t="shared" si="80"/>
        <v>0</v>
      </c>
      <c r="Q503" s="7">
        <f t="shared" si="78"/>
        <v>852447.85</v>
      </c>
      <c r="R503" s="44" t="str">
        <f>VLOOKUP(F503,'Set up'!$A$2:$E$70,5,FALSE)</f>
        <v>Trsf</v>
      </c>
      <c r="S503" s="1" t="s">
        <v>735</v>
      </c>
    </row>
    <row r="504" spans="1:19" x14ac:dyDescent="0.35">
      <c r="A504" s="4">
        <v>44569</v>
      </c>
      <c r="B504" s="5">
        <f t="shared" si="73"/>
        <v>1</v>
      </c>
      <c r="C504" s="5">
        <f t="shared" si="74"/>
        <v>2022</v>
      </c>
      <c r="D504" s="5" t="s">
        <v>549</v>
      </c>
      <c r="E504" s="5" t="str">
        <f>VLOOKUP(F504,'Set up'!$A$2:$C$70,2,FALSE)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up'!$A$2:$C$70,3,FALSE)</f>
        <v>Cash</v>
      </c>
      <c r="J504" s="5">
        <f>VLOOKUP(F504,'Set up'!$A$2:$D$70,4,FALSE)</f>
        <v>0</v>
      </c>
      <c r="K504" s="4">
        <f t="shared" si="75"/>
        <v>44569</v>
      </c>
      <c r="L504" s="5">
        <f t="shared" si="76"/>
        <v>1</v>
      </c>
      <c r="M504" s="5">
        <f t="shared" si="77"/>
        <v>2022</v>
      </c>
      <c r="N504" s="6">
        <v>2058</v>
      </c>
      <c r="O504" s="6">
        <f>-897.3-1160.7</f>
        <v>-2058</v>
      </c>
      <c r="P504" s="6">
        <f t="shared" si="80"/>
        <v>0</v>
      </c>
      <c r="Q504" s="7">
        <f t="shared" si="78"/>
        <v>854505.85</v>
      </c>
      <c r="R504" s="44" t="str">
        <f>VLOOKUP(F504,'Set up'!$A$2:$E$70,5,FALSE)</f>
        <v>Trsf</v>
      </c>
      <c r="S504" s="1" t="s">
        <v>736</v>
      </c>
    </row>
    <row r="505" spans="1:19" x14ac:dyDescent="0.35">
      <c r="A505" s="4">
        <v>44569</v>
      </c>
      <c r="B505" s="5">
        <f t="shared" si="73"/>
        <v>1</v>
      </c>
      <c r="C505" s="5">
        <f t="shared" si="74"/>
        <v>2022</v>
      </c>
      <c r="D505" s="5" t="s">
        <v>549</v>
      </c>
      <c r="E505" s="5" t="str">
        <f>VLOOKUP(F505,'Set up'!$A$2:$C$70,2,FALSE)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up'!$A$2:$C$70,3,FALSE)</f>
        <v>Cash</v>
      </c>
      <c r="J505" s="5">
        <f>VLOOKUP(F505,'Set up'!$A$2:$D$70,4,FALSE)</f>
        <v>0</v>
      </c>
      <c r="K505" s="4">
        <f t="shared" si="75"/>
        <v>44569</v>
      </c>
      <c r="L505" s="5">
        <f t="shared" si="76"/>
        <v>1</v>
      </c>
      <c r="M505" s="5">
        <f t="shared" si="77"/>
        <v>2022</v>
      </c>
      <c r="N505" s="6">
        <v>312</v>
      </c>
      <c r="O505" s="6">
        <f>-N505</f>
        <v>-312</v>
      </c>
      <c r="P505" s="6">
        <f t="shared" si="80"/>
        <v>0</v>
      </c>
      <c r="Q505" s="7">
        <f t="shared" si="78"/>
        <v>854817.85</v>
      </c>
      <c r="R505" s="44" t="str">
        <f>VLOOKUP(F505,'Set up'!$A$2:$E$70,5,FALSE)</f>
        <v>Trsf</v>
      </c>
      <c r="S505" s="1" t="s">
        <v>737</v>
      </c>
    </row>
    <row r="506" spans="1:19" x14ac:dyDescent="0.35">
      <c r="A506" s="4">
        <v>44569</v>
      </c>
      <c r="B506" s="5">
        <f t="shared" si="73"/>
        <v>1</v>
      </c>
      <c r="C506" s="5">
        <f t="shared" si="74"/>
        <v>2022</v>
      </c>
      <c r="D506" s="5" t="s">
        <v>549</v>
      </c>
      <c r="E506" s="5" t="str">
        <f>VLOOKUP(F506,'Set up'!$A$2:$C$70,2,FALSE)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up'!$A$2:$C$70,3,FALSE)</f>
        <v>Cash</v>
      </c>
      <c r="J506" s="5">
        <f>VLOOKUP(F506,'Set up'!$A$2:$D$70,4,FALSE)</f>
        <v>0</v>
      </c>
      <c r="K506" s="4">
        <f t="shared" si="75"/>
        <v>44569</v>
      </c>
      <c r="L506" s="5">
        <f t="shared" si="76"/>
        <v>1</v>
      </c>
      <c r="M506" s="5">
        <f t="shared" si="77"/>
        <v>2022</v>
      </c>
      <c r="N506" s="6">
        <v>702</v>
      </c>
      <c r="O506" s="6">
        <f>-N506</f>
        <v>-702</v>
      </c>
      <c r="P506" s="6">
        <f t="shared" si="80"/>
        <v>0</v>
      </c>
      <c r="Q506" s="7">
        <f t="shared" si="78"/>
        <v>855519.85</v>
      </c>
      <c r="R506" s="44" t="str">
        <f>VLOOKUP(F506,'Set up'!$A$2:$E$70,5,FALSE)</f>
        <v>Trsf</v>
      </c>
      <c r="S506" s="1" t="s">
        <v>737</v>
      </c>
    </row>
    <row r="507" spans="1:19" x14ac:dyDescent="0.35">
      <c r="A507" s="4">
        <v>44569</v>
      </c>
      <c r="B507" s="5">
        <f t="shared" si="73"/>
        <v>1</v>
      </c>
      <c r="C507" s="5">
        <f t="shared" si="74"/>
        <v>2022</v>
      </c>
      <c r="D507" s="5" t="s">
        <v>549</v>
      </c>
      <c r="E507" s="5" t="str">
        <f>VLOOKUP(F507,'Set up'!$A$2:$C$70,2,FALSE)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up'!$A$2:$C$70,3,FALSE)</f>
        <v>Cash</v>
      </c>
      <c r="J507" s="5">
        <f>VLOOKUP(F507,'Set up'!$A$2:$D$70,4,FALSE)</f>
        <v>0</v>
      </c>
      <c r="K507" s="4">
        <f t="shared" si="75"/>
        <v>44569</v>
      </c>
      <c r="L507" s="5">
        <f t="shared" si="76"/>
        <v>1</v>
      </c>
      <c r="M507" s="5">
        <f t="shared" si="77"/>
        <v>2022</v>
      </c>
      <c r="N507" s="6">
        <v>125</v>
      </c>
      <c r="O507" s="6">
        <f>-N507</f>
        <v>-125</v>
      </c>
      <c r="P507" s="6">
        <f t="shared" si="80"/>
        <v>0</v>
      </c>
      <c r="Q507" s="7">
        <f t="shared" si="78"/>
        <v>855644.85</v>
      </c>
      <c r="R507" s="44" t="str">
        <f>VLOOKUP(F507,'Set up'!$A$2:$E$70,5,FALSE)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73"/>
        <v>1</v>
      </c>
      <c r="C508" s="5">
        <f t="shared" si="74"/>
        <v>2022</v>
      </c>
      <c r="D508" s="5" t="s">
        <v>550</v>
      </c>
      <c r="E508" s="5" t="str">
        <f>VLOOKUP(F508,'Set up'!$A$2:$C$70,2,FALSE)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up'!$A$2:$C$70,3,FALSE)</f>
        <v>45</v>
      </c>
      <c r="J508" s="5">
        <f>VLOOKUP(F508,'Set up'!$A$2:$D$70,4,FALSE)</f>
        <v>45</v>
      </c>
      <c r="K508" s="4">
        <f t="shared" si="75"/>
        <v>44616</v>
      </c>
      <c r="L508" s="5">
        <f t="shared" si="76"/>
        <v>2</v>
      </c>
      <c r="M508" s="5">
        <f t="shared" si="77"/>
        <v>2022</v>
      </c>
      <c r="N508" s="6">
        <v>6336</v>
      </c>
      <c r="O508" s="6">
        <f>-1800-1800-1935-801</f>
        <v>-6336</v>
      </c>
      <c r="P508" s="6">
        <f t="shared" si="80"/>
        <v>0</v>
      </c>
      <c r="Q508" s="7">
        <f t="shared" si="78"/>
        <v>861980.85</v>
      </c>
      <c r="R508" s="44" t="str">
        <f>VLOOKUP(F508,'Set up'!$A$2:$E$70,5,FALSE)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73"/>
        <v>1</v>
      </c>
      <c r="C509" s="5">
        <f t="shared" si="74"/>
        <v>2022</v>
      </c>
      <c r="D509" s="5" t="s">
        <v>550</v>
      </c>
      <c r="E509" s="5" t="str">
        <f>VLOOKUP(F509,'Set up'!$A$2:$C$70,2,FALSE)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up'!$A$2:$C$70,3,FALSE)</f>
        <v>45</v>
      </c>
      <c r="J509" s="5">
        <f>VLOOKUP(F509,'Set up'!$A$2:$D$70,4,FALSE)</f>
        <v>45</v>
      </c>
      <c r="K509" s="4">
        <f t="shared" si="75"/>
        <v>44616</v>
      </c>
      <c r="L509" s="5">
        <f t="shared" si="76"/>
        <v>2</v>
      </c>
      <c r="M509" s="5">
        <f t="shared" si="77"/>
        <v>2022</v>
      </c>
      <c r="N509" s="6">
        <v>309</v>
      </c>
      <c r="O509" s="6">
        <f t="shared" ref="O509:O519" si="83">-N509</f>
        <v>-309</v>
      </c>
      <c r="P509" s="6">
        <f t="shared" si="80"/>
        <v>0</v>
      </c>
      <c r="Q509" s="7">
        <f t="shared" si="78"/>
        <v>862289.85</v>
      </c>
      <c r="R509" s="44" t="str">
        <f>VLOOKUP(F509,'Set up'!$A$2:$E$70,5,FALSE)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73"/>
        <v>1</v>
      </c>
      <c r="C510" s="5">
        <f t="shared" si="74"/>
        <v>2022</v>
      </c>
      <c r="D510" s="5" t="s">
        <v>550</v>
      </c>
      <c r="E510" s="5" t="str">
        <f>VLOOKUP(F510,'Set up'!$A$2:$C$70,2,FALSE)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up'!$A$2:$C$70,3,FALSE)</f>
        <v>45</v>
      </c>
      <c r="J510" s="5">
        <f>VLOOKUP(F510,'Set up'!$A$2:$D$70,4,FALSE)</f>
        <v>45</v>
      </c>
      <c r="K510" s="4">
        <f t="shared" si="75"/>
        <v>44616</v>
      </c>
      <c r="L510" s="5">
        <f t="shared" si="76"/>
        <v>2</v>
      </c>
      <c r="M510" s="5">
        <f t="shared" si="77"/>
        <v>2022</v>
      </c>
      <c r="N510" s="6">
        <v>600</v>
      </c>
      <c r="O510" s="6">
        <f t="shared" si="83"/>
        <v>-600</v>
      </c>
      <c r="P510" s="6">
        <f t="shared" si="80"/>
        <v>0</v>
      </c>
      <c r="Q510" s="7">
        <f t="shared" si="78"/>
        <v>862889.85</v>
      </c>
      <c r="R510" s="44" t="str">
        <f>VLOOKUP(F510,'Set up'!$A$2:$E$70,5,FALSE)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73"/>
        <v>1</v>
      </c>
      <c r="C511" s="5">
        <f t="shared" si="74"/>
        <v>2022</v>
      </c>
      <c r="D511" s="5" t="s">
        <v>550</v>
      </c>
      <c r="E511" s="5" t="str">
        <f>VLOOKUP(F511,'Set up'!$A$2:$C$70,2,FALSE)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up'!$A$2:$C$70,3,FALSE)</f>
        <v>45</v>
      </c>
      <c r="J511" s="5">
        <f>VLOOKUP(F511,'Set up'!$A$2:$D$70,4,FALSE)</f>
        <v>45</v>
      </c>
      <c r="K511" s="4">
        <f t="shared" si="75"/>
        <v>44616</v>
      </c>
      <c r="L511" s="5">
        <f t="shared" si="76"/>
        <v>2</v>
      </c>
      <c r="M511" s="5">
        <f t="shared" si="77"/>
        <v>2022</v>
      </c>
      <c r="N511" s="6">
        <v>90</v>
      </c>
      <c r="O511" s="6">
        <f t="shared" si="83"/>
        <v>-90</v>
      </c>
      <c r="P511" s="6">
        <f t="shared" si="80"/>
        <v>0</v>
      </c>
      <c r="Q511" s="7">
        <f t="shared" si="78"/>
        <v>862979.85</v>
      </c>
      <c r="R511" s="44" t="str">
        <f>VLOOKUP(F511,'Set up'!$A$2:$E$70,5,FALSE)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73"/>
        <v>1</v>
      </c>
      <c r="C512" s="5">
        <f t="shared" si="74"/>
        <v>2022</v>
      </c>
      <c r="D512" s="5" t="s">
        <v>552</v>
      </c>
      <c r="E512" s="5" t="str">
        <f>VLOOKUP(F512,'Set up'!$A$2:$C$70,2,FALSE)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up'!$A$2:$C$70,3,FALSE)</f>
        <v>120</v>
      </c>
      <c r="J512" s="5">
        <f>VLOOKUP(F512,'Set up'!$A$2:$D$70,4,FALSE)</f>
        <v>120</v>
      </c>
      <c r="K512" s="4">
        <f t="shared" si="75"/>
        <v>44692</v>
      </c>
      <c r="L512" s="5">
        <f t="shared" si="76"/>
        <v>5</v>
      </c>
      <c r="M512" s="5">
        <f t="shared" si="77"/>
        <v>2022</v>
      </c>
      <c r="N512" s="6">
        <v>8096</v>
      </c>
      <c r="O512" s="6">
        <f t="shared" si="83"/>
        <v>-8096</v>
      </c>
      <c r="P512" s="6">
        <f t="shared" si="80"/>
        <v>0</v>
      </c>
      <c r="Q512" s="7">
        <f t="shared" si="78"/>
        <v>871075.85</v>
      </c>
      <c r="R512" s="44" t="str">
        <f>VLOOKUP(F512,'Set up'!$A$2:$E$70,5,FALSE)</f>
        <v>Trsf</v>
      </c>
      <c r="S512" s="1" t="s">
        <v>750</v>
      </c>
    </row>
    <row r="513" spans="1:19" x14ac:dyDescent="0.35">
      <c r="A513" s="4">
        <v>44572</v>
      </c>
      <c r="B513" s="5">
        <f t="shared" si="73"/>
        <v>1</v>
      </c>
      <c r="C513" s="5">
        <f t="shared" si="74"/>
        <v>2022</v>
      </c>
      <c r="D513" s="5" t="s">
        <v>552</v>
      </c>
      <c r="E513" s="5" t="str">
        <f>VLOOKUP(F513,'Set up'!$A$2:$C$70,2,FALSE)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up'!$A$2:$C$70,3,FALSE)</f>
        <v>120</v>
      </c>
      <c r="J513" s="5">
        <f>VLOOKUP(F513,'Set up'!$A$2:$D$70,4,FALSE)</f>
        <v>120</v>
      </c>
      <c r="K513" s="4">
        <f t="shared" si="75"/>
        <v>44692</v>
      </c>
      <c r="L513" s="5">
        <f t="shared" si="76"/>
        <v>5</v>
      </c>
      <c r="M513" s="5">
        <f t="shared" si="77"/>
        <v>2022</v>
      </c>
      <c r="N513" s="6">
        <v>5700</v>
      </c>
      <c r="O513" s="6">
        <f t="shared" si="83"/>
        <v>-5700</v>
      </c>
      <c r="P513" s="6">
        <f t="shared" si="80"/>
        <v>0</v>
      </c>
      <c r="Q513" s="7">
        <f t="shared" si="78"/>
        <v>876775.85</v>
      </c>
      <c r="R513" s="44" t="str">
        <f>VLOOKUP(F513,'Set up'!$A$2:$E$70,5,FALSE)</f>
        <v>Trsf</v>
      </c>
      <c r="S513" s="1" t="s">
        <v>750</v>
      </c>
    </row>
    <row r="514" spans="1:19" x14ac:dyDescent="0.35">
      <c r="A514" s="4">
        <v>44572</v>
      </c>
      <c r="B514" s="5">
        <f t="shared" si="73"/>
        <v>1</v>
      </c>
      <c r="C514" s="5">
        <f t="shared" si="74"/>
        <v>2022</v>
      </c>
      <c r="D514" s="5" t="s">
        <v>552</v>
      </c>
      <c r="E514" s="5" t="str">
        <f>VLOOKUP(F514,'Set up'!$A$2:$C$70,2,FALSE)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up'!$A$2:$C$70,3,FALSE)</f>
        <v>120</v>
      </c>
      <c r="J514" s="5">
        <f>VLOOKUP(F514,'Set up'!$A$2:$D$70,4,FALSE)</f>
        <v>120</v>
      </c>
      <c r="K514" s="4">
        <f t="shared" si="75"/>
        <v>44692</v>
      </c>
      <c r="L514" s="5">
        <f t="shared" si="76"/>
        <v>5</v>
      </c>
      <c r="M514" s="5">
        <f t="shared" si="77"/>
        <v>2022</v>
      </c>
      <c r="N514" s="6">
        <v>550</v>
      </c>
      <c r="O514" s="6">
        <f t="shared" si="83"/>
        <v>-550</v>
      </c>
      <c r="P514" s="6">
        <f t="shared" si="80"/>
        <v>0</v>
      </c>
      <c r="Q514" s="7">
        <f t="shared" si="78"/>
        <v>877325.85</v>
      </c>
      <c r="R514" s="44" t="str">
        <f>VLOOKUP(F514,'Set up'!$A$2:$E$70,5,FALSE)</f>
        <v>Trsf</v>
      </c>
      <c r="S514" s="1" t="s">
        <v>750</v>
      </c>
    </row>
    <row r="515" spans="1:19" x14ac:dyDescent="0.35">
      <c r="A515" s="4">
        <v>44572</v>
      </c>
      <c r="B515" s="5">
        <f t="shared" ref="B515:B578" si="84">MONTH(A515)</f>
        <v>1</v>
      </c>
      <c r="C515" s="5">
        <f t="shared" ref="C515:C578" si="85">YEAR(A515)</f>
        <v>2022</v>
      </c>
      <c r="D515" s="5" t="s">
        <v>552</v>
      </c>
      <c r="E515" s="5" t="str">
        <f>VLOOKUP(F515,'Set up'!$A$2:$C$70,2,FALSE)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up'!$A$2:$C$70,3,FALSE)</f>
        <v>120</v>
      </c>
      <c r="J515" s="5">
        <f>VLOOKUP(F515,'Set up'!$A$2:$D$70,4,FALSE)</f>
        <v>120</v>
      </c>
      <c r="K515" s="4">
        <f t="shared" ref="K515:K578" si="86">A515+J515</f>
        <v>44692</v>
      </c>
      <c r="L515" s="5">
        <f t="shared" ref="L515:L578" si="87">MONTH(K515)</f>
        <v>5</v>
      </c>
      <c r="M515" s="5">
        <f t="shared" ref="M515:M578" si="88">YEAR(K515)</f>
        <v>2022</v>
      </c>
      <c r="N515" s="6">
        <v>340</v>
      </c>
      <c r="O515" s="6">
        <f t="shared" si="83"/>
        <v>-340</v>
      </c>
      <c r="P515" s="6">
        <f t="shared" si="80"/>
        <v>0</v>
      </c>
      <c r="Q515" s="7">
        <f t="shared" ref="Q515:Q578" si="89">SUM(Q514+N515)</f>
        <v>877665.85</v>
      </c>
      <c r="R515" s="44" t="str">
        <f>VLOOKUP(F515,'Set up'!$A$2:$E$70,5,FALSE)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4"/>
        <v>1</v>
      </c>
      <c r="C516" s="5">
        <f t="shared" si="85"/>
        <v>2022</v>
      </c>
      <c r="D516" s="5" t="s">
        <v>552</v>
      </c>
      <c r="E516" s="5" t="str">
        <f>VLOOKUP(F516,'Set up'!$A$2:$C$70,2,FALSE)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up'!$A$2:$C$70,3,FALSE)</f>
        <v>120</v>
      </c>
      <c r="J516" s="5">
        <f>VLOOKUP(F516,'Set up'!$A$2:$D$70,4,FALSE)</f>
        <v>120</v>
      </c>
      <c r="K516" s="4">
        <f t="shared" si="86"/>
        <v>44692</v>
      </c>
      <c r="L516" s="5">
        <f t="shared" si="87"/>
        <v>5</v>
      </c>
      <c r="M516" s="5">
        <f t="shared" si="88"/>
        <v>2022</v>
      </c>
      <c r="N516" s="6">
        <v>440</v>
      </c>
      <c r="O516" s="6">
        <f t="shared" si="83"/>
        <v>-440</v>
      </c>
      <c r="P516" s="6">
        <f t="shared" si="80"/>
        <v>0</v>
      </c>
      <c r="Q516" s="7">
        <f t="shared" si="89"/>
        <v>878105.85</v>
      </c>
      <c r="R516" s="44" t="str">
        <f>VLOOKUP(F516,'Set up'!$A$2:$E$70,5,FALSE)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4"/>
        <v>1</v>
      </c>
      <c r="C517" s="5">
        <f t="shared" si="85"/>
        <v>2022</v>
      </c>
      <c r="D517" s="5" t="s">
        <v>552</v>
      </c>
      <c r="E517" s="5" t="str">
        <f>VLOOKUP(F517,'Set up'!$A$2:$C$70,2,FALSE)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up'!$A$2:$C$70,3,FALSE)</f>
        <v>120</v>
      </c>
      <c r="J517" s="5">
        <f>VLOOKUP(F517,'Set up'!$A$2:$D$70,4,FALSE)</f>
        <v>120</v>
      </c>
      <c r="K517" s="4">
        <f t="shared" si="86"/>
        <v>44692</v>
      </c>
      <c r="L517" s="5">
        <f t="shared" si="87"/>
        <v>5</v>
      </c>
      <c r="M517" s="5">
        <f t="shared" si="88"/>
        <v>2022</v>
      </c>
      <c r="N517" s="6">
        <v>220</v>
      </c>
      <c r="O517" s="6">
        <f t="shared" si="83"/>
        <v>-220</v>
      </c>
      <c r="P517" s="6">
        <f t="shared" si="80"/>
        <v>0</v>
      </c>
      <c r="Q517" s="7">
        <f t="shared" si="89"/>
        <v>878325.85</v>
      </c>
      <c r="R517" s="44" t="str">
        <f>VLOOKUP(F517,'Set up'!$A$2:$E$70,5,FALSE)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4"/>
        <v>1</v>
      </c>
      <c r="C518" s="5">
        <f t="shared" si="85"/>
        <v>2022</v>
      </c>
      <c r="D518" s="5" t="s">
        <v>557</v>
      </c>
      <c r="E518" s="5" t="str">
        <f>VLOOKUP(F518,'Set up'!$A$2:$C$70,2,FALSE)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up'!$A$2:$C$70,3,FALSE)</f>
        <v>Cash</v>
      </c>
      <c r="J518" s="5">
        <f>VLOOKUP(F518,'Set up'!$A$2:$D$70,4,FALSE)</f>
        <v>0</v>
      </c>
      <c r="K518" s="4">
        <f t="shared" si="86"/>
        <v>44574</v>
      </c>
      <c r="L518" s="5">
        <f t="shared" si="87"/>
        <v>1</v>
      </c>
      <c r="M518" s="5">
        <f t="shared" si="88"/>
        <v>2022</v>
      </c>
      <c r="N518" s="6">
        <v>4136</v>
      </c>
      <c r="O518" s="6">
        <f t="shared" si="83"/>
        <v>-4136</v>
      </c>
      <c r="P518" s="6">
        <f t="shared" si="80"/>
        <v>0</v>
      </c>
      <c r="Q518" s="7">
        <f t="shared" si="89"/>
        <v>882461.85</v>
      </c>
      <c r="R518" s="44" t="str">
        <f>VLOOKUP(F518,'Set up'!$A$2:$E$70,5,FALSE)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4"/>
        <v>1</v>
      </c>
      <c r="C519" s="5">
        <f t="shared" si="85"/>
        <v>2022</v>
      </c>
      <c r="D519" s="5" t="s">
        <v>557</v>
      </c>
      <c r="E519" s="5" t="str">
        <f>VLOOKUP(F519,'Set up'!$A$2:$C$70,2,FALSE)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up'!$A$2:$C$70,3,FALSE)</f>
        <v>Cash</v>
      </c>
      <c r="J519" s="5">
        <f>VLOOKUP(F519,'Set up'!$A$2:$D$70,4,FALSE)</f>
        <v>0</v>
      </c>
      <c r="K519" s="4">
        <f t="shared" si="86"/>
        <v>44574</v>
      </c>
      <c r="L519" s="5">
        <f t="shared" si="87"/>
        <v>1</v>
      </c>
      <c r="M519" s="5">
        <f t="shared" si="88"/>
        <v>2022</v>
      </c>
      <c r="N519" s="6">
        <v>1047.5999999999999</v>
      </c>
      <c r="O519" s="6">
        <f t="shared" si="83"/>
        <v>-1047.5999999999999</v>
      </c>
      <c r="P519" s="6">
        <f t="shared" si="80"/>
        <v>0</v>
      </c>
      <c r="Q519" s="7">
        <f t="shared" si="89"/>
        <v>883509.45</v>
      </c>
      <c r="R519" s="44" t="str">
        <f>VLOOKUP(F519,'Set up'!$A$2:$E$70,5,FALSE)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4"/>
        <v>1</v>
      </c>
      <c r="C520" s="5">
        <f t="shared" si="85"/>
        <v>2022</v>
      </c>
      <c r="D520" s="5" t="s">
        <v>558</v>
      </c>
      <c r="E520" s="5" t="str">
        <f>VLOOKUP(F520,'Set up'!$A$2:$C$70,2,FALSE)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up'!$A$2:$C$70,3,FALSE)</f>
        <v>Cash</v>
      </c>
      <c r="J520" s="5">
        <f>VLOOKUP(F520,'Set up'!$A$2:$D$70,4,FALSE)</f>
        <v>0</v>
      </c>
      <c r="K520" s="4">
        <f t="shared" si="86"/>
        <v>44574</v>
      </c>
      <c r="L520" s="5">
        <f t="shared" si="87"/>
        <v>1</v>
      </c>
      <c r="M520" s="5">
        <f t="shared" si="88"/>
        <v>2022</v>
      </c>
      <c r="N520" s="6">
        <v>16720</v>
      </c>
      <c r="O520" s="6">
        <f>-1200.3-8000-7519.7</f>
        <v>-16720</v>
      </c>
      <c r="P520" s="6">
        <f t="shared" si="80"/>
        <v>0</v>
      </c>
      <c r="Q520" s="7">
        <f t="shared" si="89"/>
        <v>900229.45</v>
      </c>
      <c r="R520" s="44" t="str">
        <f>VLOOKUP(F520,'Set up'!$A$2:$E$70,5,FALSE)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4"/>
        <v>1</v>
      </c>
      <c r="C521" s="5">
        <f t="shared" si="85"/>
        <v>2022</v>
      </c>
      <c r="D521" s="5" t="s">
        <v>558</v>
      </c>
      <c r="E521" s="5" t="str">
        <f>VLOOKUP(F521,'Set up'!$A$2:$C$70,2,FALSE)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up'!$A$2:$C$70,3,FALSE)</f>
        <v>Cash</v>
      </c>
      <c r="J521" s="5">
        <f>VLOOKUP(F521,'Set up'!$A$2:$D$70,4,FALSE)</f>
        <v>0</v>
      </c>
      <c r="K521" s="4">
        <f t="shared" si="86"/>
        <v>44574</v>
      </c>
      <c r="L521" s="5">
        <f t="shared" si="87"/>
        <v>1</v>
      </c>
      <c r="M521" s="5">
        <f t="shared" si="88"/>
        <v>2022</v>
      </c>
      <c r="N521" s="6">
        <v>6468</v>
      </c>
      <c r="O521" s="6">
        <f>-480.3-5987.7</f>
        <v>-6468</v>
      </c>
      <c r="P521" s="6">
        <f t="shared" si="80"/>
        <v>0</v>
      </c>
      <c r="Q521" s="7">
        <f t="shared" si="89"/>
        <v>906697.45</v>
      </c>
      <c r="R521" s="44" t="str">
        <f>VLOOKUP(F521,'Set up'!$A$2:$E$70,5,FALSE)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4"/>
        <v>1</v>
      </c>
      <c r="C522" s="5">
        <f t="shared" si="85"/>
        <v>2022</v>
      </c>
      <c r="D522" s="5" t="s">
        <v>558</v>
      </c>
      <c r="E522" s="5" t="str">
        <f>VLOOKUP(F522,'Set up'!$A$2:$C$70,2,FALSE)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up'!$A$2:$C$70,3,FALSE)</f>
        <v>Cash</v>
      </c>
      <c r="J522" s="5">
        <f>VLOOKUP(F522,'Set up'!$A$2:$D$70,4,FALSE)</f>
        <v>0</v>
      </c>
      <c r="K522" s="4">
        <f t="shared" si="86"/>
        <v>44574</v>
      </c>
      <c r="L522" s="5">
        <f t="shared" si="87"/>
        <v>1</v>
      </c>
      <c r="M522" s="5">
        <f t="shared" si="88"/>
        <v>2022</v>
      </c>
      <c r="N522" s="6">
        <v>3861</v>
      </c>
      <c r="O522" s="6">
        <f>-2012.3-1848.7</f>
        <v>-3861</v>
      </c>
      <c r="P522" s="6">
        <f t="shared" si="80"/>
        <v>0</v>
      </c>
      <c r="Q522" s="7">
        <f t="shared" si="89"/>
        <v>910558.45</v>
      </c>
      <c r="R522" s="44" t="str">
        <f>VLOOKUP(F522,'Set up'!$A$2:$E$70,5,FALSE)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4"/>
        <v>1</v>
      </c>
      <c r="C523" s="5">
        <f t="shared" si="85"/>
        <v>2022</v>
      </c>
      <c r="D523" s="5" t="s">
        <v>558</v>
      </c>
      <c r="E523" s="5" t="str">
        <f>VLOOKUP(F523,'Set up'!$A$2:$C$70,2,FALSE)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up'!$A$2:$C$70,3,FALSE)</f>
        <v>Cash</v>
      </c>
      <c r="J523" s="5">
        <f>VLOOKUP(F523,'Set up'!$A$2:$D$70,4,FALSE)</f>
        <v>0</v>
      </c>
      <c r="K523" s="4">
        <f t="shared" si="86"/>
        <v>44574</v>
      </c>
      <c r="L523" s="5">
        <f t="shared" si="87"/>
        <v>1</v>
      </c>
      <c r="M523" s="5">
        <f t="shared" si="88"/>
        <v>2022</v>
      </c>
      <c r="N523" s="6">
        <v>1000</v>
      </c>
      <c r="O523" s="6">
        <f t="shared" ref="O523:O547" si="90">-N523</f>
        <v>-1000</v>
      </c>
      <c r="P523" s="6">
        <f t="shared" si="80"/>
        <v>0</v>
      </c>
      <c r="Q523" s="7">
        <f t="shared" si="89"/>
        <v>911558.45</v>
      </c>
      <c r="R523" s="44" t="str">
        <f>VLOOKUP(F523,'Set up'!$A$2:$E$70,5,FALSE)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4"/>
        <v>1</v>
      </c>
      <c r="C524" s="5">
        <f t="shared" si="85"/>
        <v>2022</v>
      </c>
      <c r="D524" s="5" t="s">
        <v>558</v>
      </c>
      <c r="E524" s="5" t="str">
        <f>VLOOKUP(F524,'Set up'!$A$2:$C$70,2,FALSE)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up'!$A$2:$C$70,3,FALSE)</f>
        <v>Cash</v>
      </c>
      <c r="J524" s="5">
        <f>VLOOKUP(F524,'Set up'!$A$2:$D$70,4,FALSE)</f>
        <v>0</v>
      </c>
      <c r="K524" s="4">
        <f t="shared" si="86"/>
        <v>44574</v>
      </c>
      <c r="L524" s="5">
        <f t="shared" si="87"/>
        <v>1</v>
      </c>
      <c r="M524" s="5">
        <f t="shared" si="88"/>
        <v>2022</v>
      </c>
      <c r="N524" s="6">
        <v>500</v>
      </c>
      <c r="O524" s="6">
        <f t="shared" si="90"/>
        <v>-500</v>
      </c>
      <c r="P524" s="6">
        <f t="shared" si="80"/>
        <v>0</v>
      </c>
      <c r="Q524" s="7">
        <f t="shared" si="89"/>
        <v>912058.45</v>
      </c>
      <c r="R524" s="44" t="str">
        <f>VLOOKUP(F524,'Set up'!$A$2:$E$70,5,FALSE)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4"/>
        <v>1</v>
      </c>
      <c r="C525" s="5">
        <f t="shared" si="85"/>
        <v>2022</v>
      </c>
      <c r="D525" s="5" t="s">
        <v>559</v>
      </c>
      <c r="E525" s="5" t="str">
        <f>VLOOKUP(F525,'Set up'!$A$2:$C$70,2,FALSE)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up'!$A$2:$C$70,3,FALSE)</f>
        <v>120</v>
      </c>
      <c r="J525" s="5">
        <f>VLOOKUP(F525,'Set up'!$A$2:$D$70,4,FALSE)</f>
        <v>120</v>
      </c>
      <c r="K525" s="4">
        <f t="shared" si="86"/>
        <v>44695</v>
      </c>
      <c r="L525" s="5">
        <f t="shared" si="87"/>
        <v>5</v>
      </c>
      <c r="M525" s="5">
        <f t="shared" si="88"/>
        <v>2022</v>
      </c>
      <c r="N525" s="6">
        <v>4048</v>
      </c>
      <c r="O525" s="6">
        <f t="shared" si="90"/>
        <v>-4048</v>
      </c>
      <c r="P525" s="6">
        <f t="shared" si="80"/>
        <v>0</v>
      </c>
      <c r="Q525" s="7">
        <f t="shared" si="89"/>
        <v>916106.45</v>
      </c>
      <c r="R525" s="44" t="str">
        <f>VLOOKUP(F525,'Set up'!$A$2:$E$70,5,FALSE)</f>
        <v>Chq</v>
      </c>
      <c r="S525" s="1" t="s">
        <v>817</v>
      </c>
    </row>
    <row r="526" spans="1:19" x14ac:dyDescent="0.35">
      <c r="A526" s="4">
        <v>44575</v>
      </c>
      <c r="B526" s="5">
        <f t="shared" si="84"/>
        <v>1</v>
      </c>
      <c r="C526" s="5">
        <f t="shared" si="85"/>
        <v>2022</v>
      </c>
      <c r="D526" s="5" t="s">
        <v>559</v>
      </c>
      <c r="E526" s="5" t="str">
        <f>VLOOKUP(F526,'Set up'!$A$2:$C$70,2,FALSE)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up'!$A$2:$C$70,3,FALSE)</f>
        <v>120</v>
      </c>
      <c r="J526" s="5">
        <f>VLOOKUP(F526,'Set up'!$A$2:$D$70,4,FALSE)</f>
        <v>120</v>
      </c>
      <c r="K526" s="4">
        <f t="shared" si="86"/>
        <v>44695</v>
      </c>
      <c r="L526" s="5">
        <f t="shared" si="87"/>
        <v>5</v>
      </c>
      <c r="M526" s="5">
        <f t="shared" si="88"/>
        <v>2022</v>
      </c>
      <c r="N526" s="6">
        <v>1140</v>
      </c>
      <c r="O526" s="6">
        <f t="shared" si="90"/>
        <v>-1140</v>
      </c>
      <c r="P526" s="6">
        <f t="shared" si="80"/>
        <v>0</v>
      </c>
      <c r="Q526" s="7">
        <f t="shared" si="89"/>
        <v>917246.45</v>
      </c>
      <c r="R526" s="44" t="str">
        <f>VLOOKUP(F526,'Set up'!$A$2:$E$70,5,FALSE)</f>
        <v>Chq</v>
      </c>
      <c r="S526" s="1" t="s">
        <v>817</v>
      </c>
    </row>
    <row r="527" spans="1:19" x14ac:dyDescent="0.35">
      <c r="A527" s="4">
        <v>44575</v>
      </c>
      <c r="B527" s="5">
        <f t="shared" si="84"/>
        <v>1</v>
      </c>
      <c r="C527" s="5">
        <f t="shared" si="85"/>
        <v>2022</v>
      </c>
      <c r="D527" s="5" t="s">
        <v>559</v>
      </c>
      <c r="E527" s="5" t="str">
        <f>VLOOKUP(F527,'Set up'!$A$2:$C$70,2,FALSE)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up'!$A$2:$C$70,3,FALSE)</f>
        <v>120</v>
      </c>
      <c r="J527" s="5">
        <f>VLOOKUP(F527,'Set up'!$A$2:$D$70,4,FALSE)</f>
        <v>120</v>
      </c>
      <c r="K527" s="4">
        <f t="shared" si="86"/>
        <v>44695</v>
      </c>
      <c r="L527" s="5">
        <f t="shared" si="87"/>
        <v>5</v>
      </c>
      <c r="M527" s="5">
        <f t="shared" si="88"/>
        <v>2022</v>
      </c>
      <c r="N527" s="6">
        <v>450</v>
      </c>
      <c r="O527" s="6">
        <f t="shared" si="90"/>
        <v>-450</v>
      </c>
      <c r="P527" s="6">
        <f t="shared" si="80"/>
        <v>0</v>
      </c>
      <c r="Q527" s="7">
        <f t="shared" si="89"/>
        <v>917696.45</v>
      </c>
      <c r="R527" s="44" t="str">
        <f>VLOOKUP(F527,'Set up'!$A$2:$E$70,5,FALSE)</f>
        <v>Chq</v>
      </c>
      <c r="S527" s="1" t="s">
        <v>817</v>
      </c>
    </row>
    <row r="528" spans="1:19" x14ac:dyDescent="0.35">
      <c r="A528" s="4">
        <v>44575</v>
      </c>
      <c r="B528" s="5">
        <f t="shared" si="84"/>
        <v>1</v>
      </c>
      <c r="C528" s="5">
        <f t="shared" si="85"/>
        <v>2022</v>
      </c>
      <c r="D528" s="5" t="s">
        <v>559</v>
      </c>
      <c r="E528" s="5" t="str">
        <f>VLOOKUP(F528,'Set up'!$A$2:$C$70,2,FALSE)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up'!$A$2:$C$70,3,FALSE)</f>
        <v>120</v>
      </c>
      <c r="J528" s="5">
        <f>VLOOKUP(F528,'Set up'!$A$2:$D$70,4,FALSE)</f>
        <v>120</v>
      </c>
      <c r="K528" s="4">
        <f t="shared" si="86"/>
        <v>44695</v>
      </c>
      <c r="L528" s="5">
        <f t="shared" si="87"/>
        <v>5</v>
      </c>
      <c r="M528" s="5">
        <f t="shared" si="88"/>
        <v>2022</v>
      </c>
      <c r="N528" s="6">
        <v>340</v>
      </c>
      <c r="O528" s="6">
        <f t="shared" si="90"/>
        <v>-340</v>
      </c>
      <c r="P528" s="6">
        <f t="shared" si="80"/>
        <v>0</v>
      </c>
      <c r="Q528" s="7">
        <f t="shared" si="89"/>
        <v>918036.45</v>
      </c>
      <c r="R528" s="44" t="str">
        <f>VLOOKUP(F528,'Set up'!$A$2:$E$70,5,FALSE)</f>
        <v>Chq</v>
      </c>
      <c r="S528" s="1" t="s">
        <v>817</v>
      </c>
    </row>
    <row r="529" spans="1:19" x14ac:dyDescent="0.35">
      <c r="A529" s="4">
        <v>44575</v>
      </c>
      <c r="B529" s="5">
        <f t="shared" si="84"/>
        <v>1</v>
      </c>
      <c r="C529" s="5">
        <f t="shared" si="85"/>
        <v>2022</v>
      </c>
      <c r="D529" s="5" t="s">
        <v>559</v>
      </c>
      <c r="E529" s="5" t="str">
        <f>VLOOKUP(F529,'Set up'!$A$2:$C$70,2,FALSE)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up'!$A$2:$C$70,3,FALSE)</f>
        <v>120</v>
      </c>
      <c r="J529" s="5">
        <f>VLOOKUP(F529,'Set up'!$A$2:$D$70,4,FALSE)</f>
        <v>120</v>
      </c>
      <c r="K529" s="4">
        <f t="shared" si="86"/>
        <v>44695</v>
      </c>
      <c r="L529" s="5">
        <f t="shared" si="87"/>
        <v>5</v>
      </c>
      <c r="M529" s="5">
        <f t="shared" si="88"/>
        <v>2022</v>
      </c>
      <c r="N529" s="6">
        <v>540</v>
      </c>
      <c r="O529" s="6">
        <f t="shared" si="90"/>
        <v>-540</v>
      </c>
      <c r="P529" s="6">
        <f t="shared" si="80"/>
        <v>0</v>
      </c>
      <c r="Q529" s="7">
        <f t="shared" si="89"/>
        <v>918576.45</v>
      </c>
      <c r="R529" s="44" t="str">
        <f>VLOOKUP(F529,'Set up'!$A$2:$E$70,5,FALSE)</f>
        <v>Chq</v>
      </c>
      <c r="S529" s="1" t="s">
        <v>817</v>
      </c>
    </row>
    <row r="530" spans="1:19" x14ac:dyDescent="0.35">
      <c r="A530" s="4">
        <v>44575</v>
      </c>
      <c r="B530" s="5">
        <f t="shared" si="84"/>
        <v>1</v>
      </c>
      <c r="C530" s="5">
        <f t="shared" si="85"/>
        <v>2022</v>
      </c>
      <c r="D530" s="5" t="s">
        <v>559</v>
      </c>
      <c r="E530" s="5" t="str">
        <f>VLOOKUP(F530,'Set up'!$A$2:$C$70,2,FALSE)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up'!$A$2:$C$70,3,FALSE)</f>
        <v>120</v>
      </c>
      <c r="J530" s="5">
        <f>VLOOKUP(F530,'Set up'!$A$2:$D$70,4,FALSE)</f>
        <v>120</v>
      </c>
      <c r="K530" s="4">
        <f t="shared" si="86"/>
        <v>44695</v>
      </c>
      <c r="L530" s="5">
        <f t="shared" si="87"/>
        <v>5</v>
      </c>
      <c r="M530" s="5">
        <f t="shared" si="88"/>
        <v>2022</v>
      </c>
      <c r="N530" s="6">
        <v>285</v>
      </c>
      <c r="O530" s="6">
        <f t="shared" si="90"/>
        <v>-285</v>
      </c>
      <c r="P530" s="6">
        <f t="shared" si="80"/>
        <v>0</v>
      </c>
      <c r="Q530" s="7">
        <f t="shared" si="89"/>
        <v>918861.45</v>
      </c>
      <c r="R530" s="44" t="str">
        <f>VLOOKUP(F530,'Set up'!$A$2:$E$70,5,FALSE)</f>
        <v>Chq</v>
      </c>
      <c r="S530" s="1" t="s">
        <v>817</v>
      </c>
    </row>
    <row r="531" spans="1:19" x14ac:dyDescent="0.35">
      <c r="A531" s="4">
        <v>44575</v>
      </c>
      <c r="B531" s="5">
        <f t="shared" si="84"/>
        <v>1</v>
      </c>
      <c r="C531" s="5">
        <f t="shared" si="85"/>
        <v>2022</v>
      </c>
      <c r="D531" s="5" t="s">
        <v>561</v>
      </c>
      <c r="E531" s="5" t="str">
        <f>VLOOKUP(F531,'Set up'!$A$2:$C$70,2,FALSE)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up'!$A$2:$C$70,3,FALSE)</f>
        <v>120</v>
      </c>
      <c r="J531" s="5">
        <f>VLOOKUP(F531,'Set up'!$A$2:$D$70,4,FALSE)</f>
        <v>120</v>
      </c>
      <c r="K531" s="4">
        <f t="shared" si="86"/>
        <v>44695</v>
      </c>
      <c r="L531" s="5">
        <f t="shared" si="87"/>
        <v>5</v>
      </c>
      <c r="M531" s="5">
        <f t="shared" si="88"/>
        <v>2022</v>
      </c>
      <c r="N531" s="6">
        <v>1140</v>
      </c>
      <c r="O531" s="6">
        <f t="shared" si="90"/>
        <v>-1140</v>
      </c>
      <c r="P531" s="6">
        <f t="shared" si="80"/>
        <v>0</v>
      </c>
      <c r="Q531" s="7">
        <f t="shared" si="89"/>
        <v>920001.45</v>
      </c>
      <c r="R531" s="44" t="str">
        <f>VLOOKUP(F531,'Set up'!$A$2:$E$70,5,FALSE)</f>
        <v>Chq</v>
      </c>
      <c r="S531" s="1" t="s">
        <v>817</v>
      </c>
    </row>
    <row r="532" spans="1:19" x14ac:dyDescent="0.35">
      <c r="A532" s="4">
        <v>44575</v>
      </c>
      <c r="B532" s="5">
        <f t="shared" si="84"/>
        <v>1</v>
      </c>
      <c r="C532" s="5">
        <f t="shared" si="85"/>
        <v>2022</v>
      </c>
      <c r="D532" s="5" t="s">
        <v>561</v>
      </c>
      <c r="E532" s="5" t="str">
        <f>VLOOKUP(F532,'Set up'!$A$2:$C$70,2,FALSE)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up'!$A$2:$C$70,3,FALSE)</f>
        <v>120</v>
      </c>
      <c r="J532" s="5">
        <f>VLOOKUP(F532,'Set up'!$A$2:$D$70,4,FALSE)</f>
        <v>120</v>
      </c>
      <c r="K532" s="4">
        <f t="shared" si="86"/>
        <v>44695</v>
      </c>
      <c r="L532" s="5">
        <f t="shared" si="87"/>
        <v>5</v>
      </c>
      <c r="M532" s="5">
        <f t="shared" si="88"/>
        <v>2022</v>
      </c>
      <c r="N532" s="6">
        <v>62.5</v>
      </c>
      <c r="O532" s="6">
        <f t="shared" si="90"/>
        <v>-62.5</v>
      </c>
      <c r="P532" s="6">
        <f t="shared" si="80"/>
        <v>0</v>
      </c>
      <c r="Q532" s="7">
        <f t="shared" si="89"/>
        <v>920063.95</v>
      </c>
      <c r="R532" s="44" t="str">
        <f>VLOOKUP(F532,'Set up'!$A$2:$E$70,5,FALSE)</f>
        <v>Chq</v>
      </c>
      <c r="S532" s="1" t="s">
        <v>817</v>
      </c>
    </row>
    <row r="533" spans="1:19" x14ac:dyDescent="0.35">
      <c r="A533" s="4">
        <v>44578</v>
      </c>
      <c r="B533" s="5">
        <f t="shared" si="84"/>
        <v>1</v>
      </c>
      <c r="C533" s="5">
        <f t="shared" si="85"/>
        <v>2022</v>
      </c>
      <c r="D533" s="5" t="s">
        <v>562</v>
      </c>
      <c r="E533" s="5" t="str">
        <f>VLOOKUP(F533,'Set up'!$A$2:$C$70,2,FALSE)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up'!$A$2:$C$70,3,FALSE)</f>
        <v>120</v>
      </c>
      <c r="J533" s="5">
        <f>VLOOKUP(F533,'Set up'!$A$2:$D$70,4,FALSE)</f>
        <v>120</v>
      </c>
      <c r="K533" s="4">
        <f t="shared" si="86"/>
        <v>44698</v>
      </c>
      <c r="L533" s="5">
        <f t="shared" si="87"/>
        <v>5</v>
      </c>
      <c r="M533" s="5">
        <f t="shared" si="88"/>
        <v>2022</v>
      </c>
      <c r="N533" s="6">
        <v>6072</v>
      </c>
      <c r="O533" s="6">
        <f t="shared" si="90"/>
        <v>-6072</v>
      </c>
      <c r="P533" s="6">
        <f t="shared" ref="P533:P596" si="91">SUM(N533+O533)</f>
        <v>0</v>
      </c>
      <c r="Q533" s="7">
        <f t="shared" si="89"/>
        <v>926135.95</v>
      </c>
      <c r="R533" s="44" t="str">
        <f>VLOOKUP(F533,'Set up'!$A$2:$E$70,5,FALSE)</f>
        <v>Chq</v>
      </c>
      <c r="S533" s="1" t="s">
        <v>817</v>
      </c>
    </row>
    <row r="534" spans="1:19" x14ac:dyDescent="0.35">
      <c r="A534" s="4">
        <v>44578</v>
      </c>
      <c r="B534" s="5">
        <f t="shared" si="84"/>
        <v>1</v>
      </c>
      <c r="C534" s="5">
        <f t="shared" si="85"/>
        <v>2022</v>
      </c>
      <c r="D534" s="5" t="s">
        <v>562</v>
      </c>
      <c r="E534" s="5" t="str">
        <f>VLOOKUP(F534,'Set up'!$A$2:$C$70,2,FALSE)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up'!$A$2:$C$70,3,FALSE)</f>
        <v>120</v>
      </c>
      <c r="J534" s="5">
        <f>VLOOKUP(F534,'Set up'!$A$2:$D$70,4,FALSE)</f>
        <v>120</v>
      </c>
      <c r="K534" s="4">
        <f t="shared" si="86"/>
        <v>44698</v>
      </c>
      <c r="L534" s="5">
        <f t="shared" si="87"/>
        <v>5</v>
      </c>
      <c r="M534" s="5">
        <f t="shared" si="88"/>
        <v>2022</v>
      </c>
      <c r="N534" s="6">
        <v>2024</v>
      </c>
      <c r="O534" s="6">
        <f t="shared" si="90"/>
        <v>-2024</v>
      </c>
      <c r="P534" s="6">
        <f t="shared" si="91"/>
        <v>0</v>
      </c>
      <c r="Q534" s="7">
        <f t="shared" si="89"/>
        <v>928159.95</v>
      </c>
      <c r="R534" s="44" t="str">
        <f>VLOOKUP(F534,'Set up'!$A$2:$E$70,5,FALSE)</f>
        <v>Chq</v>
      </c>
      <c r="S534" s="1" t="s">
        <v>817</v>
      </c>
    </row>
    <row r="535" spans="1:19" x14ac:dyDescent="0.35">
      <c r="A535" s="4">
        <v>44578</v>
      </c>
      <c r="B535" s="5">
        <f t="shared" si="84"/>
        <v>1</v>
      </c>
      <c r="C535" s="5">
        <f t="shared" si="85"/>
        <v>2022</v>
      </c>
      <c r="D535" s="5" t="s">
        <v>562</v>
      </c>
      <c r="E535" s="5" t="str">
        <f>VLOOKUP(F535,'Set up'!$A$2:$C$70,2,FALSE)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up'!$A$2:$C$70,3,FALSE)</f>
        <v>120</v>
      </c>
      <c r="J535" s="5">
        <f>VLOOKUP(F535,'Set up'!$A$2:$D$70,4,FALSE)</f>
        <v>120</v>
      </c>
      <c r="K535" s="4">
        <f t="shared" si="86"/>
        <v>44698</v>
      </c>
      <c r="L535" s="5">
        <f t="shared" si="87"/>
        <v>5</v>
      </c>
      <c r="M535" s="5">
        <f t="shared" si="88"/>
        <v>2022</v>
      </c>
      <c r="N535" s="6">
        <v>390</v>
      </c>
      <c r="O535" s="6">
        <f t="shared" si="90"/>
        <v>-390</v>
      </c>
      <c r="P535" s="6">
        <f t="shared" si="91"/>
        <v>0</v>
      </c>
      <c r="Q535" s="7">
        <f t="shared" si="89"/>
        <v>928549.95</v>
      </c>
      <c r="R535" s="44" t="str">
        <f>VLOOKUP(F535,'Set up'!$A$2:$E$70,5,FALSE)</f>
        <v>Chq</v>
      </c>
      <c r="S535" s="1" t="s">
        <v>817</v>
      </c>
    </row>
    <row r="536" spans="1:19" x14ac:dyDescent="0.35">
      <c r="A536" s="4">
        <v>44579</v>
      </c>
      <c r="B536" s="5">
        <f t="shared" si="84"/>
        <v>1</v>
      </c>
      <c r="C536" s="5">
        <f t="shared" si="85"/>
        <v>2022</v>
      </c>
      <c r="D536" s="5" t="s">
        <v>564</v>
      </c>
      <c r="E536" s="5" t="str">
        <f>VLOOKUP(F536,'Set up'!$A$2:$C$70,2,FALSE)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up'!$A$2:$C$70,3,FALSE)</f>
        <v>Cash</v>
      </c>
      <c r="J536" s="5">
        <f>VLOOKUP(F536,'Set up'!$A$2:$D$70,4,FALSE)</f>
        <v>0</v>
      </c>
      <c r="K536" s="4">
        <f t="shared" si="86"/>
        <v>44579</v>
      </c>
      <c r="L536" s="5">
        <f t="shared" si="87"/>
        <v>1</v>
      </c>
      <c r="M536" s="5">
        <f t="shared" si="88"/>
        <v>2022</v>
      </c>
      <c r="N536" s="6">
        <v>6270</v>
      </c>
      <c r="O536" s="6">
        <f t="shared" si="90"/>
        <v>-6270</v>
      </c>
      <c r="P536" s="6">
        <f t="shared" si="91"/>
        <v>0</v>
      </c>
      <c r="Q536" s="7">
        <f t="shared" si="89"/>
        <v>934819.95</v>
      </c>
      <c r="R536" s="44" t="str">
        <f>VLOOKUP(F536,'Set up'!$A$2:$E$70,5,FALSE)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4"/>
        <v>1</v>
      </c>
      <c r="C537" s="5">
        <f t="shared" si="85"/>
        <v>2022</v>
      </c>
      <c r="D537" s="5" t="s">
        <v>564</v>
      </c>
      <c r="E537" s="5" t="str">
        <f>VLOOKUP(F537,'Set up'!$A$2:$C$70,2,FALSE)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up'!$A$2:$C$70,3,FALSE)</f>
        <v>Cash</v>
      </c>
      <c r="J537" s="5">
        <f>VLOOKUP(F537,'Set up'!$A$2:$D$70,4,FALSE)</f>
        <v>0</v>
      </c>
      <c r="K537" s="4">
        <f t="shared" si="86"/>
        <v>44579</v>
      </c>
      <c r="L537" s="5">
        <f t="shared" si="87"/>
        <v>1</v>
      </c>
      <c r="M537" s="5">
        <f t="shared" si="88"/>
        <v>2022</v>
      </c>
      <c r="N537" s="6">
        <v>2352</v>
      </c>
      <c r="O537" s="6">
        <f t="shared" si="90"/>
        <v>-2352</v>
      </c>
      <c r="P537" s="6">
        <f t="shared" si="91"/>
        <v>0</v>
      </c>
      <c r="Q537" s="7">
        <f t="shared" si="89"/>
        <v>937171.95</v>
      </c>
      <c r="R537" s="44" t="str">
        <f>VLOOKUP(F537,'Set up'!$A$2:$E$70,5,FALSE)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4"/>
        <v>1</v>
      </c>
      <c r="C538" s="5">
        <f t="shared" si="85"/>
        <v>2022</v>
      </c>
      <c r="D538" s="5" t="s">
        <v>564</v>
      </c>
      <c r="E538" s="5" t="str">
        <f>VLOOKUP(F538,'Set up'!$A$2:$C$70,2,FALSE)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up'!$A$2:$C$70,3,FALSE)</f>
        <v>Cash</v>
      </c>
      <c r="J538" s="5">
        <f>VLOOKUP(F538,'Set up'!$A$2:$D$70,4,FALSE)</f>
        <v>0</v>
      </c>
      <c r="K538" s="4">
        <f t="shared" si="86"/>
        <v>44579</v>
      </c>
      <c r="L538" s="5">
        <f t="shared" si="87"/>
        <v>1</v>
      </c>
      <c r="M538" s="5">
        <f t="shared" si="88"/>
        <v>2022</v>
      </c>
      <c r="N538" s="6">
        <v>1755</v>
      </c>
      <c r="O538" s="6">
        <f t="shared" si="90"/>
        <v>-1755</v>
      </c>
      <c r="P538" s="6">
        <f t="shared" si="91"/>
        <v>0</v>
      </c>
      <c r="Q538" s="7">
        <f t="shared" si="89"/>
        <v>938926.95</v>
      </c>
      <c r="R538" s="44" t="str">
        <f>VLOOKUP(F538,'Set up'!$A$2:$E$70,5,FALSE)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4"/>
        <v>1</v>
      </c>
      <c r="C539" s="5">
        <f t="shared" si="85"/>
        <v>2022</v>
      </c>
      <c r="D539" s="5" t="s">
        <v>564</v>
      </c>
      <c r="E539" s="5" t="str">
        <f>VLOOKUP(F539,'Set up'!$A$2:$C$70,2,FALSE)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up'!$A$2:$C$70,3,FALSE)</f>
        <v>Cash</v>
      </c>
      <c r="J539" s="5">
        <f>VLOOKUP(F539,'Set up'!$A$2:$D$70,4,FALSE)</f>
        <v>0</v>
      </c>
      <c r="K539" s="4">
        <f t="shared" si="86"/>
        <v>44579</v>
      </c>
      <c r="L539" s="5">
        <f t="shared" si="87"/>
        <v>1</v>
      </c>
      <c r="M539" s="5">
        <f t="shared" si="88"/>
        <v>2022</v>
      </c>
      <c r="N539" s="6">
        <v>1000</v>
      </c>
      <c r="O539" s="6">
        <f t="shared" si="90"/>
        <v>-1000</v>
      </c>
      <c r="P539" s="6">
        <f t="shared" si="91"/>
        <v>0</v>
      </c>
      <c r="Q539" s="7">
        <f t="shared" si="89"/>
        <v>939926.95</v>
      </c>
      <c r="R539" s="44" t="str">
        <f>VLOOKUP(F539,'Set up'!$A$2:$E$70,5,FALSE)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4"/>
        <v>1</v>
      </c>
      <c r="C540" s="5">
        <f t="shared" si="85"/>
        <v>2022</v>
      </c>
      <c r="D540" s="5" t="s">
        <v>564</v>
      </c>
      <c r="E540" s="5" t="str">
        <f>VLOOKUP(F540,'Set up'!$A$2:$C$70,2,FALSE)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up'!$A$2:$C$70,3,FALSE)</f>
        <v>Cash</v>
      </c>
      <c r="J540" s="5">
        <f>VLOOKUP(F540,'Set up'!$A$2:$D$70,4,FALSE)</f>
        <v>0</v>
      </c>
      <c r="K540" s="4">
        <f t="shared" si="86"/>
        <v>44579</v>
      </c>
      <c r="L540" s="5">
        <f t="shared" si="87"/>
        <v>1</v>
      </c>
      <c r="M540" s="5">
        <f t="shared" si="88"/>
        <v>2022</v>
      </c>
      <c r="N540" s="6">
        <v>125</v>
      </c>
      <c r="O540" s="6">
        <f t="shared" si="90"/>
        <v>-125</v>
      </c>
      <c r="P540" s="6">
        <f t="shared" si="91"/>
        <v>0</v>
      </c>
      <c r="Q540" s="7">
        <f t="shared" si="89"/>
        <v>940051.95</v>
      </c>
      <c r="R540" s="44" t="str">
        <f>VLOOKUP(F540,'Set up'!$A$2:$E$70,5,FALSE)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4"/>
        <v>1</v>
      </c>
      <c r="C541" s="5">
        <f t="shared" si="85"/>
        <v>2022</v>
      </c>
      <c r="D541" s="5" t="s">
        <v>565</v>
      </c>
      <c r="E541" s="5" t="str">
        <f>VLOOKUP(F541,'Set up'!$A$2:$C$70,2,FALSE)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up'!$A$2:$C$70,3,FALSE)</f>
        <v>Cash</v>
      </c>
      <c r="J541" s="5">
        <f>VLOOKUP(F541,'Set up'!$A$2:$D$70,4,FALSE)</f>
        <v>0</v>
      </c>
      <c r="K541" s="4">
        <f t="shared" si="86"/>
        <v>44583</v>
      </c>
      <c r="L541" s="5">
        <f t="shared" si="87"/>
        <v>1</v>
      </c>
      <c r="M541" s="5">
        <f t="shared" si="88"/>
        <v>2022</v>
      </c>
      <c r="N541" s="6">
        <v>2068</v>
      </c>
      <c r="O541" s="6">
        <f t="shared" si="90"/>
        <v>-2068</v>
      </c>
      <c r="P541" s="6">
        <f t="shared" si="91"/>
        <v>0</v>
      </c>
      <c r="Q541" s="7">
        <f t="shared" si="89"/>
        <v>942119.95</v>
      </c>
      <c r="R541" s="44" t="str">
        <f>VLOOKUP(F541,'Set up'!$A$2:$E$70,5,FALSE)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4"/>
        <v>1</v>
      </c>
      <c r="C542" s="5">
        <f t="shared" si="85"/>
        <v>2022</v>
      </c>
      <c r="D542" s="5" t="s">
        <v>565</v>
      </c>
      <c r="E542" s="5" t="str">
        <f>VLOOKUP(F542,'Set up'!$A$2:$C$70,2,FALSE)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up'!$A$2:$C$70,3,FALSE)</f>
        <v>Cash</v>
      </c>
      <c r="J542" s="5">
        <f>VLOOKUP(F542,'Set up'!$A$2:$D$70,4,FALSE)</f>
        <v>0</v>
      </c>
      <c r="K542" s="4">
        <f t="shared" si="86"/>
        <v>44583</v>
      </c>
      <c r="L542" s="5">
        <f t="shared" si="87"/>
        <v>1</v>
      </c>
      <c r="M542" s="5">
        <f t="shared" si="88"/>
        <v>2022</v>
      </c>
      <c r="N542" s="6">
        <v>523.79999999999995</v>
      </c>
      <c r="O542" s="6">
        <f t="shared" si="90"/>
        <v>-523.79999999999995</v>
      </c>
      <c r="P542" s="6">
        <f t="shared" si="91"/>
        <v>0</v>
      </c>
      <c r="Q542" s="7">
        <f t="shared" si="89"/>
        <v>942643.75</v>
      </c>
      <c r="R542" s="44" t="str">
        <f>VLOOKUP(F542,'Set up'!$A$2:$E$70,5,FALSE)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4"/>
        <v>1</v>
      </c>
      <c r="C543" s="5">
        <f t="shared" si="85"/>
        <v>2022</v>
      </c>
      <c r="D543" s="5" t="s">
        <v>565</v>
      </c>
      <c r="E543" s="5" t="str">
        <f>VLOOKUP(F543,'Set up'!$A$2:$C$70,2,FALSE)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up'!$A$2:$C$70,3,FALSE)</f>
        <v>Cash</v>
      </c>
      <c r="J543" s="5">
        <f>VLOOKUP(F543,'Set up'!$A$2:$D$70,4,FALSE)</f>
        <v>0</v>
      </c>
      <c r="K543" s="4">
        <f t="shared" si="86"/>
        <v>44583</v>
      </c>
      <c r="L543" s="5">
        <f t="shared" si="87"/>
        <v>1</v>
      </c>
      <c r="M543" s="5">
        <f t="shared" si="88"/>
        <v>2022</v>
      </c>
      <c r="N543" s="6">
        <v>105</v>
      </c>
      <c r="O543" s="6">
        <f t="shared" si="90"/>
        <v>-105</v>
      </c>
      <c r="P543" s="6">
        <f t="shared" si="91"/>
        <v>0</v>
      </c>
      <c r="Q543" s="7">
        <f t="shared" si="89"/>
        <v>942748.75</v>
      </c>
      <c r="R543" s="44" t="str">
        <f>VLOOKUP(F543,'Set up'!$A$2:$E$70,5,FALSE)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4"/>
        <v>1</v>
      </c>
      <c r="C544" s="5">
        <f t="shared" si="85"/>
        <v>2022</v>
      </c>
      <c r="D544" s="5" t="s">
        <v>567</v>
      </c>
      <c r="E544" s="5" t="str">
        <f>VLOOKUP(F544,'Set up'!$A$2:$C$70,2,FALSE)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up'!$A$2:$C$70,3,FALSE)</f>
        <v>120</v>
      </c>
      <c r="J544" s="5">
        <f>VLOOKUP(F544,'Set up'!$A$2:$D$70,4,FALSE)</f>
        <v>120</v>
      </c>
      <c r="K544" s="4">
        <f t="shared" si="86"/>
        <v>44705</v>
      </c>
      <c r="L544" s="5">
        <f t="shared" si="87"/>
        <v>5</v>
      </c>
      <c r="M544" s="5">
        <f t="shared" si="88"/>
        <v>2022</v>
      </c>
      <c r="N544" s="6">
        <v>12144</v>
      </c>
      <c r="O544" s="6">
        <f t="shared" si="90"/>
        <v>-12144</v>
      </c>
      <c r="P544" s="6">
        <f t="shared" si="91"/>
        <v>0</v>
      </c>
      <c r="Q544" s="7">
        <f t="shared" si="89"/>
        <v>954892.75</v>
      </c>
      <c r="R544" s="44" t="str">
        <f>VLOOKUP(F544,'Set up'!$A$2:$E$70,5,FALSE)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4"/>
        <v>1</v>
      </c>
      <c r="C545" s="5">
        <f t="shared" si="85"/>
        <v>2022</v>
      </c>
      <c r="D545" s="5" t="s">
        <v>567</v>
      </c>
      <c r="E545" s="5" t="str">
        <f>VLOOKUP(F545,'Set up'!$A$2:$C$70,2,FALSE)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up'!$A$2:$C$70,3,FALSE)</f>
        <v>120</v>
      </c>
      <c r="J545" s="5">
        <f>VLOOKUP(F545,'Set up'!$A$2:$D$70,4,FALSE)</f>
        <v>120</v>
      </c>
      <c r="K545" s="4">
        <f t="shared" si="86"/>
        <v>44705</v>
      </c>
      <c r="L545" s="5">
        <f t="shared" si="87"/>
        <v>5</v>
      </c>
      <c r="M545" s="5">
        <f t="shared" si="88"/>
        <v>2022</v>
      </c>
      <c r="N545" s="6">
        <v>550</v>
      </c>
      <c r="O545" s="6">
        <f t="shared" si="90"/>
        <v>-550</v>
      </c>
      <c r="P545" s="6">
        <f t="shared" si="91"/>
        <v>0</v>
      </c>
      <c r="Q545" s="7">
        <f t="shared" si="89"/>
        <v>955442.75</v>
      </c>
      <c r="R545" s="44" t="str">
        <f>VLOOKUP(F545,'Set up'!$A$2:$E$70,5,FALSE)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4"/>
        <v>1</v>
      </c>
      <c r="C546" s="5">
        <f t="shared" si="85"/>
        <v>2022</v>
      </c>
      <c r="D546" s="5" t="s">
        <v>567</v>
      </c>
      <c r="E546" s="5" t="str">
        <f>VLOOKUP(F546,'Set up'!$A$2:$C$70,2,FALSE)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up'!$A$2:$C$70,3,FALSE)</f>
        <v>120</v>
      </c>
      <c r="J546" s="5">
        <f>VLOOKUP(F546,'Set up'!$A$2:$D$70,4,FALSE)</f>
        <v>120</v>
      </c>
      <c r="K546" s="4">
        <f t="shared" si="86"/>
        <v>44705</v>
      </c>
      <c r="L546" s="5">
        <f t="shared" si="87"/>
        <v>5</v>
      </c>
      <c r="M546" s="5">
        <f t="shared" si="88"/>
        <v>2022</v>
      </c>
      <c r="N546" s="6">
        <v>340</v>
      </c>
      <c r="O546" s="6">
        <f t="shared" si="90"/>
        <v>-340</v>
      </c>
      <c r="P546" s="6">
        <f t="shared" si="91"/>
        <v>0</v>
      </c>
      <c r="Q546" s="7">
        <f t="shared" si="89"/>
        <v>955782.75</v>
      </c>
      <c r="R546" s="44" t="str">
        <f>VLOOKUP(F546,'Set up'!$A$2:$E$70,5,FALSE)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4"/>
        <v>1</v>
      </c>
      <c r="C547" s="5">
        <f t="shared" si="85"/>
        <v>2022</v>
      </c>
      <c r="D547" s="5" t="s">
        <v>567</v>
      </c>
      <c r="E547" s="5" t="str">
        <f>VLOOKUP(F547,'Set up'!$A$2:$C$70,2,FALSE)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up'!$A$2:$C$70,3,FALSE)</f>
        <v>120</v>
      </c>
      <c r="J547" s="5">
        <f>VLOOKUP(F547,'Set up'!$A$2:$D$70,4,FALSE)</f>
        <v>120</v>
      </c>
      <c r="K547" s="4">
        <f t="shared" si="86"/>
        <v>44705</v>
      </c>
      <c r="L547" s="5">
        <f t="shared" si="87"/>
        <v>5</v>
      </c>
      <c r="M547" s="5">
        <f t="shared" si="88"/>
        <v>2022</v>
      </c>
      <c r="N547" s="6">
        <v>440</v>
      </c>
      <c r="O547" s="6">
        <f t="shared" si="90"/>
        <v>-440</v>
      </c>
      <c r="P547" s="6">
        <f t="shared" si="91"/>
        <v>0</v>
      </c>
      <c r="Q547" s="7">
        <f t="shared" si="89"/>
        <v>956222.75</v>
      </c>
      <c r="R547" s="44" t="str">
        <f>VLOOKUP(F547,'Set up'!$A$2:$E$70,5,FALSE)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4"/>
        <v>1</v>
      </c>
      <c r="C548" s="5">
        <f t="shared" si="85"/>
        <v>2022</v>
      </c>
      <c r="D548" s="5" t="s">
        <v>568</v>
      </c>
      <c r="E548" s="5" t="str">
        <f>VLOOKUP(F548,'Set up'!$A$2:$C$70,2,FALSE)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up'!$A$2:$C$70,3,FALSE)</f>
        <v>Cash</v>
      </c>
      <c r="J548" s="5">
        <f>VLOOKUP(F548,'Set up'!$A$2:$D$70,4,FALSE)</f>
        <v>0</v>
      </c>
      <c r="K548" s="4">
        <f t="shared" si="86"/>
        <v>44586</v>
      </c>
      <c r="L548" s="5">
        <f t="shared" si="87"/>
        <v>1</v>
      </c>
      <c r="M548" s="5">
        <f t="shared" si="88"/>
        <v>2022</v>
      </c>
      <c r="N548" s="6">
        <v>2024</v>
      </c>
      <c r="O548" s="6">
        <f>SUM(-N548)</f>
        <v>-2024</v>
      </c>
      <c r="P548" s="6">
        <f t="shared" si="91"/>
        <v>0</v>
      </c>
      <c r="Q548" s="7">
        <f t="shared" si="89"/>
        <v>958246.75</v>
      </c>
      <c r="R548" s="44" t="str">
        <f>VLOOKUP(F548,'Set up'!$A$2:$E$70,5,FALSE)</f>
        <v>Chq</v>
      </c>
      <c r="S548" s="1" t="s">
        <v>618</v>
      </c>
    </row>
    <row r="549" spans="1:19" x14ac:dyDescent="0.35">
      <c r="A549" s="4">
        <v>44586</v>
      </c>
      <c r="B549" s="5">
        <f t="shared" si="84"/>
        <v>1</v>
      </c>
      <c r="C549" s="5">
        <f t="shared" si="85"/>
        <v>2022</v>
      </c>
      <c r="D549" s="5" t="s">
        <v>568</v>
      </c>
      <c r="E549" s="5" t="str">
        <f>VLOOKUP(F549,'Set up'!$A$2:$C$70,2,FALSE)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up'!$A$2:$C$70,3,FALSE)</f>
        <v>Cash</v>
      </c>
      <c r="J549" s="5">
        <f>VLOOKUP(F549,'Set up'!$A$2:$D$70,4,FALSE)</f>
        <v>0</v>
      </c>
      <c r="K549" s="4">
        <f t="shared" si="86"/>
        <v>44586</v>
      </c>
      <c r="L549" s="5">
        <f t="shared" si="87"/>
        <v>1</v>
      </c>
      <c r="M549" s="5">
        <f t="shared" si="88"/>
        <v>2022</v>
      </c>
      <c r="N549" s="6">
        <v>285</v>
      </c>
      <c r="O549" s="6">
        <f>SUM(-N549)</f>
        <v>-285</v>
      </c>
      <c r="P549" s="6">
        <f t="shared" si="91"/>
        <v>0</v>
      </c>
      <c r="Q549" s="7">
        <f t="shared" si="89"/>
        <v>958531.75</v>
      </c>
      <c r="R549" s="44" t="str">
        <f>VLOOKUP(F549,'Set up'!$A$2:$E$70,5,FALSE)</f>
        <v>Chq</v>
      </c>
      <c r="S549" s="1" t="s">
        <v>618</v>
      </c>
    </row>
    <row r="550" spans="1:19" x14ac:dyDescent="0.35">
      <c r="A550" s="4">
        <v>44587</v>
      </c>
      <c r="B550" s="5">
        <f t="shared" si="84"/>
        <v>1</v>
      </c>
      <c r="C550" s="5">
        <f t="shared" si="85"/>
        <v>2022</v>
      </c>
      <c r="D550" s="5" t="s">
        <v>569</v>
      </c>
      <c r="E550" s="5" t="str">
        <f>VLOOKUP(F550,'Set up'!$A$2:$C$70,2,FALSE)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up'!$A$2:$C$70,3,FALSE)</f>
        <v>120</v>
      </c>
      <c r="J550" s="5">
        <f>VLOOKUP(F550,'Set up'!$A$2:$D$70,4,FALSE)</f>
        <v>120</v>
      </c>
      <c r="K550" s="4">
        <f t="shared" si="86"/>
        <v>44707</v>
      </c>
      <c r="L550" s="5">
        <f t="shared" si="87"/>
        <v>5</v>
      </c>
      <c r="M550" s="5">
        <f t="shared" si="88"/>
        <v>2022</v>
      </c>
      <c r="N550" s="6">
        <v>10120</v>
      </c>
      <c r="O550" s="6">
        <f t="shared" ref="O550:O566" si="92">-N550</f>
        <v>-10120</v>
      </c>
      <c r="P550" s="6">
        <f t="shared" si="91"/>
        <v>0</v>
      </c>
      <c r="Q550" s="7">
        <f t="shared" si="89"/>
        <v>968651.75</v>
      </c>
      <c r="R550" s="44" t="str">
        <f>VLOOKUP(F550,'Set up'!$A$2:$E$70,5,FALSE)</f>
        <v>Chq</v>
      </c>
      <c r="S550" s="1" t="s">
        <v>817</v>
      </c>
    </row>
    <row r="551" spans="1:19" x14ac:dyDescent="0.35">
      <c r="A551" s="4">
        <v>44587</v>
      </c>
      <c r="B551" s="5">
        <f t="shared" si="84"/>
        <v>1</v>
      </c>
      <c r="C551" s="5">
        <f t="shared" si="85"/>
        <v>2022</v>
      </c>
      <c r="D551" s="5" t="s">
        <v>569</v>
      </c>
      <c r="E551" s="5" t="str">
        <f>VLOOKUP(F551,'Set up'!$A$2:$C$70,2,FALSE)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up'!$A$2:$C$70,3,FALSE)</f>
        <v>120</v>
      </c>
      <c r="J551" s="5">
        <f>VLOOKUP(F551,'Set up'!$A$2:$D$70,4,FALSE)</f>
        <v>120</v>
      </c>
      <c r="K551" s="4">
        <f t="shared" si="86"/>
        <v>44707</v>
      </c>
      <c r="L551" s="5">
        <f t="shared" si="87"/>
        <v>5</v>
      </c>
      <c r="M551" s="5">
        <f t="shared" si="88"/>
        <v>2022</v>
      </c>
      <c r="N551" s="6">
        <v>2024</v>
      </c>
      <c r="O551" s="6">
        <f t="shared" si="92"/>
        <v>-2024</v>
      </c>
      <c r="P551" s="6">
        <f t="shared" si="91"/>
        <v>0</v>
      </c>
      <c r="Q551" s="7">
        <f t="shared" si="89"/>
        <v>970675.75</v>
      </c>
      <c r="R551" s="44" t="str">
        <f>VLOOKUP(F551,'Set up'!$A$2:$E$70,5,FALSE)</f>
        <v>Chq</v>
      </c>
      <c r="S551" s="1" t="s">
        <v>817</v>
      </c>
    </row>
    <row r="552" spans="1:19" x14ac:dyDescent="0.35">
      <c r="A552" s="4">
        <v>44587</v>
      </c>
      <c r="B552" s="5">
        <f t="shared" si="84"/>
        <v>1</v>
      </c>
      <c r="C552" s="5">
        <f t="shared" si="85"/>
        <v>2022</v>
      </c>
      <c r="D552" s="5" t="s">
        <v>569</v>
      </c>
      <c r="E552" s="5" t="str">
        <f>VLOOKUP(F552,'Set up'!$A$2:$C$70,2,FALSE)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up'!$A$2:$C$70,3,FALSE)</f>
        <v>120</v>
      </c>
      <c r="J552" s="5">
        <f>VLOOKUP(F552,'Set up'!$A$2:$D$70,4,FALSE)</f>
        <v>120</v>
      </c>
      <c r="K552" s="4">
        <f t="shared" si="86"/>
        <v>44707</v>
      </c>
      <c r="L552" s="5">
        <f t="shared" si="87"/>
        <v>5</v>
      </c>
      <c r="M552" s="5">
        <f t="shared" si="88"/>
        <v>2022</v>
      </c>
      <c r="N552" s="6">
        <v>1425</v>
      </c>
      <c r="O552" s="6">
        <f t="shared" si="92"/>
        <v>-1425</v>
      </c>
      <c r="P552" s="6">
        <f t="shared" si="91"/>
        <v>0</v>
      </c>
      <c r="Q552" s="7">
        <f t="shared" si="89"/>
        <v>972100.75</v>
      </c>
      <c r="R552" s="44" t="str">
        <f>VLOOKUP(F552,'Set up'!$A$2:$E$70,5,FALSE)</f>
        <v>Chq</v>
      </c>
      <c r="S552" s="1" t="s">
        <v>817</v>
      </c>
    </row>
    <row r="553" spans="1:19" x14ac:dyDescent="0.35">
      <c r="A553" s="4">
        <v>44587</v>
      </c>
      <c r="B553" s="5">
        <f t="shared" si="84"/>
        <v>1</v>
      </c>
      <c r="C553" s="5">
        <f t="shared" si="85"/>
        <v>2022</v>
      </c>
      <c r="D553" s="5" t="s">
        <v>569</v>
      </c>
      <c r="E553" s="5" t="str">
        <f>VLOOKUP(F553,'Set up'!$A$2:$C$70,2,FALSE)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up'!$A$2:$C$70,3,FALSE)</f>
        <v>120</v>
      </c>
      <c r="J553" s="5">
        <f>VLOOKUP(F553,'Set up'!$A$2:$D$70,4,FALSE)</f>
        <v>120</v>
      </c>
      <c r="K553" s="4">
        <f t="shared" si="86"/>
        <v>44707</v>
      </c>
      <c r="L553" s="5">
        <f t="shared" si="87"/>
        <v>5</v>
      </c>
      <c r="M553" s="5">
        <f t="shared" si="88"/>
        <v>2022</v>
      </c>
      <c r="N553" s="6">
        <v>1539</v>
      </c>
      <c r="O553" s="6">
        <f t="shared" si="92"/>
        <v>-1539</v>
      </c>
      <c r="P553" s="6">
        <f t="shared" si="91"/>
        <v>0</v>
      </c>
      <c r="Q553" s="7">
        <f t="shared" si="89"/>
        <v>973639.75</v>
      </c>
      <c r="R553" s="44" t="str">
        <f>VLOOKUP(F553,'Set up'!$A$2:$E$70,5,FALSE)</f>
        <v>Chq</v>
      </c>
      <c r="S553" s="1" t="s">
        <v>817</v>
      </c>
    </row>
    <row r="554" spans="1:19" x14ac:dyDescent="0.35">
      <c r="A554" s="4">
        <v>44602</v>
      </c>
      <c r="B554" s="5">
        <f t="shared" si="84"/>
        <v>2</v>
      </c>
      <c r="C554" s="5">
        <f t="shared" si="85"/>
        <v>2022</v>
      </c>
      <c r="D554" s="5" t="s">
        <v>601</v>
      </c>
      <c r="E554" s="5" t="str">
        <f>VLOOKUP(F554,'Set up'!$A$2:$C$70,2,FALSE)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up'!$A$2:$C$70,3,FALSE)</f>
        <v>Cash</v>
      </c>
      <c r="J554" s="5">
        <f>VLOOKUP(F554,'Set up'!$A$2:$D$70,4,FALSE)</f>
        <v>0</v>
      </c>
      <c r="K554" s="4">
        <f t="shared" si="86"/>
        <v>44602</v>
      </c>
      <c r="L554" s="5">
        <f t="shared" si="87"/>
        <v>2</v>
      </c>
      <c r="M554" s="5">
        <f t="shared" si="88"/>
        <v>2022</v>
      </c>
      <c r="N554" s="6">
        <v>4136</v>
      </c>
      <c r="O554" s="6">
        <f t="shared" si="92"/>
        <v>-4136</v>
      </c>
      <c r="P554" s="6">
        <f t="shared" si="91"/>
        <v>0</v>
      </c>
      <c r="Q554" s="7">
        <f t="shared" si="89"/>
        <v>977775.75</v>
      </c>
      <c r="R554" s="44" t="str">
        <f>VLOOKUP(F554,'Set up'!$A$2:$E$70,5,FALSE)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4"/>
        <v>2</v>
      </c>
      <c r="C555" s="5">
        <f t="shared" si="85"/>
        <v>2022</v>
      </c>
      <c r="D555" s="5" t="s">
        <v>601</v>
      </c>
      <c r="E555" s="5" t="str">
        <f>VLOOKUP(F555,'Set up'!$A$2:$C$70,2,FALSE)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up'!$A$2:$C$70,3,FALSE)</f>
        <v>Cash</v>
      </c>
      <c r="J555" s="5">
        <f>VLOOKUP(F555,'Set up'!$A$2:$D$70,4,FALSE)</f>
        <v>0</v>
      </c>
      <c r="K555" s="4">
        <f t="shared" si="86"/>
        <v>44602</v>
      </c>
      <c r="L555" s="5">
        <f t="shared" si="87"/>
        <v>2</v>
      </c>
      <c r="M555" s="5">
        <f t="shared" si="88"/>
        <v>2022</v>
      </c>
      <c r="N555" s="6">
        <v>1571.4</v>
      </c>
      <c r="O555" s="6">
        <f t="shared" si="92"/>
        <v>-1571.4</v>
      </c>
      <c r="P555" s="6">
        <f t="shared" si="91"/>
        <v>0</v>
      </c>
      <c r="Q555" s="7">
        <f t="shared" si="89"/>
        <v>979347.15</v>
      </c>
      <c r="R555" s="44" t="str">
        <f>VLOOKUP(F555,'Set up'!$A$2:$E$70,5,FALSE)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4"/>
        <v>2</v>
      </c>
      <c r="C556" s="5">
        <f t="shared" si="85"/>
        <v>2022</v>
      </c>
      <c r="D556" s="5" t="s">
        <v>601</v>
      </c>
      <c r="E556" s="5" t="str">
        <f>VLOOKUP(F556,'Set up'!$A$2:$C$70,2,FALSE)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up'!$A$2:$C$70,3,FALSE)</f>
        <v>Cash</v>
      </c>
      <c r="J556" s="5">
        <f>VLOOKUP(F556,'Set up'!$A$2:$D$70,4,FALSE)</f>
        <v>0</v>
      </c>
      <c r="K556" s="4">
        <f t="shared" si="86"/>
        <v>44602</v>
      </c>
      <c r="L556" s="5">
        <f t="shared" si="87"/>
        <v>2</v>
      </c>
      <c r="M556" s="5">
        <f t="shared" si="88"/>
        <v>2022</v>
      </c>
      <c r="N556" s="6">
        <v>105</v>
      </c>
      <c r="O556" s="6">
        <f t="shared" si="92"/>
        <v>-105</v>
      </c>
      <c r="P556" s="6">
        <f t="shared" si="91"/>
        <v>0</v>
      </c>
      <c r="Q556" s="7">
        <f t="shared" si="89"/>
        <v>979452.15</v>
      </c>
      <c r="R556" s="44" t="str">
        <f>VLOOKUP(F556,'Set up'!$A$2:$E$70,5,FALSE)</f>
        <v>Trsf</v>
      </c>
      <c r="S556" s="1" t="s">
        <v>619</v>
      </c>
    </row>
    <row r="557" spans="1:19" x14ac:dyDescent="0.35">
      <c r="A557" s="4">
        <v>44602</v>
      </c>
      <c r="B557" s="5">
        <f t="shared" si="84"/>
        <v>2</v>
      </c>
      <c r="C557" s="5">
        <f t="shared" si="85"/>
        <v>2022</v>
      </c>
      <c r="D557" s="5" t="s">
        <v>601</v>
      </c>
      <c r="E557" s="5" t="str">
        <f>VLOOKUP(F557,'Set up'!$A$2:$C$70,2,FALSE)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up'!$A$2:$C$70,3,FALSE)</f>
        <v>Cash</v>
      </c>
      <c r="J557" s="5">
        <f>VLOOKUP(F557,'Set up'!$A$2:$D$70,4,FALSE)</f>
        <v>0</v>
      </c>
      <c r="K557" s="4">
        <f t="shared" si="86"/>
        <v>44602</v>
      </c>
      <c r="L557" s="5">
        <f t="shared" si="87"/>
        <v>2</v>
      </c>
      <c r="M557" s="5">
        <f t="shared" si="88"/>
        <v>2022</v>
      </c>
      <c r="N557" s="6">
        <v>720</v>
      </c>
      <c r="O557" s="6">
        <f t="shared" si="92"/>
        <v>-720</v>
      </c>
      <c r="P557" s="6">
        <f t="shared" si="91"/>
        <v>0</v>
      </c>
      <c r="Q557" s="7">
        <f t="shared" si="89"/>
        <v>980172.15</v>
      </c>
      <c r="R557" s="44" t="str">
        <f>VLOOKUP(F557,'Set up'!$A$2:$E$70,5,FALSE)</f>
        <v>Trsf</v>
      </c>
      <c r="S557" s="1" t="s">
        <v>619</v>
      </c>
    </row>
    <row r="558" spans="1:19" x14ac:dyDescent="0.35">
      <c r="A558" s="4">
        <v>44607</v>
      </c>
      <c r="B558" s="5">
        <f t="shared" si="84"/>
        <v>2</v>
      </c>
      <c r="C558" s="5">
        <f t="shared" si="85"/>
        <v>2022</v>
      </c>
      <c r="D558" s="5" t="s">
        <v>602</v>
      </c>
      <c r="E558" s="5" t="str">
        <f>VLOOKUP(F558,'Set up'!$A$2:$C$70,2,FALSE)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up'!$A$2:$C$70,3,FALSE)</f>
        <v>120</v>
      </c>
      <c r="J558" s="5">
        <f>VLOOKUP(F558,'Set up'!$A$2:$D$70,4,FALSE)</f>
        <v>120</v>
      </c>
      <c r="K558" s="4">
        <f t="shared" si="86"/>
        <v>44727</v>
      </c>
      <c r="L558" s="5">
        <f t="shared" si="87"/>
        <v>6</v>
      </c>
      <c r="M558" s="5">
        <f t="shared" si="88"/>
        <v>2022</v>
      </c>
      <c r="N558" s="6">
        <v>340</v>
      </c>
      <c r="O558" s="6">
        <f t="shared" si="92"/>
        <v>-340</v>
      </c>
      <c r="P558" s="6">
        <f t="shared" si="91"/>
        <v>0</v>
      </c>
      <c r="Q558" s="7">
        <f t="shared" si="89"/>
        <v>980512.15</v>
      </c>
      <c r="R558" s="44" t="str">
        <f>VLOOKUP(F558,'Set up'!$A$2:$E$70,5,FALSE)</f>
        <v>Chq</v>
      </c>
      <c r="S558" s="1" t="s">
        <v>852</v>
      </c>
    </row>
    <row r="559" spans="1:19" x14ac:dyDescent="0.35">
      <c r="A559" s="4">
        <v>44607</v>
      </c>
      <c r="B559" s="5">
        <f t="shared" si="84"/>
        <v>2</v>
      </c>
      <c r="C559" s="5">
        <f t="shared" si="85"/>
        <v>2022</v>
      </c>
      <c r="D559" s="5" t="s">
        <v>602</v>
      </c>
      <c r="E559" s="5" t="str">
        <f>VLOOKUP(F559,'Set up'!$A$2:$C$70,2,FALSE)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up'!$A$2:$C$70,3,FALSE)</f>
        <v>120</v>
      </c>
      <c r="J559" s="5">
        <f>VLOOKUP(F559,'Set up'!$A$2:$D$70,4,FALSE)</f>
        <v>120</v>
      </c>
      <c r="K559" s="4">
        <f t="shared" si="86"/>
        <v>44727</v>
      </c>
      <c r="L559" s="5">
        <f t="shared" si="87"/>
        <v>6</v>
      </c>
      <c r="M559" s="5">
        <f t="shared" si="88"/>
        <v>2022</v>
      </c>
      <c r="N559" s="6">
        <v>1140</v>
      </c>
      <c r="O559" s="6">
        <f t="shared" si="92"/>
        <v>-1140</v>
      </c>
      <c r="P559" s="6">
        <f t="shared" si="91"/>
        <v>0</v>
      </c>
      <c r="Q559" s="7">
        <f t="shared" si="89"/>
        <v>981652.15</v>
      </c>
      <c r="R559" s="44" t="str">
        <f>VLOOKUP(F559,'Set up'!$A$2:$E$70,5,FALSE)</f>
        <v>Chq</v>
      </c>
      <c r="S559" s="1" t="s">
        <v>852</v>
      </c>
    </row>
    <row r="560" spans="1:19" x14ac:dyDescent="0.35">
      <c r="A560" s="4">
        <v>44609</v>
      </c>
      <c r="B560" s="5">
        <f t="shared" si="84"/>
        <v>2</v>
      </c>
      <c r="C560" s="5">
        <f t="shared" si="85"/>
        <v>2022</v>
      </c>
      <c r="D560" s="5" t="s">
        <v>603</v>
      </c>
      <c r="E560" s="5" t="str">
        <f>VLOOKUP(F560,'Set up'!$A$2:$C$70,2,FALSE)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up'!$A$2:$C$70,3,FALSE)</f>
        <v>120</v>
      </c>
      <c r="J560" s="5">
        <f>VLOOKUP(F560,'Set up'!$A$2:$D$70,4,FALSE)</f>
        <v>120</v>
      </c>
      <c r="K560" s="4">
        <f t="shared" si="86"/>
        <v>44729</v>
      </c>
      <c r="L560" s="5">
        <f t="shared" si="87"/>
        <v>6</v>
      </c>
      <c r="M560" s="5">
        <f t="shared" si="88"/>
        <v>2022</v>
      </c>
      <c r="N560" s="6">
        <v>11880</v>
      </c>
      <c r="O560" s="6">
        <f t="shared" si="92"/>
        <v>-11880</v>
      </c>
      <c r="P560" s="6">
        <f t="shared" si="91"/>
        <v>0</v>
      </c>
      <c r="Q560" s="7">
        <f t="shared" si="89"/>
        <v>993532.15</v>
      </c>
      <c r="R560" s="44" t="str">
        <f>VLOOKUP(F560,'Set up'!$A$2:$E$70,5,FALSE)</f>
        <v>Trsf</v>
      </c>
      <c r="S560" s="1" t="s">
        <v>813</v>
      </c>
    </row>
    <row r="561" spans="1:19" x14ac:dyDescent="0.35">
      <c r="A561" s="4">
        <v>44609</v>
      </c>
      <c r="B561" s="5">
        <f t="shared" si="84"/>
        <v>2</v>
      </c>
      <c r="C561" s="5">
        <f t="shared" si="85"/>
        <v>2022</v>
      </c>
      <c r="D561" s="5" t="s">
        <v>603</v>
      </c>
      <c r="E561" s="5" t="str">
        <f>VLOOKUP(F561,'Set up'!$A$2:$C$70,2,FALSE)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up'!$A$2:$C$70,3,FALSE)</f>
        <v>120</v>
      </c>
      <c r="J561" s="5">
        <f>VLOOKUP(F561,'Set up'!$A$2:$D$70,4,FALSE)</f>
        <v>120</v>
      </c>
      <c r="K561" s="4">
        <f t="shared" si="86"/>
        <v>44729</v>
      </c>
      <c r="L561" s="5">
        <f t="shared" si="87"/>
        <v>6</v>
      </c>
      <c r="M561" s="5">
        <f t="shared" si="88"/>
        <v>2022</v>
      </c>
      <c r="N561" s="6">
        <v>1425</v>
      </c>
      <c r="O561" s="6">
        <f t="shared" si="92"/>
        <v>-1425</v>
      </c>
      <c r="P561" s="6">
        <f t="shared" si="91"/>
        <v>0</v>
      </c>
      <c r="Q561" s="7">
        <f t="shared" si="89"/>
        <v>994957.15</v>
      </c>
      <c r="R561" s="44" t="str">
        <f>VLOOKUP(F561,'Set up'!$A$2:$E$70,5,FALSE)</f>
        <v>Trsf</v>
      </c>
      <c r="S561" s="1" t="s">
        <v>813</v>
      </c>
    </row>
    <row r="562" spans="1:19" x14ac:dyDescent="0.35">
      <c r="A562" s="4">
        <v>44609</v>
      </c>
      <c r="B562" s="5">
        <f t="shared" si="84"/>
        <v>2</v>
      </c>
      <c r="C562" s="5">
        <f t="shared" si="85"/>
        <v>2022</v>
      </c>
      <c r="D562" s="5" t="s">
        <v>603</v>
      </c>
      <c r="E562" s="5" t="str">
        <f>VLOOKUP(F562,'Set up'!$A$2:$C$70,2,FALSE)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up'!$A$2:$C$70,3,FALSE)</f>
        <v>120</v>
      </c>
      <c r="J562" s="5">
        <f>VLOOKUP(F562,'Set up'!$A$2:$D$70,4,FALSE)</f>
        <v>120</v>
      </c>
      <c r="K562" s="4">
        <f t="shared" si="86"/>
        <v>44729</v>
      </c>
      <c r="L562" s="5">
        <f t="shared" si="87"/>
        <v>6</v>
      </c>
      <c r="M562" s="5">
        <f t="shared" si="88"/>
        <v>2022</v>
      </c>
      <c r="N562" s="6">
        <v>275</v>
      </c>
      <c r="O562" s="6">
        <f t="shared" si="92"/>
        <v>-275</v>
      </c>
      <c r="P562" s="6">
        <f t="shared" si="91"/>
        <v>0</v>
      </c>
      <c r="Q562" s="7">
        <f t="shared" si="89"/>
        <v>995232.15</v>
      </c>
      <c r="R562" s="44" t="str">
        <f>VLOOKUP(F562,'Set up'!$A$2:$E$70,5,FALSE)</f>
        <v>Trsf</v>
      </c>
      <c r="S562" s="1" t="s">
        <v>813</v>
      </c>
    </row>
    <row r="563" spans="1:19" x14ac:dyDescent="0.35">
      <c r="A563" s="4">
        <v>44609</v>
      </c>
      <c r="B563" s="5">
        <f t="shared" si="84"/>
        <v>2</v>
      </c>
      <c r="C563" s="5">
        <f t="shared" si="85"/>
        <v>2022</v>
      </c>
      <c r="D563" s="5" t="s">
        <v>603</v>
      </c>
      <c r="E563" s="5" t="str">
        <f>VLOOKUP(F563,'Set up'!$A$2:$C$70,2,FALSE)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up'!$A$2:$C$70,3,FALSE)</f>
        <v>120</v>
      </c>
      <c r="J563" s="5">
        <f>VLOOKUP(F563,'Set up'!$A$2:$D$70,4,FALSE)</f>
        <v>120</v>
      </c>
      <c r="K563" s="4">
        <f t="shared" si="86"/>
        <v>44729</v>
      </c>
      <c r="L563" s="5">
        <f t="shared" si="87"/>
        <v>6</v>
      </c>
      <c r="M563" s="5">
        <f t="shared" si="88"/>
        <v>2022</v>
      </c>
      <c r="N563" s="6">
        <v>375</v>
      </c>
      <c r="O563" s="6">
        <f t="shared" si="92"/>
        <v>-375</v>
      </c>
      <c r="P563" s="6">
        <f t="shared" si="91"/>
        <v>0</v>
      </c>
      <c r="Q563" s="7">
        <f t="shared" si="89"/>
        <v>995607.15</v>
      </c>
      <c r="R563" s="44" t="str">
        <f>VLOOKUP(F563,'Set up'!$A$2:$E$70,5,FALSE)</f>
        <v>Trsf</v>
      </c>
      <c r="S563" s="1" t="s">
        <v>813</v>
      </c>
    </row>
    <row r="564" spans="1:19" x14ac:dyDescent="0.35">
      <c r="A564" s="4">
        <v>44609</v>
      </c>
      <c r="B564" s="5">
        <f t="shared" si="84"/>
        <v>2</v>
      </c>
      <c r="C564" s="5">
        <f t="shared" si="85"/>
        <v>2022</v>
      </c>
      <c r="D564" s="5" t="s">
        <v>603</v>
      </c>
      <c r="E564" s="5" t="str">
        <f>VLOOKUP(F564,'Set up'!$A$2:$C$70,2,FALSE)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up'!$A$2:$C$70,3,FALSE)</f>
        <v>120</v>
      </c>
      <c r="J564" s="5">
        <f>VLOOKUP(F564,'Set up'!$A$2:$D$70,4,FALSE)</f>
        <v>120</v>
      </c>
      <c r="K564" s="4">
        <f t="shared" si="86"/>
        <v>44729</v>
      </c>
      <c r="L564" s="5">
        <f t="shared" si="87"/>
        <v>6</v>
      </c>
      <c r="M564" s="5">
        <f t="shared" si="88"/>
        <v>2022</v>
      </c>
      <c r="N564" s="6">
        <v>440</v>
      </c>
      <c r="O564" s="6">
        <f t="shared" si="92"/>
        <v>-440</v>
      </c>
      <c r="P564" s="6">
        <f t="shared" si="91"/>
        <v>0</v>
      </c>
      <c r="Q564" s="7">
        <f t="shared" si="89"/>
        <v>996047.15</v>
      </c>
      <c r="R564" s="44" t="str">
        <f>VLOOKUP(F564,'Set up'!$A$2:$E$70,5,FALSE)</f>
        <v>Trsf</v>
      </c>
      <c r="S564" s="1" t="s">
        <v>813</v>
      </c>
    </row>
    <row r="565" spans="1:19" x14ac:dyDescent="0.35">
      <c r="A565" s="4">
        <v>44610</v>
      </c>
      <c r="B565" s="5">
        <f t="shared" si="84"/>
        <v>2</v>
      </c>
      <c r="C565" s="5">
        <f t="shared" si="85"/>
        <v>2022</v>
      </c>
      <c r="D565" s="5" t="s">
        <v>604</v>
      </c>
      <c r="E565" s="5" t="str">
        <f>VLOOKUP(F565,'Set up'!$A$2:$C$70,2,FALSE)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up'!$A$2:$C$70,3,FALSE)</f>
        <v>60</v>
      </c>
      <c r="J565" s="5">
        <f>VLOOKUP(F565,'Set up'!$A$2:$D$70,4,FALSE)</f>
        <v>60</v>
      </c>
      <c r="K565" s="4">
        <f t="shared" si="86"/>
        <v>44670</v>
      </c>
      <c r="L565" s="5">
        <f t="shared" si="87"/>
        <v>4</v>
      </c>
      <c r="M565" s="5">
        <f t="shared" si="88"/>
        <v>2022</v>
      </c>
      <c r="N565" s="6">
        <v>3960</v>
      </c>
      <c r="O565" s="6">
        <f t="shared" si="92"/>
        <v>-3960</v>
      </c>
      <c r="P565" s="6">
        <f t="shared" si="91"/>
        <v>0</v>
      </c>
      <c r="Q565" s="7">
        <f t="shared" si="89"/>
        <v>1000007.15</v>
      </c>
      <c r="R565" s="44" t="str">
        <f>VLOOKUP(F565,'Set up'!$A$2:$E$70,5,FALSE)</f>
        <v>Chq</v>
      </c>
      <c r="S565" s="1" t="s">
        <v>815</v>
      </c>
    </row>
    <row r="566" spans="1:19" x14ac:dyDescent="0.35">
      <c r="A566" s="4">
        <v>44610</v>
      </c>
      <c r="B566" s="5">
        <f t="shared" si="84"/>
        <v>2</v>
      </c>
      <c r="C566" s="5">
        <f t="shared" si="85"/>
        <v>2022</v>
      </c>
      <c r="D566" s="5" t="s">
        <v>604</v>
      </c>
      <c r="E566" s="5" t="str">
        <f>VLOOKUP(F566,'Set up'!$A$2:$C$70,2,FALSE)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up'!$A$2:$C$70,3,FALSE)</f>
        <v>60</v>
      </c>
      <c r="J566" s="5">
        <f>VLOOKUP(F566,'Set up'!$A$2:$D$70,4,FALSE)</f>
        <v>60</v>
      </c>
      <c r="K566" s="4">
        <f t="shared" si="86"/>
        <v>44670</v>
      </c>
      <c r="L566" s="5">
        <f t="shared" si="87"/>
        <v>4</v>
      </c>
      <c r="M566" s="5">
        <f t="shared" si="88"/>
        <v>2022</v>
      </c>
      <c r="N566" s="6">
        <v>1980</v>
      </c>
      <c r="O566" s="6">
        <f t="shared" si="92"/>
        <v>-1980</v>
      </c>
      <c r="P566" s="6">
        <f t="shared" si="91"/>
        <v>0</v>
      </c>
      <c r="Q566" s="7">
        <f t="shared" si="89"/>
        <v>1001987.15</v>
      </c>
      <c r="R566" s="44" t="str">
        <f>VLOOKUP(F566,'Set up'!$A$2:$E$70,5,FALSE)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84"/>
        <v>2</v>
      </c>
      <c r="C567" s="5">
        <f t="shared" si="85"/>
        <v>2022</v>
      </c>
      <c r="D567" s="5" t="s">
        <v>605</v>
      </c>
      <c r="E567" s="5" t="str">
        <f>VLOOKUP(F567,'Set up'!$A$2:$C$70,2,FALSE)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up'!$A$2:$C$70,3,FALSE)</f>
        <v>45</v>
      </c>
      <c r="J567" s="5">
        <f>VLOOKUP(F567,'Set up'!$A$2:$D$70,4,FALSE)</f>
        <v>45</v>
      </c>
      <c r="K567" s="4">
        <f t="shared" si="86"/>
        <v>44656</v>
      </c>
      <c r="L567" s="5">
        <f t="shared" si="87"/>
        <v>4</v>
      </c>
      <c r="M567" s="5">
        <f t="shared" si="88"/>
        <v>2022</v>
      </c>
      <c r="N567" s="6">
        <v>6336</v>
      </c>
      <c r="O567" s="6">
        <f>-2000-2000-2000-336</f>
        <v>-6336</v>
      </c>
      <c r="P567" s="6">
        <f t="shared" si="91"/>
        <v>0</v>
      </c>
      <c r="Q567" s="7">
        <f t="shared" si="89"/>
        <v>1008323.15</v>
      </c>
      <c r="R567" s="44" t="str">
        <f>VLOOKUP(F567,'Set up'!$A$2:$E$70,5,FALSE)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84"/>
        <v>2</v>
      </c>
      <c r="C568" s="5">
        <f t="shared" si="85"/>
        <v>2022</v>
      </c>
      <c r="D568" s="5" t="s">
        <v>605</v>
      </c>
      <c r="E568" s="5" t="str">
        <f>VLOOKUP(F568,'Set up'!$A$2:$C$70,2,FALSE)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up'!$A$2:$C$70,3,FALSE)</f>
        <v>45</v>
      </c>
      <c r="J568" s="5">
        <f>VLOOKUP(F568,'Set up'!$A$2:$D$70,4,FALSE)</f>
        <v>45</v>
      </c>
      <c r="K568" s="4">
        <f t="shared" si="86"/>
        <v>44656</v>
      </c>
      <c r="L568" s="5">
        <f t="shared" si="87"/>
        <v>4</v>
      </c>
      <c r="M568" s="5">
        <f t="shared" si="88"/>
        <v>2022</v>
      </c>
      <c r="N568" s="6">
        <v>260</v>
      </c>
      <c r="O568" s="6">
        <f t="shared" ref="O568:O573" si="93">-N568</f>
        <v>-260</v>
      </c>
      <c r="P568" s="6">
        <f t="shared" si="91"/>
        <v>0</v>
      </c>
      <c r="Q568" s="7">
        <f t="shared" si="89"/>
        <v>1008583.15</v>
      </c>
      <c r="R568" s="44" t="str">
        <f>VLOOKUP(F568,'Set up'!$A$2:$E$70,5,FALSE)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84"/>
        <v>2</v>
      </c>
      <c r="C569" s="5">
        <f t="shared" si="85"/>
        <v>2022</v>
      </c>
      <c r="D569" s="5" t="s">
        <v>605</v>
      </c>
      <c r="E569" s="5" t="str">
        <f>VLOOKUP(F569,'Set up'!$A$2:$C$70,2,FALSE)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up'!$A$2:$C$70,3,FALSE)</f>
        <v>45</v>
      </c>
      <c r="J569" s="5">
        <f>VLOOKUP(F569,'Set up'!$A$2:$D$70,4,FALSE)</f>
        <v>45</v>
      </c>
      <c r="K569" s="4">
        <f t="shared" si="86"/>
        <v>44656</v>
      </c>
      <c r="L569" s="5">
        <f t="shared" si="87"/>
        <v>4</v>
      </c>
      <c r="M569" s="5">
        <f t="shared" si="88"/>
        <v>2022</v>
      </c>
      <c r="N569" s="6">
        <v>630</v>
      </c>
      <c r="O569" s="6">
        <f t="shared" si="93"/>
        <v>-630</v>
      </c>
      <c r="P569" s="6">
        <f t="shared" si="91"/>
        <v>0</v>
      </c>
      <c r="Q569" s="7">
        <f t="shared" si="89"/>
        <v>1009213.15</v>
      </c>
      <c r="R569" s="44" t="str">
        <f>VLOOKUP(F569,'Set up'!$A$2:$E$70,5,FALSE)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84"/>
        <v>2</v>
      </c>
      <c r="C570" s="5">
        <f t="shared" si="85"/>
        <v>2022</v>
      </c>
      <c r="D570" s="5" t="s">
        <v>605</v>
      </c>
      <c r="E570" s="5" t="str">
        <f>VLOOKUP(F570,'Set up'!$A$2:$C$70,2,FALSE)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up'!$A$2:$C$70,3,FALSE)</f>
        <v>45</v>
      </c>
      <c r="J570" s="5">
        <f>VLOOKUP(F570,'Set up'!$A$2:$D$70,4,FALSE)</f>
        <v>45</v>
      </c>
      <c r="K570" s="4">
        <f t="shared" si="86"/>
        <v>44656</v>
      </c>
      <c r="L570" s="5">
        <f t="shared" si="87"/>
        <v>4</v>
      </c>
      <c r="M570" s="5">
        <f t="shared" si="88"/>
        <v>2022</v>
      </c>
      <c r="N570" s="6">
        <v>45</v>
      </c>
      <c r="O570" s="6">
        <f t="shared" si="93"/>
        <v>-45</v>
      </c>
      <c r="P570" s="6">
        <f t="shared" si="91"/>
        <v>0</v>
      </c>
      <c r="Q570" s="7">
        <f t="shared" si="89"/>
        <v>1009258.15</v>
      </c>
      <c r="R570" s="44" t="str">
        <f>VLOOKUP(F570,'Set up'!$A$2:$E$70,5,FALSE)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84"/>
        <v>2</v>
      </c>
      <c r="C571" s="5">
        <f t="shared" si="85"/>
        <v>2022</v>
      </c>
      <c r="D571" s="5" t="s">
        <v>606</v>
      </c>
      <c r="E571" s="5" t="str">
        <f>VLOOKUP(F571,'Set up'!$A$2:$C$70,2,FALSE)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up'!$A$2:$C$70,3,FALSE)</f>
        <v>Cash</v>
      </c>
      <c r="J571" s="5">
        <f>VLOOKUP(F571,'Set up'!$A$2:$D$70,4,FALSE)</f>
        <v>0</v>
      </c>
      <c r="K571" s="4">
        <f t="shared" si="86"/>
        <v>44613</v>
      </c>
      <c r="L571" s="5">
        <f t="shared" si="87"/>
        <v>2</v>
      </c>
      <c r="M571" s="5">
        <f t="shared" si="88"/>
        <v>2022</v>
      </c>
      <c r="N571" s="6">
        <v>3960</v>
      </c>
      <c r="O571" s="6">
        <f t="shared" si="93"/>
        <v>-3960</v>
      </c>
      <c r="P571" s="6">
        <f t="shared" si="91"/>
        <v>0</v>
      </c>
      <c r="Q571" s="7">
        <f t="shared" si="89"/>
        <v>1013218.15</v>
      </c>
      <c r="R571" s="44" t="str">
        <f>VLOOKUP(F571,'Set up'!$A$2:$E$70,5,FALSE)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84"/>
        <v>2</v>
      </c>
      <c r="C572" s="5">
        <f t="shared" si="85"/>
        <v>2022</v>
      </c>
      <c r="D572" s="5" t="s">
        <v>606</v>
      </c>
      <c r="E572" s="5" t="str">
        <f>VLOOKUP(F572,'Set up'!$A$2:$C$70,2,FALSE)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up'!$A$2:$C$70,3,FALSE)</f>
        <v>Cash</v>
      </c>
      <c r="J572" s="5">
        <f>VLOOKUP(F572,'Set up'!$A$2:$D$70,4,FALSE)</f>
        <v>0</v>
      </c>
      <c r="K572" s="4">
        <f t="shared" si="86"/>
        <v>44613</v>
      </c>
      <c r="L572" s="5">
        <f t="shared" si="87"/>
        <v>2</v>
      </c>
      <c r="M572" s="5">
        <f t="shared" si="88"/>
        <v>2022</v>
      </c>
      <c r="N572" s="6">
        <v>1692</v>
      </c>
      <c r="O572" s="6">
        <f t="shared" si="93"/>
        <v>-1692</v>
      </c>
      <c r="P572" s="6">
        <f t="shared" si="91"/>
        <v>0</v>
      </c>
      <c r="Q572" s="7">
        <f t="shared" si="89"/>
        <v>1014910.15</v>
      </c>
      <c r="R572" s="44" t="str">
        <f>VLOOKUP(F572,'Set up'!$A$2:$E$70,5,FALSE)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84"/>
        <v>2</v>
      </c>
      <c r="C573" s="5">
        <f t="shared" si="85"/>
        <v>2022</v>
      </c>
      <c r="D573" s="5" t="s">
        <v>606</v>
      </c>
      <c r="E573" s="5" t="str">
        <f>VLOOKUP(F573,'Set up'!$A$2:$C$70,2,FALSE)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up'!$A$2:$C$70,3,FALSE)</f>
        <v>Cash</v>
      </c>
      <c r="J573" s="5">
        <f>VLOOKUP(F573,'Set up'!$A$2:$D$70,4,FALSE)</f>
        <v>0</v>
      </c>
      <c r="K573" s="4">
        <f t="shared" si="86"/>
        <v>44613</v>
      </c>
      <c r="L573" s="5">
        <f t="shared" si="87"/>
        <v>2</v>
      </c>
      <c r="M573" s="5">
        <f t="shared" si="88"/>
        <v>2022</v>
      </c>
      <c r="N573" s="6">
        <v>170</v>
      </c>
      <c r="O573" s="6">
        <f t="shared" si="93"/>
        <v>-170</v>
      </c>
      <c r="P573" s="6">
        <f t="shared" si="91"/>
        <v>0</v>
      </c>
      <c r="Q573" s="7">
        <f t="shared" si="89"/>
        <v>1015080.15</v>
      </c>
      <c r="R573" s="44" t="str">
        <f>VLOOKUP(F573,'Set up'!$A$2:$E$70,5,FALSE)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84"/>
        <v>2</v>
      </c>
      <c r="C574" s="5">
        <f t="shared" si="85"/>
        <v>2022</v>
      </c>
      <c r="D574" s="5" t="s">
        <v>607</v>
      </c>
      <c r="E574" s="5" t="str">
        <f>VLOOKUP(F574,'Set up'!$A$2:$C$70,2,FALSE)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up'!$A$2:$C$70,3,FALSE)</f>
        <v>Cash</v>
      </c>
      <c r="J574" s="5">
        <f>VLOOKUP(F574,'Set up'!$A$2:$D$70,4,FALSE)</f>
        <v>0</v>
      </c>
      <c r="K574" s="4">
        <f t="shared" si="86"/>
        <v>44613</v>
      </c>
      <c r="L574" s="5">
        <f t="shared" si="87"/>
        <v>2</v>
      </c>
      <c r="M574" s="5">
        <f t="shared" si="88"/>
        <v>2022</v>
      </c>
      <c r="N574" s="6">
        <v>175</v>
      </c>
      <c r="O574" s="6">
        <f>SUM(-N574)</f>
        <v>-175</v>
      </c>
      <c r="P574" s="6">
        <f t="shared" si="91"/>
        <v>0</v>
      </c>
      <c r="Q574" s="7">
        <f t="shared" si="89"/>
        <v>1015255.15</v>
      </c>
      <c r="R574" s="44" t="str">
        <f>VLOOKUP(F574,'Set up'!$A$2:$E$70,5,FALSE)</f>
        <v>Chq</v>
      </c>
      <c r="S574" s="1" t="s">
        <v>746</v>
      </c>
    </row>
    <row r="575" spans="1:19" x14ac:dyDescent="0.35">
      <c r="A575" s="4">
        <v>44614</v>
      </c>
      <c r="B575" s="5">
        <f t="shared" si="84"/>
        <v>2</v>
      </c>
      <c r="C575" s="5">
        <f t="shared" si="85"/>
        <v>2022</v>
      </c>
      <c r="D575" s="5" t="s">
        <v>608</v>
      </c>
      <c r="E575" s="5" t="str">
        <f>VLOOKUP(F575,'Set up'!$A$2:$C$70,2,FALSE)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up'!$A$2:$C$70,3,FALSE)</f>
        <v>Cash</v>
      </c>
      <c r="J575" s="5">
        <f>VLOOKUP(F575,'Set up'!$A$2:$D$70,4,FALSE)</f>
        <v>0</v>
      </c>
      <c r="K575" s="4">
        <f t="shared" si="86"/>
        <v>44614</v>
      </c>
      <c r="L575" s="5">
        <f t="shared" si="87"/>
        <v>2</v>
      </c>
      <c r="M575" s="5">
        <f t="shared" si="88"/>
        <v>2022</v>
      </c>
      <c r="N575" s="6">
        <v>4136</v>
      </c>
      <c r="O575" s="6">
        <f t="shared" ref="O575:O580" si="94">-N575</f>
        <v>-4136</v>
      </c>
      <c r="P575" s="6">
        <f t="shared" si="91"/>
        <v>0</v>
      </c>
      <c r="Q575" s="7">
        <f t="shared" si="89"/>
        <v>1019391.15</v>
      </c>
      <c r="R575" s="44" t="str">
        <f>VLOOKUP(F575,'Set up'!$A$2:$E$70,5,FALSE)</f>
        <v>Trsf</v>
      </c>
      <c r="S575" s="1" t="s">
        <v>620</v>
      </c>
    </row>
    <row r="576" spans="1:19" x14ac:dyDescent="0.35">
      <c r="A576" s="4">
        <v>44614</v>
      </c>
      <c r="B576" s="5">
        <f t="shared" si="84"/>
        <v>2</v>
      </c>
      <c r="C576" s="5">
        <f t="shared" si="85"/>
        <v>2022</v>
      </c>
      <c r="D576" s="5" t="s">
        <v>608</v>
      </c>
      <c r="E576" s="5" t="str">
        <f>VLOOKUP(F576,'Set up'!$A$2:$C$70,2,FALSE)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up'!$A$2:$C$70,3,FALSE)</f>
        <v>Cash</v>
      </c>
      <c r="J576" s="5">
        <f>VLOOKUP(F576,'Set up'!$A$2:$D$70,4,FALSE)</f>
        <v>0</v>
      </c>
      <c r="K576" s="4">
        <f t="shared" si="86"/>
        <v>44614</v>
      </c>
      <c r="L576" s="5">
        <f t="shared" si="87"/>
        <v>2</v>
      </c>
      <c r="M576" s="5">
        <f t="shared" si="88"/>
        <v>2022</v>
      </c>
      <c r="N576" s="6">
        <v>523.79999999999995</v>
      </c>
      <c r="O576" s="6">
        <f t="shared" si="94"/>
        <v>-523.79999999999995</v>
      </c>
      <c r="P576" s="6">
        <f t="shared" si="91"/>
        <v>0</v>
      </c>
      <c r="Q576" s="7">
        <f t="shared" si="89"/>
        <v>1019914.9500000001</v>
      </c>
      <c r="R576" s="44" t="str">
        <f>VLOOKUP(F576,'Set up'!$A$2:$E$70,5,FALSE)</f>
        <v>Trsf</v>
      </c>
      <c r="S576" s="1" t="s">
        <v>620</v>
      </c>
    </row>
    <row r="577" spans="1:19" x14ac:dyDescent="0.35">
      <c r="A577" s="4">
        <v>44614</v>
      </c>
      <c r="B577" s="5">
        <f t="shared" si="84"/>
        <v>2</v>
      </c>
      <c r="C577" s="5">
        <f t="shared" si="85"/>
        <v>2022</v>
      </c>
      <c r="D577" s="5" t="s">
        <v>608</v>
      </c>
      <c r="E577" s="5" t="str">
        <f>VLOOKUP(F577,'Set up'!$A$2:$C$70,2,FALSE)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up'!$A$2:$C$70,3,FALSE)</f>
        <v>Cash</v>
      </c>
      <c r="J577" s="5">
        <f>VLOOKUP(F577,'Set up'!$A$2:$D$70,4,FALSE)</f>
        <v>0</v>
      </c>
      <c r="K577" s="4">
        <f t="shared" si="86"/>
        <v>44614</v>
      </c>
      <c r="L577" s="5">
        <f t="shared" si="87"/>
        <v>2</v>
      </c>
      <c r="M577" s="5">
        <f t="shared" si="88"/>
        <v>2022</v>
      </c>
      <c r="N577" s="6">
        <v>105</v>
      </c>
      <c r="O577" s="6">
        <f t="shared" si="94"/>
        <v>-105</v>
      </c>
      <c r="P577" s="6">
        <f t="shared" si="91"/>
        <v>0</v>
      </c>
      <c r="Q577" s="7">
        <f t="shared" si="89"/>
        <v>1020019.9500000001</v>
      </c>
      <c r="R577" s="44" t="str">
        <f>VLOOKUP(F577,'Set up'!$A$2:$E$70,5,FALSE)</f>
        <v>Trsf</v>
      </c>
      <c r="S577" s="1" t="s">
        <v>620</v>
      </c>
    </row>
    <row r="578" spans="1:19" x14ac:dyDescent="0.35">
      <c r="A578" s="4">
        <v>44614</v>
      </c>
      <c r="B578" s="5">
        <f t="shared" si="84"/>
        <v>2</v>
      </c>
      <c r="C578" s="5">
        <f t="shared" si="85"/>
        <v>2022</v>
      </c>
      <c r="D578" s="5" t="s">
        <v>608</v>
      </c>
      <c r="E578" s="5" t="str">
        <f>VLOOKUP(F578,'Set up'!$A$2:$C$70,2,FALSE)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up'!$A$2:$C$70,3,FALSE)</f>
        <v>Cash</v>
      </c>
      <c r="J578" s="5">
        <f>VLOOKUP(F578,'Set up'!$A$2:$D$70,4,FALSE)</f>
        <v>0</v>
      </c>
      <c r="K578" s="4">
        <f t="shared" si="86"/>
        <v>44614</v>
      </c>
      <c r="L578" s="5">
        <f t="shared" si="87"/>
        <v>2</v>
      </c>
      <c r="M578" s="5">
        <f t="shared" si="88"/>
        <v>2022</v>
      </c>
      <c r="N578" s="6">
        <v>360</v>
      </c>
      <c r="O578" s="6">
        <f t="shared" si="94"/>
        <v>-360</v>
      </c>
      <c r="P578" s="6">
        <f t="shared" si="91"/>
        <v>0</v>
      </c>
      <c r="Q578" s="7">
        <f t="shared" si="89"/>
        <v>1020379.9500000001</v>
      </c>
      <c r="R578" s="44" t="str">
        <f>VLOOKUP(F578,'Set up'!$A$2:$E$70,5,FALSE)</f>
        <v>Trsf</v>
      </c>
      <c r="S578" s="1" t="s">
        <v>620</v>
      </c>
    </row>
    <row r="579" spans="1:19" x14ac:dyDescent="0.35">
      <c r="A579" s="4">
        <v>44614</v>
      </c>
      <c r="B579" s="5">
        <f t="shared" ref="B579:B642" si="95">MONTH(A579)</f>
        <v>2</v>
      </c>
      <c r="C579" s="5">
        <f t="shared" ref="C579:C642" si="96">YEAR(A579)</f>
        <v>2022</v>
      </c>
      <c r="D579" s="5" t="s">
        <v>608</v>
      </c>
      <c r="E579" s="5" t="str">
        <f>VLOOKUP(F579,'Set up'!$A$2:$C$70,2,FALSE)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up'!$A$2:$C$70,3,FALSE)</f>
        <v>Cash</v>
      </c>
      <c r="J579" s="5">
        <f>VLOOKUP(F579,'Set up'!$A$2:$D$70,4,FALSE)</f>
        <v>0</v>
      </c>
      <c r="K579" s="4">
        <f t="shared" ref="K579:K642" si="97">A579+J579</f>
        <v>44614</v>
      </c>
      <c r="L579" s="5">
        <f t="shared" ref="L579:L642" si="98">MONTH(K579)</f>
        <v>2</v>
      </c>
      <c r="M579" s="5">
        <f t="shared" ref="M579:M642" si="99">YEAR(K579)</f>
        <v>2022</v>
      </c>
      <c r="N579" s="6">
        <v>312.5</v>
      </c>
      <c r="O579" s="6">
        <f t="shared" si="94"/>
        <v>-312.5</v>
      </c>
      <c r="P579" s="6">
        <f t="shared" si="91"/>
        <v>0</v>
      </c>
      <c r="Q579" s="7">
        <f t="shared" ref="Q579:Q642" si="100">SUM(Q578+N579)</f>
        <v>1020692.4500000001</v>
      </c>
      <c r="R579" s="44" t="str">
        <f>VLOOKUP(F579,'Set up'!$A$2:$E$70,5,FALSE)</f>
        <v>Trsf</v>
      </c>
      <c r="S579" s="1" t="s">
        <v>620</v>
      </c>
    </row>
    <row r="580" spans="1:19" x14ac:dyDescent="0.35">
      <c r="A580" s="4">
        <v>44614</v>
      </c>
      <c r="B580" s="5">
        <f t="shared" si="95"/>
        <v>2</v>
      </c>
      <c r="C580" s="5">
        <f t="shared" si="96"/>
        <v>2022</v>
      </c>
      <c r="D580" s="5" t="s">
        <v>608</v>
      </c>
      <c r="E580" s="5" t="str">
        <f>VLOOKUP(F580,'Set up'!$A$2:$C$70,2,FALSE)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up'!$A$2:$C$70,3,FALSE)</f>
        <v>Cash</v>
      </c>
      <c r="J580" s="5">
        <f>VLOOKUP(F580,'Set up'!$A$2:$D$70,4,FALSE)</f>
        <v>0</v>
      </c>
      <c r="K580" s="4">
        <f t="shared" si="97"/>
        <v>44614</v>
      </c>
      <c r="L580" s="5">
        <f t="shared" si="98"/>
        <v>2</v>
      </c>
      <c r="M580" s="5">
        <f t="shared" si="99"/>
        <v>2022</v>
      </c>
      <c r="N580" s="6">
        <v>440</v>
      </c>
      <c r="O580" s="6">
        <f t="shared" si="94"/>
        <v>-440</v>
      </c>
      <c r="P580" s="6">
        <f t="shared" si="91"/>
        <v>0</v>
      </c>
      <c r="Q580" s="7">
        <f t="shared" si="100"/>
        <v>1021132.4500000001</v>
      </c>
      <c r="R580" s="44" t="str">
        <f>VLOOKUP(F580,'Set up'!$A$2:$E$70,5,FALSE)</f>
        <v>Trsf</v>
      </c>
      <c r="S580" s="1" t="s">
        <v>620</v>
      </c>
    </row>
    <row r="581" spans="1:19" x14ac:dyDescent="0.35">
      <c r="A581" s="4">
        <v>44616</v>
      </c>
      <c r="B581" s="5">
        <f t="shared" si="95"/>
        <v>2</v>
      </c>
      <c r="C581" s="5">
        <f t="shared" si="96"/>
        <v>2022</v>
      </c>
      <c r="D581" s="5" t="s">
        <v>609</v>
      </c>
      <c r="E581" s="5" t="str">
        <f>VLOOKUP(F581,'Set up'!$A$2:$C$70,2,FALSE)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up'!$A$2:$C$70,3,FALSE)</f>
        <v>Cash</v>
      </c>
      <c r="J581" s="5">
        <f>VLOOKUP(F581,'Set up'!$A$2:$D$70,4,FALSE)</f>
        <v>0</v>
      </c>
      <c r="K581" s="4">
        <f t="shared" si="97"/>
        <v>44616</v>
      </c>
      <c r="L581" s="5">
        <f t="shared" si="98"/>
        <v>2</v>
      </c>
      <c r="M581" s="5">
        <f t="shared" si="99"/>
        <v>2022</v>
      </c>
      <c r="N581" s="6">
        <v>4180</v>
      </c>
      <c r="O581" s="6">
        <f>-1149.3-3030.7</f>
        <v>-4180</v>
      </c>
      <c r="P581" s="6">
        <f t="shared" si="91"/>
        <v>0</v>
      </c>
      <c r="Q581" s="7">
        <f t="shared" si="100"/>
        <v>1025312.4500000001</v>
      </c>
      <c r="R581" s="44" t="str">
        <f>VLOOKUP(F581,'Set up'!$A$2:$E$70,5,FALSE)</f>
        <v>Trsf</v>
      </c>
      <c r="S581" s="1" t="s">
        <v>821</v>
      </c>
    </row>
    <row r="582" spans="1:19" x14ac:dyDescent="0.35">
      <c r="A582" s="4">
        <v>44616</v>
      </c>
      <c r="B582" s="5">
        <f t="shared" si="95"/>
        <v>2</v>
      </c>
      <c r="C582" s="5">
        <f t="shared" si="96"/>
        <v>2022</v>
      </c>
      <c r="D582" s="5" t="s">
        <v>609</v>
      </c>
      <c r="E582" s="5" t="str">
        <f>VLOOKUP(F582,'Set up'!$A$2:$C$70,2,FALSE)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up'!$A$2:$C$70,3,FALSE)</f>
        <v>Cash</v>
      </c>
      <c r="J582" s="5">
        <f>VLOOKUP(F582,'Set up'!$A$2:$D$70,4,FALSE)</f>
        <v>0</v>
      </c>
      <c r="K582" s="4">
        <f t="shared" si="97"/>
        <v>44616</v>
      </c>
      <c r="L582" s="5">
        <f t="shared" si="98"/>
        <v>2</v>
      </c>
      <c r="M582" s="5">
        <f t="shared" si="99"/>
        <v>2022</v>
      </c>
      <c r="N582" s="6">
        <v>2090</v>
      </c>
      <c r="O582" s="6">
        <f t="shared" ref="O582:O608" si="101">-N582</f>
        <v>-2090</v>
      </c>
      <c r="P582" s="6">
        <f t="shared" si="91"/>
        <v>0</v>
      </c>
      <c r="Q582" s="7">
        <f t="shared" si="100"/>
        <v>1027402.4500000001</v>
      </c>
      <c r="R582" s="44" t="str">
        <f>VLOOKUP(F582,'Set up'!$A$2:$E$70,5,FALSE)</f>
        <v>Trsf</v>
      </c>
      <c r="S582" s="1" t="s">
        <v>820</v>
      </c>
    </row>
    <row r="583" spans="1:19" x14ac:dyDescent="0.35">
      <c r="A583" s="4">
        <v>44616</v>
      </c>
      <c r="B583" s="5">
        <f t="shared" si="95"/>
        <v>2</v>
      </c>
      <c r="C583" s="5">
        <f t="shared" si="96"/>
        <v>2022</v>
      </c>
      <c r="D583" s="5" t="s">
        <v>609</v>
      </c>
      <c r="E583" s="5" t="str">
        <f>VLOOKUP(F583,'Set up'!$A$2:$C$70,2,FALSE)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up'!$A$2:$C$70,3,FALSE)</f>
        <v>Cash</v>
      </c>
      <c r="J583" s="5">
        <f>VLOOKUP(F583,'Set up'!$A$2:$D$70,4,FALSE)</f>
        <v>0</v>
      </c>
      <c r="K583" s="4">
        <f t="shared" si="97"/>
        <v>44616</v>
      </c>
      <c r="L583" s="5">
        <f t="shared" si="98"/>
        <v>2</v>
      </c>
      <c r="M583" s="5">
        <f t="shared" si="99"/>
        <v>2022</v>
      </c>
      <c r="N583" s="6">
        <v>351</v>
      </c>
      <c r="O583" s="6">
        <f t="shared" si="101"/>
        <v>-351</v>
      </c>
      <c r="P583" s="6">
        <f t="shared" si="91"/>
        <v>0</v>
      </c>
      <c r="Q583" s="7">
        <f t="shared" si="100"/>
        <v>1027753.4500000001</v>
      </c>
      <c r="R583" s="44" t="str">
        <f>VLOOKUP(F583,'Set up'!$A$2:$E$70,5,FALSE)</f>
        <v>Trsf</v>
      </c>
      <c r="S583" s="1" t="s">
        <v>820</v>
      </c>
    </row>
    <row r="584" spans="1:19" x14ac:dyDescent="0.35">
      <c r="A584" s="4">
        <v>44616</v>
      </c>
      <c r="B584" s="5">
        <f t="shared" si="95"/>
        <v>2</v>
      </c>
      <c r="C584" s="5">
        <f t="shared" si="96"/>
        <v>2022</v>
      </c>
      <c r="D584" s="5" t="s">
        <v>609</v>
      </c>
      <c r="E584" s="5" t="str">
        <f>VLOOKUP(F584,'Set up'!$A$2:$C$70,2,FALSE)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up'!$A$2:$C$70,3,FALSE)</f>
        <v>Cash</v>
      </c>
      <c r="J584" s="5">
        <f>VLOOKUP(F584,'Set up'!$A$2:$D$70,4,FALSE)</f>
        <v>0</v>
      </c>
      <c r="K584" s="4">
        <f t="shared" si="97"/>
        <v>44616</v>
      </c>
      <c r="L584" s="5">
        <f t="shared" si="98"/>
        <v>2</v>
      </c>
      <c r="M584" s="5">
        <f t="shared" si="99"/>
        <v>2022</v>
      </c>
      <c r="N584" s="6">
        <v>1000</v>
      </c>
      <c r="O584" s="6">
        <f t="shared" si="101"/>
        <v>-1000</v>
      </c>
      <c r="P584" s="6">
        <f t="shared" si="91"/>
        <v>0</v>
      </c>
      <c r="Q584" s="7">
        <f t="shared" si="100"/>
        <v>1028753.4500000001</v>
      </c>
      <c r="R584" s="44" t="str">
        <f>VLOOKUP(F584,'Set up'!$A$2:$E$70,5,FALSE)</f>
        <v>Trsf</v>
      </c>
      <c r="S584" s="1" t="s">
        <v>820</v>
      </c>
    </row>
    <row r="585" spans="1:19" x14ac:dyDescent="0.35">
      <c r="A585" s="4">
        <v>44616</v>
      </c>
      <c r="B585" s="5">
        <f t="shared" si="95"/>
        <v>2</v>
      </c>
      <c r="C585" s="5">
        <f t="shared" si="96"/>
        <v>2022</v>
      </c>
      <c r="D585" s="5" t="s">
        <v>609</v>
      </c>
      <c r="E585" s="5" t="str">
        <f>VLOOKUP(F585,'Set up'!$A$2:$C$70,2,FALSE)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up'!$A$2:$C$70,3,FALSE)</f>
        <v>Cash</v>
      </c>
      <c r="J585" s="5">
        <f>VLOOKUP(F585,'Set up'!$A$2:$D$70,4,FALSE)</f>
        <v>0</v>
      </c>
      <c r="K585" s="4">
        <f t="shared" si="97"/>
        <v>44616</v>
      </c>
      <c r="L585" s="5">
        <f t="shared" si="98"/>
        <v>2</v>
      </c>
      <c r="M585" s="5">
        <f t="shared" si="99"/>
        <v>2022</v>
      </c>
      <c r="N585" s="6">
        <v>340</v>
      </c>
      <c r="O585" s="6">
        <f t="shared" si="101"/>
        <v>-340</v>
      </c>
      <c r="P585" s="6">
        <f t="shared" si="91"/>
        <v>0</v>
      </c>
      <c r="Q585" s="7">
        <f t="shared" si="100"/>
        <v>1029093.4500000001</v>
      </c>
      <c r="R585" s="44" t="str">
        <f>VLOOKUP(F585,'Set up'!$A$2:$E$70,5,FALSE)</f>
        <v>Trsf</v>
      </c>
      <c r="S585" s="1" t="s">
        <v>820</v>
      </c>
    </row>
    <row r="586" spans="1:19" x14ac:dyDescent="0.35">
      <c r="A586" s="4">
        <v>44618</v>
      </c>
      <c r="B586" s="5">
        <f t="shared" si="95"/>
        <v>2</v>
      </c>
      <c r="C586" s="5">
        <f t="shared" si="96"/>
        <v>2022</v>
      </c>
      <c r="D586" s="5" t="s">
        <v>610</v>
      </c>
      <c r="E586" s="5" t="str">
        <f>VLOOKUP(F586,'Set up'!$A$2:$C$70,2,FALSE)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up'!$A$2:$C$70,3,FALSE)</f>
        <v>Cash</v>
      </c>
      <c r="J586" s="5">
        <f>VLOOKUP(F586,'Set up'!$A$2:$D$70,4,FALSE)</f>
        <v>0</v>
      </c>
      <c r="K586" s="4">
        <f t="shared" si="97"/>
        <v>44618</v>
      </c>
      <c r="L586" s="5">
        <f t="shared" si="98"/>
        <v>2</v>
      </c>
      <c r="M586" s="5">
        <f t="shared" si="99"/>
        <v>2022</v>
      </c>
      <c r="N586" s="6">
        <v>2090</v>
      </c>
      <c r="O586" s="6">
        <f t="shared" si="101"/>
        <v>-2090</v>
      </c>
      <c r="P586" s="6">
        <f t="shared" si="91"/>
        <v>0</v>
      </c>
      <c r="Q586" s="7">
        <f t="shared" si="100"/>
        <v>1031183.4500000001</v>
      </c>
      <c r="R586" s="44" t="str">
        <f>VLOOKUP(F586,'Set up'!$A$2:$E$70,5,FALSE)</f>
        <v>Trsf</v>
      </c>
      <c r="S586" s="1" t="s">
        <v>820</v>
      </c>
    </row>
    <row r="587" spans="1:19" x14ac:dyDescent="0.35">
      <c r="A587" s="4">
        <v>44618</v>
      </c>
      <c r="B587" s="5">
        <f t="shared" si="95"/>
        <v>2</v>
      </c>
      <c r="C587" s="5">
        <f t="shared" si="96"/>
        <v>2022</v>
      </c>
      <c r="D587" s="5" t="s">
        <v>610</v>
      </c>
      <c r="E587" s="5" t="str">
        <f>VLOOKUP(F587,'Set up'!$A$2:$C$70,2,FALSE)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up'!$A$2:$C$70,3,FALSE)</f>
        <v>Cash</v>
      </c>
      <c r="J587" s="5">
        <f>VLOOKUP(F587,'Set up'!$A$2:$D$70,4,FALSE)</f>
        <v>0</v>
      </c>
      <c r="K587" s="4">
        <f t="shared" si="97"/>
        <v>44618</v>
      </c>
      <c r="L587" s="5">
        <f t="shared" si="98"/>
        <v>2</v>
      </c>
      <c r="M587" s="5">
        <f t="shared" si="99"/>
        <v>2022</v>
      </c>
      <c r="N587" s="6">
        <v>588</v>
      </c>
      <c r="O587" s="6">
        <f t="shared" si="101"/>
        <v>-588</v>
      </c>
      <c r="P587" s="6">
        <f t="shared" si="91"/>
        <v>0</v>
      </c>
      <c r="Q587" s="7">
        <f t="shared" si="100"/>
        <v>1031771.4500000001</v>
      </c>
      <c r="R587" s="44" t="str">
        <f>VLOOKUP(F587,'Set up'!$A$2:$E$70,5,FALSE)</f>
        <v>Trsf</v>
      </c>
      <c r="S587" s="1" t="s">
        <v>820</v>
      </c>
    </row>
    <row r="588" spans="1:19" x14ac:dyDescent="0.35">
      <c r="A588" s="4">
        <v>44618</v>
      </c>
      <c r="B588" s="5">
        <f t="shared" si="95"/>
        <v>2</v>
      </c>
      <c r="C588" s="5">
        <f t="shared" si="96"/>
        <v>2022</v>
      </c>
      <c r="D588" s="5" t="s">
        <v>611</v>
      </c>
      <c r="E588" s="5" t="str">
        <f>VLOOKUP(F588,'Set up'!$A$2:$C$70,2,FALSE)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up'!$A$2:$C$70,3,FALSE)</f>
        <v>45</v>
      </c>
      <c r="J588" s="5">
        <f>VLOOKUP(F588,'Set up'!$A$2:$D$70,4,FALSE)</f>
        <v>45</v>
      </c>
      <c r="K588" s="4">
        <f t="shared" si="97"/>
        <v>44663</v>
      </c>
      <c r="L588" s="5">
        <f t="shared" si="98"/>
        <v>4</v>
      </c>
      <c r="M588" s="5">
        <f t="shared" si="99"/>
        <v>2022</v>
      </c>
      <c r="N588" s="6">
        <v>315</v>
      </c>
      <c r="O588" s="6">
        <f t="shared" si="101"/>
        <v>-315</v>
      </c>
      <c r="P588" s="6">
        <f t="shared" si="91"/>
        <v>0</v>
      </c>
      <c r="Q588" s="7">
        <f t="shared" si="100"/>
        <v>1032086.4500000001</v>
      </c>
      <c r="R588" s="44" t="str">
        <f>VLOOKUP(F588,'Set up'!$A$2:$E$70,5,FALSE)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95"/>
        <v>3</v>
      </c>
      <c r="C589" s="5">
        <f t="shared" si="96"/>
        <v>2022</v>
      </c>
      <c r="D589" s="5" t="s">
        <v>633</v>
      </c>
      <c r="E589" s="5" t="str">
        <f>VLOOKUP(F589,'Set up'!$A$2:$C$70,2,FALSE)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up'!$A$2:$C$70,3,FALSE)</f>
        <v>Cash</v>
      </c>
      <c r="J589" s="5">
        <f>VLOOKUP(F589,'Set up'!$A$2:$D$70,4,FALSE)</f>
        <v>0</v>
      </c>
      <c r="K589" s="4">
        <f t="shared" si="97"/>
        <v>44625</v>
      </c>
      <c r="L589" s="5">
        <f t="shared" si="98"/>
        <v>3</v>
      </c>
      <c r="M589" s="5">
        <f t="shared" si="99"/>
        <v>2022</v>
      </c>
      <c r="N589" s="6">
        <v>3960</v>
      </c>
      <c r="O589" s="6">
        <f t="shared" si="101"/>
        <v>-3960</v>
      </c>
      <c r="P589" s="6">
        <f t="shared" si="91"/>
        <v>0</v>
      </c>
      <c r="Q589" s="7">
        <f t="shared" si="100"/>
        <v>1036046.4500000001</v>
      </c>
      <c r="R589" s="44" t="str">
        <f>VLOOKUP(F589,'Set up'!$A$2:$E$70,5,FALSE)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95"/>
        <v>3</v>
      </c>
      <c r="C590" s="5">
        <f t="shared" si="96"/>
        <v>2022</v>
      </c>
      <c r="D590" s="5" t="s">
        <v>633</v>
      </c>
      <c r="E590" s="5" t="str">
        <f>VLOOKUP(F590,'Set up'!$A$2:$C$70,2,FALSE)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up'!$A$2:$C$70,3,FALSE)</f>
        <v>Cash</v>
      </c>
      <c r="J590" s="5">
        <f>VLOOKUP(F590,'Set up'!$A$2:$D$70,4,FALSE)</f>
        <v>0</v>
      </c>
      <c r="K590" s="4">
        <f t="shared" si="97"/>
        <v>44625</v>
      </c>
      <c r="L590" s="5">
        <f t="shared" si="98"/>
        <v>3</v>
      </c>
      <c r="M590" s="5">
        <f t="shared" si="99"/>
        <v>2022</v>
      </c>
      <c r="N590" s="6">
        <v>2256</v>
      </c>
      <c r="O590" s="6">
        <f t="shared" si="101"/>
        <v>-2256</v>
      </c>
      <c r="P590" s="6">
        <f t="shared" si="91"/>
        <v>0</v>
      </c>
      <c r="Q590" s="7">
        <f t="shared" si="100"/>
        <v>1038302.4500000001</v>
      </c>
      <c r="R590" s="44" t="str">
        <f>VLOOKUP(F590,'Set up'!$A$2:$E$70,5,FALSE)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95"/>
        <v>3</v>
      </c>
      <c r="C591" s="5">
        <f t="shared" si="96"/>
        <v>2022</v>
      </c>
      <c r="D591" s="5" t="s">
        <v>633</v>
      </c>
      <c r="E591" s="5" t="str">
        <f>VLOOKUP(F591,'Set up'!$A$2:$C$70,2,FALSE)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up'!$A$2:$C$70,3,FALSE)</f>
        <v>Cash</v>
      </c>
      <c r="J591" s="5">
        <f>VLOOKUP(F591,'Set up'!$A$2:$D$70,4,FALSE)</f>
        <v>0</v>
      </c>
      <c r="K591" s="4">
        <f t="shared" si="97"/>
        <v>44625</v>
      </c>
      <c r="L591" s="5">
        <f t="shared" si="98"/>
        <v>3</v>
      </c>
      <c r="M591" s="5">
        <f t="shared" si="99"/>
        <v>2022</v>
      </c>
      <c r="N591" s="6">
        <v>85</v>
      </c>
      <c r="O591" s="6">
        <f t="shared" si="101"/>
        <v>-85</v>
      </c>
      <c r="P591" s="6">
        <f t="shared" si="91"/>
        <v>0</v>
      </c>
      <c r="Q591" s="7">
        <f t="shared" si="100"/>
        <v>1038387.4500000001</v>
      </c>
      <c r="R591" s="44" t="str">
        <f>VLOOKUP(F591,'Set up'!$A$2:$E$70,5,FALSE)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95"/>
        <v>3</v>
      </c>
      <c r="C592" s="5">
        <f t="shared" si="96"/>
        <v>2022</v>
      </c>
      <c r="D592" s="5" t="s">
        <v>634</v>
      </c>
      <c r="E592" s="5" t="str">
        <f>VLOOKUP(F592,'Set up'!$A$2:$C$70,2,FALSE)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up'!$A$2:$C$70,3,FALSE)</f>
        <v>Cash</v>
      </c>
      <c r="J592" s="5">
        <f>VLOOKUP(F592,'Set up'!$A$2:$D$70,4,FALSE)</f>
        <v>0</v>
      </c>
      <c r="K592" s="4">
        <f t="shared" si="97"/>
        <v>44628</v>
      </c>
      <c r="L592" s="5">
        <f t="shared" si="98"/>
        <v>3</v>
      </c>
      <c r="M592" s="5">
        <f t="shared" si="99"/>
        <v>2022</v>
      </c>
      <c r="N592" s="6">
        <v>2112</v>
      </c>
      <c r="O592" s="6">
        <f t="shared" si="101"/>
        <v>-2112</v>
      </c>
      <c r="P592" s="6">
        <f t="shared" si="91"/>
        <v>0</v>
      </c>
      <c r="Q592" s="7">
        <f t="shared" si="100"/>
        <v>1040499.4500000001</v>
      </c>
      <c r="R592" s="44" t="str">
        <f>VLOOKUP(F592,'Set up'!$A$2:$E$70,5,FALSE)</f>
        <v>Trsf</v>
      </c>
      <c r="S592" s="1" t="s">
        <v>668</v>
      </c>
    </row>
    <row r="593" spans="1:19" x14ac:dyDescent="0.35">
      <c r="A593" s="4">
        <v>44628</v>
      </c>
      <c r="B593" s="5">
        <f t="shared" si="95"/>
        <v>3</v>
      </c>
      <c r="C593" s="5">
        <f t="shared" si="96"/>
        <v>2022</v>
      </c>
      <c r="D593" s="5" t="s">
        <v>634</v>
      </c>
      <c r="E593" s="5" t="str">
        <f>VLOOKUP(F593,'Set up'!$A$2:$C$70,2,FALSE)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up'!$A$2:$C$70,3,FALSE)</f>
        <v>Cash</v>
      </c>
      <c r="J593" s="5">
        <f>VLOOKUP(F593,'Set up'!$A$2:$D$70,4,FALSE)</f>
        <v>0</v>
      </c>
      <c r="K593" s="4">
        <f t="shared" si="97"/>
        <v>44628</v>
      </c>
      <c r="L593" s="5">
        <f t="shared" si="98"/>
        <v>3</v>
      </c>
      <c r="M593" s="5">
        <f t="shared" si="99"/>
        <v>2022</v>
      </c>
      <c r="N593" s="6">
        <v>320</v>
      </c>
      <c r="O593" s="6">
        <f t="shared" si="101"/>
        <v>-320</v>
      </c>
      <c r="P593" s="6">
        <f t="shared" si="91"/>
        <v>0</v>
      </c>
      <c r="Q593" s="7">
        <f t="shared" si="100"/>
        <v>1040819.4500000001</v>
      </c>
      <c r="R593" s="44" t="str">
        <f>VLOOKUP(F593,'Set up'!$A$2:$E$70,5,FALSE)</f>
        <v>Trsf</v>
      </c>
      <c r="S593" s="1" t="s">
        <v>668</v>
      </c>
    </row>
    <row r="594" spans="1:19" x14ac:dyDescent="0.35">
      <c r="A594" s="4">
        <v>44628</v>
      </c>
      <c r="B594" s="5">
        <f t="shared" si="95"/>
        <v>3</v>
      </c>
      <c r="C594" s="5">
        <f t="shared" si="96"/>
        <v>2022</v>
      </c>
      <c r="D594" s="5" t="s">
        <v>634</v>
      </c>
      <c r="E594" s="5" t="str">
        <f>VLOOKUP(F594,'Set up'!$A$2:$C$70,2,FALSE)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up'!$A$2:$C$70,3,FALSE)</f>
        <v>Cash</v>
      </c>
      <c r="J594" s="5">
        <f>VLOOKUP(F594,'Set up'!$A$2:$D$70,4,FALSE)</f>
        <v>0</v>
      </c>
      <c r="K594" s="4">
        <f t="shared" si="97"/>
        <v>44628</v>
      </c>
      <c r="L594" s="5">
        <f t="shared" si="98"/>
        <v>3</v>
      </c>
      <c r="M594" s="5">
        <f t="shared" si="99"/>
        <v>2022</v>
      </c>
      <c r="N594" s="6">
        <v>337.5</v>
      </c>
      <c r="O594" s="6">
        <f t="shared" si="101"/>
        <v>-337.5</v>
      </c>
      <c r="P594" s="6">
        <f t="shared" si="91"/>
        <v>0</v>
      </c>
      <c r="Q594" s="7">
        <f t="shared" si="100"/>
        <v>1041156.9500000001</v>
      </c>
      <c r="R594" s="44" t="str">
        <f>VLOOKUP(F594,'Set up'!$A$2:$E$70,5,FALSE)</f>
        <v>Trsf</v>
      </c>
      <c r="S594" s="1" t="s">
        <v>668</v>
      </c>
    </row>
    <row r="595" spans="1:19" x14ac:dyDescent="0.35">
      <c r="A595" s="4">
        <v>44628</v>
      </c>
      <c r="B595" s="5">
        <f t="shared" si="95"/>
        <v>3</v>
      </c>
      <c r="C595" s="5">
        <f t="shared" si="96"/>
        <v>2022</v>
      </c>
      <c r="D595" s="5" t="s">
        <v>634</v>
      </c>
      <c r="E595" s="5" t="str">
        <f>VLOOKUP(F595,'Set up'!$A$2:$C$70,2,FALSE)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up'!$A$2:$C$70,3,FALSE)</f>
        <v>Cash</v>
      </c>
      <c r="J595" s="5">
        <f>VLOOKUP(F595,'Set up'!$A$2:$D$70,4,FALSE)</f>
        <v>0</v>
      </c>
      <c r="K595" s="4">
        <f t="shared" si="97"/>
        <v>44628</v>
      </c>
      <c r="L595" s="5">
        <f t="shared" si="98"/>
        <v>3</v>
      </c>
      <c r="M595" s="5">
        <f t="shared" si="99"/>
        <v>2022</v>
      </c>
      <c r="N595" s="6">
        <v>480</v>
      </c>
      <c r="O595" s="6">
        <f t="shared" si="101"/>
        <v>-480</v>
      </c>
      <c r="P595" s="6">
        <f t="shared" si="91"/>
        <v>0</v>
      </c>
      <c r="Q595" s="7">
        <f t="shared" si="100"/>
        <v>1041636.9500000001</v>
      </c>
      <c r="R595" s="44" t="str">
        <f>VLOOKUP(F595,'Set up'!$A$2:$E$70,5,FALSE)</f>
        <v>Trsf</v>
      </c>
      <c r="S595" s="1" t="s">
        <v>668</v>
      </c>
    </row>
    <row r="596" spans="1:19" x14ac:dyDescent="0.35">
      <c r="A596" s="4">
        <v>44628</v>
      </c>
      <c r="B596" s="5">
        <f t="shared" si="95"/>
        <v>3</v>
      </c>
      <c r="C596" s="5">
        <f t="shared" si="96"/>
        <v>2022</v>
      </c>
      <c r="D596" s="5" t="s">
        <v>634</v>
      </c>
      <c r="E596" s="5" t="str">
        <f>VLOOKUP(F596,'Set up'!$A$2:$C$70,2,FALSE)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up'!$A$2:$C$70,3,FALSE)</f>
        <v>Cash</v>
      </c>
      <c r="J596" s="5">
        <f>VLOOKUP(F596,'Set up'!$A$2:$D$70,4,FALSE)</f>
        <v>0</v>
      </c>
      <c r="K596" s="4">
        <f t="shared" si="97"/>
        <v>44628</v>
      </c>
      <c r="L596" s="5">
        <f t="shared" si="98"/>
        <v>3</v>
      </c>
      <c r="M596" s="5">
        <f t="shared" si="99"/>
        <v>2022</v>
      </c>
      <c r="N596" s="6">
        <v>588</v>
      </c>
      <c r="O596" s="6">
        <f t="shared" si="101"/>
        <v>-588</v>
      </c>
      <c r="P596" s="6">
        <f t="shared" si="91"/>
        <v>0</v>
      </c>
      <c r="Q596" s="7">
        <f t="shared" si="100"/>
        <v>1042224.9500000001</v>
      </c>
      <c r="R596" s="44" t="str">
        <f>VLOOKUP(F596,'Set up'!$A$2:$E$70,5,FALSE)</f>
        <v>Trsf</v>
      </c>
      <c r="S596" s="1" t="s">
        <v>668</v>
      </c>
    </row>
    <row r="597" spans="1:19" x14ac:dyDescent="0.35">
      <c r="A597" s="4">
        <v>44628</v>
      </c>
      <c r="B597" s="5">
        <f t="shared" si="95"/>
        <v>3</v>
      </c>
      <c r="C597" s="5">
        <f t="shared" si="96"/>
        <v>2022</v>
      </c>
      <c r="D597" s="5" t="s">
        <v>634</v>
      </c>
      <c r="E597" s="5" t="str">
        <f>VLOOKUP(F597,'Set up'!$A$2:$C$70,2,FALSE)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up'!$A$2:$C$70,3,FALSE)</f>
        <v>Cash</v>
      </c>
      <c r="J597" s="5">
        <f>VLOOKUP(F597,'Set up'!$A$2:$D$70,4,FALSE)</f>
        <v>0</v>
      </c>
      <c r="K597" s="4">
        <f t="shared" si="97"/>
        <v>44628</v>
      </c>
      <c r="L597" s="5">
        <f t="shared" si="98"/>
        <v>3</v>
      </c>
      <c r="M597" s="5">
        <f t="shared" si="99"/>
        <v>2022</v>
      </c>
      <c r="N597" s="6">
        <v>588</v>
      </c>
      <c r="O597" s="6">
        <f t="shared" si="101"/>
        <v>-588</v>
      </c>
      <c r="P597" s="6">
        <f t="shared" ref="P597:P660" si="102">SUM(N597+O597)</f>
        <v>0</v>
      </c>
      <c r="Q597" s="7">
        <f t="shared" si="100"/>
        <v>1042812.9500000001</v>
      </c>
      <c r="R597" s="44" t="str">
        <f>VLOOKUP(F597,'Set up'!$A$2:$E$70,5,FALSE)</f>
        <v>Trsf</v>
      </c>
      <c r="S597" s="1" t="s">
        <v>668</v>
      </c>
    </row>
    <row r="598" spans="1:19" x14ac:dyDescent="0.35">
      <c r="A598" s="4">
        <v>44628</v>
      </c>
      <c r="B598" s="5">
        <f t="shared" si="95"/>
        <v>3</v>
      </c>
      <c r="C598" s="5">
        <f t="shared" si="96"/>
        <v>2022</v>
      </c>
      <c r="D598" s="5" t="s">
        <v>634</v>
      </c>
      <c r="E598" s="5" t="str">
        <f>VLOOKUP(F598,'Set up'!$A$2:$C$70,2,FALSE)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up'!$A$2:$C$70,3,FALSE)</f>
        <v>Cash</v>
      </c>
      <c r="J598" s="5">
        <f>VLOOKUP(F598,'Set up'!$A$2:$D$70,4,FALSE)</f>
        <v>0</v>
      </c>
      <c r="K598" s="4">
        <f t="shared" si="97"/>
        <v>44628</v>
      </c>
      <c r="L598" s="5">
        <f t="shared" si="98"/>
        <v>3</v>
      </c>
      <c r="M598" s="5">
        <f t="shared" si="99"/>
        <v>2022</v>
      </c>
      <c r="N598" s="6">
        <v>337.5</v>
      </c>
      <c r="O598" s="6">
        <f t="shared" si="101"/>
        <v>-337.5</v>
      </c>
      <c r="P598" s="6">
        <f t="shared" si="102"/>
        <v>0</v>
      </c>
      <c r="Q598" s="7">
        <f t="shared" si="100"/>
        <v>1043150.4500000001</v>
      </c>
      <c r="R598" s="44" t="str">
        <f>VLOOKUP(F598,'Set up'!$A$2:$E$70,5,FALSE)</f>
        <v>Trsf</v>
      </c>
      <c r="S598" s="1" t="s">
        <v>668</v>
      </c>
    </row>
    <row r="599" spans="1:19" x14ac:dyDescent="0.35">
      <c r="A599" s="4">
        <v>44628</v>
      </c>
      <c r="B599" s="5">
        <f t="shared" si="95"/>
        <v>3</v>
      </c>
      <c r="C599" s="5">
        <f t="shared" si="96"/>
        <v>2022</v>
      </c>
      <c r="D599" s="5" t="s">
        <v>634</v>
      </c>
      <c r="E599" s="5" t="str">
        <f>VLOOKUP(F599,'Set up'!$A$2:$C$70,2,FALSE)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up'!$A$2:$C$70,3,FALSE)</f>
        <v>Cash</v>
      </c>
      <c r="J599" s="5">
        <f>VLOOKUP(F599,'Set up'!$A$2:$D$70,4,FALSE)</f>
        <v>0</v>
      </c>
      <c r="K599" s="4">
        <f t="shared" si="97"/>
        <v>44628</v>
      </c>
      <c r="L599" s="5">
        <f t="shared" si="98"/>
        <v>3</v>
      </c>
      <c r="M599" s="5">
        <f t="shared" si="99"/>
        <v>2022</v>
      </c>
      <c r="N599" s="6">
        <v>110</v>
      </c>
      <c r="O599" s="6">
        <f t="shared" si="101"/>
        <v>-110</v>
      </c>
      <c r="P599" s="6">
        <f t="shared" si="102"/>
        <v>0</v>
      </c>
      <c r="Q599" s="7">
        <f t="shared" si="100"/>
        <v>1043260.4500000001</v>
      </c>
      <c r="R599" s="44" t="str">
        <f>VLOOKUP(F599,'Set up'!$A$2:$E$70,5,FALSE)</f>
        <v>Trsf</v>
      </c>
      <c r="S599" s="1" t="s">
        <v>668</v>
      </c>
    </row>
    <row r="600" spans="1:19" x14ac:dyDescent="0.35">
      <c r="A600" s="4">
        <v>44628</v>
      </c>
      <c r="B600" s="5">
        <f t="shared" si="95"/>
        <v>3</v>
      </c>
      <c r="C600" s="5">
        <f t="shared" si="96"/>
        <v>2022</v>
      </c>
      <c r="D600" s="5" t="s">
        <v>635</v>
      </c>
      <c r="E600" s="5" t="str">
        <f>VLOOKUP(F600,'Set up'!$A$2:$C$70,2,FALSE)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up'!$A$2:$C$70,3,FALSE)</f>
        <v>120</v>
      </c>
      <c r="J600" s="5">
        <f>VLOOKUP(F600,'Set up'!$A$2:$D$70,4,FALSE)</f>
        <v>120</v>
      </c>
      <c r="K600" s="4">
        <f t="shared" si="97"/>
        <v>44748</v>
      </c>
      <c r="L600" s="5">
        <f t="shared" si="98"/>
        <v>7</v>
      </c>
      <c r="M600" s="5">
        <f t="shared" si="99"/>
        <v>2022</v>
      </c>
      <c r="N600" s="6">
        <v>11880</v>
      </c>
      <c r="O600" s="6">
        <f t="shared" si="101"/>
        <v>-11880</v>
      </c>
      <c r="P600" s="6">
        <f t="shared" si="102"/>
        <v>0</v>
      </c>
      <c r="Q600" s="7">
        <f t="shared" si="100"/>
        <v>1055140.4500000002</v>
      </c>
      <c r="R600" s="44" t="str">
        <f>VLOOKUP(F600,'Set up'!$A$2:$E$70,5,FALSE)</f>
        <v>Trsf</v>
      </c>
      <c r="S600" s="1" t="s">
        <v>853</v>
      </c>
    </row>
    <row r="601" spans="1:19" x14ac:dyDescent="0.35">
      <c r="A601" s="4">
        <v>44628</v>
      </c>
      <c r="B601" s="5">
        <f t="shared" si="95"/>
        <v>3</v>
      </c>
      <c r="C601" s="5">
        <f t="shared" si="96"/>
        <v>2022</v>
      </c>
      <c r="D601" s="5" t="s">
        <v>635</v>
      </c>
      <c r="E601" s="5" t="str">
        <f>VLOOKUP(F601,'Set up'!$A$2:$C$70,2,FALSE)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up'!$A$2:$C$70,3,FALSE)</f>
        <v>120</v>
      </c>
      <c r="J601" s="5">
        <f>VLOOKUP(F601,'Set up'!$A$2:$D$70,4,FALSE)</f>
        <v>120</v>
      </c>
      <c r="K601" s="4">
        <f t="shared" si="97"/>
        <v>44748</v>
      </c>
      <c r="L601" s="5">
        <f t="shared" si="98"/>
        <v>7</v>
      </c>
      <c r="M601" s="5">
        <f t="shared" si="99"/>
        <v>2022</v>
      </c>
      <c r="N601" s="6">
        <v>2850</v>
      </c>
      <c r="O601" s="6">
        <f t="shared" si="101"/>
        <v>-2850</v>
      </c>
      <c r="P601" s="6">
        <f t="shared" si="102"/>
        <v>0</v>
      </c>
      <c r="Q601" s="7">
        <f t="shared" si="100"/>
        <v>1057990.4500000002</v>
      </c>
      <c r="R601" s="44" t="str">
        <f>VLOOKUP(F601,'Set up'!$A$2:$E$70,5,FALSE)</f>
        <v>Trsf</v>
      </c>
      <c r="S601" s="1" t="s">
        <v>853</v>
      </c>
    </row>
    <row r="602" spans="1:19" x14ac:dyDescent="0.35">
      <c r="A602" s="4">
        <v>44628</v>
      </c>
      <c r="B602" s="5">
        <f t="shared" si="95"/>
        <v>3</v>
      </c>
      <c r="C602" s="5">
        <f t="shared" si="96"/>
        <v>2022</v>
      </c>
      <c r="D602" s="5" t="s">
        <v>635</v>
      </c>
      <c r="E602" s="5" t="str">
        <f>VLOOKUP(F602,'Set up'!$A$2:$C$70,2,FALSE)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up'!$A$2:$C$70,3,FALSE)</f>
        <v>120</v>
      </c>
      <c r="J602" s="5">
        <f>VLOOKUP(F602,'Set up'!$A$2:$D$70,4,FALSE)</f>
        <v>120</v>
      </c>
      <c r="K602" s="4">
        <f t="shared" si="97"/>
        <v>44748</v>
      </c>
      <c r="L602" s="5">
        <f t="shared" si="98"/>
        <v>7</v>
      </c>
      <c r="M602" s="5">
        <f t="shared" si="99"/>
        <v>2022</v>
      </c>
      <c r="N602" s="6">
        <v>550</v>
      </c>
      <c r="O602" s="6">
        <f t="shared" si="101"/>
        <v>-550</v>
      </c>
      <c r="P602" s="6">
        <f t="shared" si="102"/>
        <v>0</v>
      </c>
      <c r="Q602" s="7">
        <f t="shared" si="100"/>
        <v>1058540.4500000002</v>
      </c>
      <c r="R602" s="44" t="str">
        <f>VLOOKUP(F602,'Set up'!$A$2:$E$70,5,FALSE)</f>
        <v>Trsf</v>
      </c>
      <c r="S602" s="1" t="s">
        <v>853</v>
      </c>
    </row>
    <row r="603" spans="1:19" x14ac:dyDescent="0.35">
      <c r="A603" s="4">
        <v>44629</v>
      </c>
      <c r="B603" s="5">
        <f t="shared" si="95"/>
        <v>3</v>
      </c>
      <c r="C603" s="5">
        <f t="shared" si="96"/>
        <v>2022</v>
      </c>
      <c r="D603" s="5" t="s">
        <v>642</v>
      </c>
      <c r="E603" s="5" t="str">
        <f>VLOOKUP(F603,'Set up'!$A$2:$C$70,2,FALSE)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up'!$A$2:$C$70,3,FALSE)</f>
        <v>Cash</v>
      </c>
      <c r="J603" s="5">
        <f>VLOOKUP(F603,'Set up'!$A$2:$D$70,4,FALSE)</f>
        <v>0</v>
      </c>
      <c r="K603" s="4">
        <f t="shared" si="97"/>
        <v>44629</v>
      </c>
      <c r="L603" s="5">
        <f t="shared" si="98"/>
        <v>3</v>
      </c>
      <c r="M603" s="5">
        <f t="shared" si="99"/>
        <v>2022</v>
      </c>
      <c r="N603" s="6">
        <v>65</v>
      </c>
      <c r="O603" s="6">
        <f t="shared" si="101"/>
        <v>-65</v>
      </c>
      <c r="P603" s="6">
        <f t="shared" si="102"/>
        <v>0</v>
      </c>
      <c r="Q603" s="7">
        <f t="shared" si="100"/>
        <v>1058605.4500000002</v>
      </c>
      <c r="R603" s="44" t="str">
        <f>VLOOKUP(F603,'Set up'!$A$2:$E$70,5,FALSE)</f>
        <v>Trsf</v>
      </c>
      <c r="S603" s="1" t="s">
        <v>668</v>
      </c>
    </row>
    <row r="604" spans="1:19" x14ac:dyDescent="0.35">
      <c r="A604" s="4">
        <v>44631</v>
      </c>
      <c r="B604" s="5">
        <f t="shared" si="95"/>
        <v>3</v>
      </c>
      <c r="C604" s="5">
        <f t="shared" si="96"/>
        <v>2022</v>
      </c>
      <c r="D604" s="5" t="s">
        <v>643</v>
      </c>
      <c r="E604" s="5" t="str">
        <f>VLOOKUP(F604,'Set up'!$A$2:$C$70,2,FALSE)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up'!$A$2:$C$70,3,FALSE)</f>
        <v>Cash</v>
      </c>
      <c r="J604" s="5">
        <f>VLOOKUP(F604,'Set up'!$A$2:$D$70,4,FALSE)</f>
        <v>0</v>
      </c>
      <c r="K604" s="4">
        <f t="shared" si="97"/>
        <v>44631</v>
      </c>
      <c r="L604" s="5">
        <f t="shared" si="98"/>
        <v>3</v>
      </c>
      <c r="M604" s="5">
        <f t="shared" si="99"/>
        <v>2022</v>
      </c>
      <c r="N604" s="6">
        <v>4136</v>
      </c>
      <c r="O604" s="6">
        <f t="shared" si="101"/>
        <v>-4136</v>
      </c>
      <c r="P604" s="6">
        <f t="shared" si="102"/>
        <v>0</v>
      </c>
      <c r="Q604" s="7">
        <f t="shared" si="100"/>
        <v>1062741.4500000002</v>
      </c>
      <c r="R604" s="44" t="str">
        <f>VLOOKUP(F604,'Set up'!$A$2:$E$70,5,FALSE)</f>
        <v>Trsf</v>
      </c>
      <c r="S604" s="1" t="s">
        <v>802</v>
      </c>
    </row>
    <row r="605" spans="1:19" x14ac:dyDescent="0.35">
      <c r="A605" s="4">
        <v>44631</v>
      </c>
      <c r="B605" s="5">
        <f t="shared" si="95"/>
        <v>3</v>
      </c>
      <c r="C605" s="5">
        <f t="shared" si="96"/>
        <v>2022</v>
      </c>
      <c r="D605" s="5" t="s">
        <v>643</v>
      </c>
      <c r="E605" s="5" t="str">
        <f>VLOOKUP(F605,'Set up'!$A$2:$C$70,2,FALSE)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up'!$A$2:$C$70,3,FALSE)</f>
        <v>Cash</v>
      </c>
      <c r="J605" s="5">
        <f>VLOOKUP(F605,'Set up'!$A$2:$D$70,4,FALSE)</f>
        <v>0</v>
      </c>
      <c r="K605" s="4">
        <f t="shared" si="97"/>
        <v>44631</v>
      </c>
      <c r="L605" s="5">
        <f t="shared" si="98"/>
        <v>3</v>
      </c>
      <c r="M605" s="5">
        <f t="shared" si="99"/>
        <v>2022</v>
      </c>
      <c r="N605" s="6">
        <v>1571.3999999999999</v>
      </c>
      <c r="O605" s="6">
        <f t="shared" si="101"/>
        <v>-1571.3999999999999</v>
      </c>
      <c r="P605" s="6">
        <f t="shared" si="102"/>
        <v>0</v>
      </c>
      <c r="Q605" s="7">
        <f t="shared" si="100"/>
        <v>1064312.8500000001</v>
      </c>
      <c r="R605" s="44" t="str">
        <f>VLOOKUP(F605,'Set up'!$A$2:$E$70,5,FALSE)</f>
        <v>Trsf</v>
      </c>
      <c r="S605" s="1" t="s">
        <v>802</v>
      </c>
    </row>
    <row r="606" spans="1:19" x14ac:dyDescent="0.35">
      <c r="A606" s="4">
        <v>44631</v>
      </c>
      <c r="B606" s="5">
        <f t="shared" si="95"/>
        <v>3</v>
      </c>
      <c r="C606" s="5">
        <f t="shared" si="96"/>
        <v>2022</v>
      </c>
      <c r="D606" s="5" t="s">
        <v>643</v>
      </c>
      <c r="E606" s="5" t="str">
        <f>VLOOKUP(F606,'Set up'!$A$2:$C$70,2,FALSE)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up'!$A$2:$C$70,3,FALSE)</f>
        <v>Cash</v>
      </c>
      <c r="J606" s="5">
        <f>VLOOKUP(F606,'Set up'!$A$2:$D$70,4,FALSE)</f>
        <v>0</v>
      </c>
      <c r="K606" s="4">
        <f t="shared" si="97"/>
        <v>44631</v>
      </c>
      <c r="L606" s="5">
        <f t="shared" si="98"/>
        <v>3</v>
      </c>
      <c r="M606" s="5">
        <f t="shared" si="99"/>
        <v>2022</v>
      </c>
      <c r="N606" s="6">
        <v>312.5</v>
      </c>
      <c r="O606" s="6">
        <f t="shared" si="101"/>
        <v>-312.5</v>
      </c>
      <c r="P606" s="6">
        <f t="shared" si="102"/>
        <v>0</v>
      </c>
      <c r="Q606" s="7">
        <f t="shared" si="100"/>
        <v>1064625.3500000001</v>
      </c>
      <c r="R606" s="44" t="str">
        <f>VLOOKUP(F606,'Set up'!$A$2:$E$70,5,FALSE)</f>
        <v>Trsf</v>
      </c>
      <c r="S606" s="1" t="s">
        <v>802</v>
      </c>
    </row>
    <row r="607" spans="1:19" x14ac:dyDescent="0.35">
      <c r="A607" s="4">
        <v>44631</v>
      </c>
      <c r="B607" s="5">
        <f t="shared" si="95"/>
        <v>3</v>
      </c>
      <c r="C607" s="5">
        <f t="shared" si="96"/>
        <v>2022</v>
      </c>
      <c r="D607" s="5" t="s">
        <v>643</v>
      </c>
      <c r="E607" s="5" t="str">
        <f>VLOOKUP(F607,'Set up'!$A$2:$C$70,2,FALSE)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up'!$A$2:$C$70,3,FALSE)</f>
        <v>Cash</v>
      </c>
      <c r="J607" s="5">
        <f>VLOOKUP(F607,'Set up'!$A$2:$D$70,4,FALSE)</f>
        <v>0</v>
      </c>
      <c r="K607" s="4">
        <f t="shared" si="97"/>
        <v>44631</v>
      </c>
      <c r="L607" s="5">
        <f t="shared" si="98"/>
        <v>3</v>
      </c>
      <c r="M607" s="5">
        <f t="shared" si="99"/>
        <v>2022</v>
      </c>
      <c r="N607" s="6">
        <v>360</v>
      </c>
      <c r="O607" s="6">
        <f t="shared" si="101"/>
        <v>-360</v>
      </c>
      <c r="P607" s="6">
        <f t="shared" si="102"/>
        <v>0</v>
      </c>
      <c r="Q607" s="7">
        <f t="shared" si="100"/>
        <v>1064985.3500000001</v>
      </c>
      <c r="R607" s="44" t="str">
        <f>VLOOKUP(F607,'Set up'!$A$2:$E$70,5,FALSE)</f>
        <v>Trsf</v>
      </c>
      <c r="S607" s="1" t="s">
        <v>802</v>
      </c>
    </row>
    <row r="608" spans="1:19" x14ac:dyDescent="0.35">
      <c r="A608" s="4">
        <v>44632</v>
      </c>
      <c r="B608" s="5">
        <f t="shared" si="95"/>
        <v>3</v>
      </c>
      <c r="C608" s="5">
        <f t="shared" si="96"/>
        <v>2022</v>
      </c>
      <c r="D608" s="5" t="s">
        <v>644</v>
      </c>
      <c r="E608" s="5" t="str">
        <f>VLOOKUP(F608,'Set up'!$A$2:$C$70,2,FALSE)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up'!$A$2:$C$70,3,FALSE)</f>
        <v>Cash</v>
      </c>
      <c r="J608" s="5">
        <f>VLOOKUP(F608,'Set up'!$A$2:$D$70,4,FALSE)</f>
        <v>0</v>
      </c>
      <c r="K608" s="4">
        <f t="shared" si="97"/>
        <v>44632</v>
      </c>
      <c r="L608" s="5">
        <f t="shared" si="98"/>
        <v>3</v>
      </c>
      <c r="M608" s="5">
        <f t="shared" si="99"/>
        <v>2022</v>
      </c>
      <c r="N608" s="6">
        <v>390</v>
      </c>
      <c r="O608" s="6">
        <f t="shared" si="101"/>
        <v>-390</v>
      </c>
      <c r="P608" s="6">
        <f t="shared" si="102"/>
        <v>0</v>
      </c>
      <c r="Q608" s="7">
        <f t="shared" si="100"/>
        <v>1065375.3500000001</v>
      </c>
      <c r="R608" s="44" t="str">
        <f>VLOOKUP(F608,'Set up'!$A$2:$E$70,5,FALSE)</f>
        <v>Trsf</v>
      </c>
      <c r="S608" s="1" t="s">
        <v>668</v>
      </c>
    </row>
    <row r="609" spans="1:19" x14ac:dyDescent="0.35">
      <c r="A609" s="4">
        <v>44632</v>
      </c>
      <c r="B609" s="5">
        <f t="shared" si="95"/>
        <v>3</v>
      </c>
      <c r="C609" s="5">
        <f t="shared" si="96"/>
        <v>2022</v>
      </c>
      <c r="D609" s="5" t="s">
        <v>645</v>
      </c>
      <c r="E609" s="5" t="str">
        <f>VLOOKUP(F609,'Set up'!$A$2:$C$70,2,FALSE)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up'!$A$2:$C$70,3,FALSE)</f>
        <v>Cash</v>
      </c>
      <c r="J609" s="5">
        <f>VLOOKUP(F609,'Set up'!$A$2:$D$70,4,FALSE)</f>
        <v>0</v>
      </c>
      <c r="K609" s="4">
        <f t="shared" si="97"/>
        <v>44632</v>
      </c>
      <c r="L609" s="5">
        <f t="shared" si="98"/>
        <v>3</v>
      </c>
      <c r="M609" s="5">
        <f t="shared" si="99"/>
        <v>2022</v>
      </c>
      <c r="N609" s="6">
        <v>2068</v>
      </c>
      <c r="O609" s="6">
        <f>SUM(-N609)</f>
        <v>-2068</v>
      </c>
      <c r="P609" s="6">
        <f t="shared" si="102"/>
        <v>0</v>
      </c>
      <c r="Q609" s="7">
        <f t="shared" si="100"/>
        <v>1067443.3500000001</v>
      </c>
      <c r="R609" s="44" t="str">
        <f>VLOOKUP(F609,'Set up'!$A$2:$E$70,5,FALSE)</f>
        <v>Chq</v>
      </c>
      <c r="S609" s="1" t="s">
        <v>746</v>
      </c>
    </row>
    <row r="610" spans="1:19" x14ac:dyDescent="0.35">
      <c r="A610" s="4">
        <v>44634</v>
      </c>
      <c r="B610" s="5">
        <f t="shared" si="95"/>
        <v>3</v>
      </c>
      <c r="C610" s="5">
        <f t="shared" si="96"/>
        <v>2022</v>
      </c>
      <c r="D610" s="5" t="s">
        <v>646</v>
      </c>
      <c r="E610" s="5" t="str">
        <f>VLOOKUP(F610,'Set up'!$A$2:$C$70,2,FALSE)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up'!$A$2:$C$70,3,FALSE)</f>
        <v>Cash</v>
      </c>
      <c r="J610" s="5">
        <f>VLOOKUP(F610,'Set up'!$A$2:$D$70,4,FALSE)</f>
        <v>0</v>
      </c>
      <c r="K610" s="4">
        <f t="shared" si="97"/>
        <v>44634</v>
      </c>
      <c r="L610" s="5">
        <f t="shared" si="98"/>
        <v>3</v>
      </c>
      <c r="M610" s="5">
        <f t="shared" si="99"/>
        <v>2022</v>
      </c>
      <c r="N610" s="6">
        <v>2090</v>
      </c>
      <c r="O610" s="6">
        <f>-510.3-1579.7</f>
        <v>-2090</v>
      </c>
      <c r="P610" s="6">
        <f t="shared" si="102"/>
        <v>0</v>
      </c>
      <c r="Q610" s="7">
        <f t="shared" si="100"/>
        <v>1069533.3500000001</v>
      </c>
      <c r="R610" s="44" t="str">
        <f>VLOOKUP(F610,'Set up'!$A$2:$E$70,5,FALSE)</f>
        <v>Trsf</v>
      </c>
      <c r="S610" s="1" t="s">
        <v>823</v>
      </c>
    </row>
    <row r="611" spans="1:19" x14ac:dyDescent="0.35">
      <c r="A611" s="4">
        <v>44634</v>
      </c>
      <c r="B611" s="5">
        <f t="shared" si="95"/>
        <v>3</v>
      </c>
      <c r="C611" s="5">
        <f t="shared" si="96"/>
        <v>2022</v>
      </c>
      <c r="D611" s="5" t="s">
        <v>646</v>
      </c>
      <c r="E611" s="5" t="str">
        <f>VLOOKUP(F611,'Set up'!$A$2:$C$70,2,FALSE)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up'!$A$2:$C$70,3,FALSE)</f>
        <v>Cash</v>
      </c>
      <c r="J611" s="5">
        <f>VLOOKUP(F611,'Set up'!$A$2:$D$70,4,FALSE)</f>
        <v>0</v>
      </c>
      <c r="K611" s="4">
        <f t="shared" si="97"/>
        <v>44634</v>
      </c>
      <c r="L611" s="5">
        <f t="shared" si="98"/>
        <v>3</v>
      </c>
      <c r="M611" s="5">
        <f t="shared" si="99"/>
        <v>2022</v>
      </c>
      <c r="N611" s="6">
        <v>588</v>
      </c>
      <c r="O611" s="6">
        <f t="shared" ref="O611:O616" si="103">-N611</f>
        <v>-588</v>
      </c>
      <c r="P611" s="6">
        <f t="shared" si="102"/>
        <v>0</v>
      </c>
      <c r="Q611" s="7">
        <f t="shared" si="100"/>
        <v>1070121.3500000001</v>
      </c>
      <c r="R611" s="44" t="str">
        <f>VLOOKUP(F611,'Set up'!$A$2:$E$70,5,FALSE)</f>
        <v>Trsf</v>
      </c>
      <c r="S611" s="1" t="s">
        <v>822</v>
      </c>
    </row>
    <row r="612" spans="1:19" x14ac:dyDescent="0.35">
      <c r="A612" s="4">
        <v>44634</v>
      </c>
      <c r="B612" s="5">
        <f t="shared" si="95"/>
        <v>3</v>
      </c>
      <c r="C612" s="5">
        <f t="shared" si="96"/>
        <v>2022</v>
      </c>
      <c r="D612" s="5" t="s">
        <v>646</v>
      </c>
      <c r="E612" s="5" t="str">
        <f>VLOOKUP(F612,'Set up'!$A$2:$C$70,2,FALSE)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up'!$A$2:$C$70,3,FALSE)</f>
        <v>Cash</v>
      </c>
      <c r="J612" s="5">
        <f>VLOOKUP(F612,'Set up'!$A$2:$D$70,4,FALSE)</f>
        <v>0</v>
      </c>
      <c r="K612" s="4">
        <f t="shared" si="97"/>
        <v>44634</v>
      </c>
      <c r="L612" s="5">
        <f t="shared" si="98"/>
        <v>3</v>
      </c>
      <c r="M612" s="5">
        <f t="shared" si="99"/>
        <v>2022</v>
      </c>
      <c r="N612" s="6">
        <v>351</v>
      </c>
      <c r="O612" s="6">
        <f t="shared" si="103"/>
        <v>-351</v>
      </c>
      <c r="P612" s="6">
        <f t="shared" si="102"/>
        <v>0</v>
      </c>
      <c r="Q612" s="7">
        <f t="shared" si="100"/>
        <v>1070472.3500000001</v>
      </c>
      <c r="R612" s="44" t="str">
        <f>VLOOKUP(F612,'Set up'!$A$2:$E$70,5,FALSE)</f>
        <v>Trsf</v>
      </c>
      <c r="S612" s="1" t="s">
        <v>822</v>
      </c>
    </row>
    <row r="613" spans="1:19" x14ac:dyDescent="0.35">
      <c r="A613" s="4">
        <v>44635</v>
      </c>
      <c r="B613" s="5">
        <f t="shared" si="95"/>
        <v>3</v>
      </c>
      <c r="C613" s="5">
        <f t="shared" si="96"/>
        <v>2022</v>
      </c>
      <c r="D613" s="5" t="s">
        <v>647</v>
      </c>
      <c r="E613" s="5" t="str">
        <f>VLOOKUP(F613,'Set up'!$A$2:$C$70,2,FALSE)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up'!$A$2:$C$70,3,FALSE)</f>
        <v>120</v>
      </c>
      <c r="J613" s="5">
        <f>VLOOKUP(F613,'Set up'!$A$2:$D$70,4,FALSE)</f>
        <v>120</v>
      </c>
      <c r="K613" s="4">
        <f t="shared" si="97"/>
        <v>44755</v>
      </c>
      <c r="L613" s="5">
        <f t="shared" si="98"/>
        <v>7</v>
      </c>
      <c r="M613" s="5">
        <f t="shared" si="99"/>
        <v>2022</v>
      </c>
      <c r="N613" s="6">
        <v>11880</v>
      </c>
      <c r="O613" s="6">
        <f t="shared" si="103"/>
        <v>-11880</v>
      </c>
      <c r="P613" s="6">
        <f t="shared" si="102"/>
        <v>0</v>
      </c>
      <c r="Q613" s="7">
        <f t="shared" si="100"/>
        <v>1082352.3500000001</v>
      </c>
      <c r="R613" s="44" t="str">
        <f>VLOOKUP(F613,'Set up'!$A$2:$E$70,5,FALSE)</f>
        <v>Trsf</v>
      </c>
      <c r="S613" s="1" t="s">
        <v>853</v>
      </c>
    </row>
    <row r="614" spans="1:19" x14ac:dyDescent="0.35">
      <c r="A614" s="4">
        <v>44635</v>
      </c>
      <c r="B614" s="5">
        <f t="shared" si="95"/>
        <v>3</v>
      </c>
      <c r="C614" s="5">
        <f t="shared" si="96"/>
        <v>2022</v>
      </c>
      <c r="D614" s="5" t="s">
        <v>647</v>
      </c>
      <c r="E614" s="5" t="str">
        <f>VLOOKUP(F614,'Set up'!$A$2:$C$70,2,FALSE)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up'!$A$2:$C$70,3,FALSE)</f>
        <v>120</v>
      </c>
      <c r="J614" s="5">
        <f>VLOOKUP(F614,'Set up'!$A$2:$D$70,4,FALSE)</f>
        <v>120</v>
      </c>
      <c r="K614" s="4">
        <f t="shared" si="97"/>
        <v>44755</v>
      </c>
      <c r="L614" s="5">
        <f t="shared" si="98"/>
        <v>7</v>
      </c>
      <c r="M614" s="5">
        <f t="shared" si="99"/>
        <v>2022</v>
      </c>
      <c r="N614" s="6">
        <v>1425</v>
      </c>
      <c r="O614" s="6">
        <f t="shared" si="103"/>
        <v>-1425</v>
      </c>
      <c r="P614" s="6">
        <f t="shared" si="102"/>
        <v>0</v>
      </c>
      <c r="Q614" s="7">
        <f t="shared" si="100"/>
        <v>1083777.3500000001</v>
      </c>
      <c r="R614" s="44" t="str">
        <f>VLOOKUP(F614,'Set up'!$A$2:$E$70,5,FALSE)</f>
        <v>Trsf</v>
      </c>
      <c r="S614" s="1" t="s">
        <v>853</v>
      </c>
    </row>
    <row r="615" spans="1:19" x14ac:dyDescent="0.35">
      <c r="A615" s="4">
        <v>44635</v>
      </c>
      <c r="B615" s="5">
        <f t="shared" si="95"/>
        <v>3</v>
      </c>
      <c r="C615" s="5">
        <f t="shared" si="96"/>
        <v>2022</v>
      </c>
      <c r="D615" s="5" t="s">
        <v>647</v>
      </c>
      <c r="E615" s="5" t="str">
        <f>VLOOKUP(F615,'Set up'!$A$2:$C$70,2,FALSE)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up'!$A$2:$C$70,3,FALSE)</f>
        <v>120</v>
      </c>
      <c r="J615" s="5">
        <f>VLOOKUP(F615,'Set up'!$A$2:$D$70,4,FALSE)</f>
        <v>120</v>
      </c>
      <c r="K615" s="4">
        <f t="shared" si="97"/>
        <v>44755</v>
      </c>
      <c r="L615" s="5">
        <f t="shared" si="98"/>
        <v>7</v>
      </c>
      <c r="M615" s="5">
        <f t="shared" si="99"/>
        <v>2022</v>
      </c>
      <c r="N615" s="6">
        <v>880</v>
      </c>
      <c r="O615" s="6">
        <f t="shared" si="103"/>
        <v>-880</v>
      </c>
      <c r="P615" s="6">
        <f t="shared" si="102"/>
        <v>0</v>
      </c>
      <c r="Q615" s="7">
        <f t="shared" si="100"/>
        <v>1084657.3500000001</v>
      </c>
      <c r="R615" s="44" t="str">
        <f>VLOOKUP(F615,'Set up'!$A$2:$E$70,5,FALSE)</f>
        <v>Trsf</v>
      </c>
      <c r="S615" s="1" t="s">
        <v>853</v>
      </c>
    </row>
    <row r="616" spans="1:19" x14ac:dyDescent="0.35">
      <c r="A616" s="4">
        <v>44635</v>
      </c>
      <c r="B616" s="5">
        <f t="shared" si="95"/>
        <v>3</v>
      </c>
      <c r="C616" s="5">
        <f t="shared" si="96"/>
        <v>2022</v>
      </c>
      <c r="D616" s="5" t="s">
        <v>648</v>
      </c>
      <c r="E616" s="5" t="str">
        <f>VLOOKUP(F616,'Set up'!$A$2:$C$70,2,FALSE)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up'!$A$2:$C$70,3,FALSE)</f>
        <v>Cash</v>
      </c>
      <c r="J616" s="5">
        <f>VLOOKUP(F616,'Set up'!$A$2:$D$70,4,FALSE)</f>
        <v>0</v>
      </c>
      <c r="K616" s="4">
        <f t="shared" si="97"/>
        <v>44635</v>
      </c>
      <c r="L616" s="5">
        <f t="shared" si="98"/>
        <v>3</v>
      </c>
      <c r="M616" s="5">
        <f t="shared" si="99"/>
        <v>2022</v>
      </c>
      <c r="N616" s="6">
        <v>6270</v>
      </c>
      <c r="O616" s="6">
        <f t="shared" si="103"/>
        <v>-6270</v>
      </c>
      <c r="P616" s="6">
        <f t="shared" si="102"/>
        <v>0</v>
      </c>
      <c r="Q616" s="7">
        <f t="shared" si="100"/>
        <v>1090927.3500000001</v>
      </c>
      <c r="R616" s="44" t="str">
        <f>VLOOKUP(F616,'Set up'!$A$2:$E$70,5,FALSE)</f>
        <v>Trsf</v>
      </c>
      <c r="S616" s="1" t="s">
        <v>822</v>
      </c>
    </row>
    <row r="617" spans="1:19" x14ac:dyDescent="0.35">
      <c r="A617" s="4">
        <v>44635</v>
      </c>
      <c r="B617" s="5">
        <f t="shared" si="95"/>
        <v>3</v>
      </c>
      <c r="C617" s="5">
        <f t="shared" si="96"/>
        <v>2022</v>
      </c>
      <c r="D617" s="5" t="s">
        <v>648</v>
      </c>
      <c r="E617" s="5" t="str">
        <f>VLOOKUP(F617,'Set up'!$A$2:$C$70,2,FALSE)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up'!$A$2:$C$70,3,FALSE)</f>
        <v>Cash</v>
      </c>
      <c r="J617" s="5">
        <f>VLOOKUP(F617,'Set up'!$A$2:$D$70,4,FALSE)</f>
        <v>0</v>
      </c>
      <c r="K617" s="4">
        <f t="shared" si="97"/>
        <v>44635</v>
      </c>
      <c r="L617" s="5">
        <f t="shared" si="98"/>
        <v>3</v>
      </c>
      <c r="M617" s="5">
        <f t="shared" si="99"/>
        <v>2022</v>
      </c>
      <c r="N617" s="6">
        <v>3528</v>
      </c>
      <c r="O617" s="6">
        <f>-1211.3-2316.7</f>
        <v>-3528</v>
      </c>
      <c r="P617" s="6">
        <f t="shared" si="102"/>
        <v>0</v>
      </c>
      <c r="Q617" s="7">
        <f t="shared" si="100"/>
        <v>1094455.3500000001</v>
      </c>
      <c r="R617" s="44" t="str">
        <f>VLOOKUP(F617,'Set up'!$A$2:$E$70,5,FALSE)</f>
        <v>Trsf</v>
      </c>
      <c r="S617" s="1" t="s">
        <v>825</v>
      </c>
    </row>
    <row r="618" spans="1:19" x14ac:dyDescent="0.35">
      <c r="A618" s="4">
        <v>44635</v>
      </c>
      <c r="B618" s="5">
        <f t="shared" si="95"/>
        <v>3</v>
      </c>
      <c r="C618" s="5">
        <f t="shared" si="96"/>
        <v>2022</v>
      </c>
      <c r="D618" s="5" t="s">
        <v>648</v>
      </c>
      <c r="E618" s="5" t="str">
        <f>VLOOKUP(F618,'Set up'!$A$2:$C$70,2,FALSE)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up'!$A$2:$C$70,3,FALSE)</f>
        <v>Cash</v>
      </c>
      <c r="J618" s="5">
        <f>VLOOKUP(F618,'Set up'!$A$2:$D$70,4,FALSE)</f>
        <v>0</v>
      </c>
      <c r="K618" s="4">
        <f t="shared" si="97"/>
        <v>44635</v>
      </c>
      <c r="L618" s="5">
        <f t="shared" si="98"/>
        <v>3</v>
      </c>
      <c r="M618" s="5">
        <f t="shared" si="99"/>
        <v>2022</v>
      </c>
      <c r="N618" s="6">
        <v>351</v>
      </c>
      <c r="O618" s="6">
        <f>-N618</f>
        <v>-351</v>
      </c>
      <c r="P618" s="6">
        <f t="shared" si="102"/>
        <v>0</v>
      </c>
      <c r="Q618" s="7">
        <f t="shared" si="100"/>
        <v>1094806.3500000001</v>
      </c>
      <c r="R618" s="44" t="str">
        <f>VLOOKUP(F618,'Set up'!$A$2:$E$70,5,FALSE)</f>
        <v>Trsf</v>
      </c>
      <c r="S618" s="1" t="s">
        <v>824</v>
      </c>
    </row>
    <row r="619" spans="1:19" x14ac:dyDescent="0.35">
      <c r="A619" s="4">
        <v>44635</v>
      </c>
      <c r="B619" s="5">
        <f t="shared" si="95"/>
        <v>3</v>
      </c>
      <c r="C619" s="5">
        <f t="shared" si="96"/>
        <v>2022</v>
      </c>
      <c r="D619" s="5" t="s">
        <v>648</v>
      </c>
      <c r="E619" s="5" t="str">
        <f>VLOOKUP(F619,'Set up'!$A$2:$C$70,2,FALSE)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up'!$A$2:$C$70,3,FALSE)</f>
        <v>Cash</v>
      </c>
      <c r="J619" s="5">
        <f>VLOOKUP(F619,'Set up'!$A$2:$D$70,4,FALSE)</f>
        <v>0</v>
      </c>
      <c r="K619" s="4">
        <f t="shared" si="97"/>
        <v>44635</v>
      </c>
      <c r="L619" s="5">
        <f t="shared" si="98"/>
        <v>3</v>
      </c>
      <c r="M619" s="5">
        <f t="shared" si="99"/>
        <v>2022</v>
      </c>
      <c r="N619" s="6">
        <v>936</v>
      </c>
      <c r="O619" s="6">
        <f>-N619</f>
        <v>-936</v>
      </c>
      <c r="P619" s="6">
        <f t="shared" si="102"/>
        <v>0</v>
      </c>
      <c r="Q619" s="7">
        <f t="shared" si="100"/>
        <v>1095742.3500000001</v>
      </c>
      <c r="R619" s="44" t="str">
        <f>VLOOKUP(F619,'Set up'!$A$2:$E$70,5,FALSE)</f>
        <v>Trsf</v>
      </c>
      <c r="S619" s="1" t="s">
        <v>824</v>
      </c>
    </row>
    <row r="620" spans="1:19" x14ac:dyDescent="0.35">
      <c r="A620" s="4">
        <v>44635</v>
      </c>
      <c r="B620" s="5">
        <f t="shared" si="95"/>
        <v>3</v>
      </c>
      <c r="C620" s="5">
        <f t="shared" si="96"/>
        <v>2022</v>
      </c>
      <c r="D620" s="5" t="s">
        <v>648</v>
      </c>
      <c r="E620" s="5" t="str">
        <f>VLOOKUP(F620,'Set up'!$A$2:$C$70,2,FALSE)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up'!$A$2:$C$70,3,FALSE)</f>
        <v>Cash</v>
      </c>
      <c r="J620" s="5">
        <f>VLOOKUP(F620,'Set up'!$A$2:$D$70,4,FALSE)</f>
        <v>0</v>
      </c>
      <c r="K620" s="4">
        <f t="shared" si="97"/>
        <v>44635</v>
      </c>
      <c r="L620" s="5">
        <f t="shared" si="98"/>
        <v>3</v>
      </c>
      <c r="M620" s="5">
        <f t="shared" si="99"/>
        <v>2022</v>
      </c>
      <c r="N620" s="6">
        <v>340</v>
      </c>
      <c r="O620" s="6">
        <f>-N620</f>
        <v>-340</v>
      </c>
      <c r="P620" s="6">
        <f t="shared" si="102"/>
        <v>0</v>
      </c>
      <c r="Q620" s="7">
        <f t="shared" si="100"/>
        <v>1096082.3500000001</v>
      </c>
      <c r="R620" s="44" t="str">
        <f>VLOOKUP(F620,'Set up'!$A$2:$E$70,5,FALSE)</f>
        <v>Trsf</v>
      </c>
      <c r="S620" s="1" t="s">
        <v>824</v>
      </c>
    </row>
    <row r="621" spans="1:19" x14ac:dyDescent="0.35">
      <c r="A621" s="4">
        <v>44637</v>
      </c>
      <c r="B621" s="5">
        <f t="shared" si="95"/>
        <v>3</v>
      </c>
      <c r="C621" s="5">
        <f t="shared" si="96"/>
        <v>2022</v>
      </c>
      <c r="D621" s="5" t="s">
        <v>649</v>
      </c>
      <c r="E621" s="5" t="str">
        <f>VLOOKUP(F621,'Set up'!$A$2:$C$70,2,FALSE)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up'!$A$2:$C$70,3,FALSE)</f>
        <v>Cash</v>
      </c>
      <c r="J621" s="5">
        <f>VLOOKUP(F621,'Set up'!$A$2:$D$70,4,FALSE)</f>
        <v>0</v>
      </c>
      <c r="K621" s="4">
        <f t="shared" si="97"/>
        <v>44637</v>
      </c>
      <c r="L621" s="5">
        <f t="shared" si="98"/>
        <v>3</v>
      </c>
      <c r="M621" s="5">
        <f t="shared" si="99"/>
        <v>2022</v>
      </c>
      <c r="N621" s="6">
        <v>315</v>
      </c>
      <c r="O621" s="6">
        <f>-N621</f>
        <v>-315</v>
      </c>
      <c r="P621" s="6">
        <f t="shared" si="102"/>
        <v>0</v>
      </c>
      <c r="Q621" s="7">
        <f t="shared" si="100"/>
        <v>1096397.3500000001</v>
      </c>
      <c r="R621" s="44" t="str">
        <f>VLOOKUP(F621,'Set up'!$A$2:$E$70,5,FALSE)</f>
        <v>Trsf</v>
      </c>
      <c r="S621" s="1" t="s">
        <v>803</v>
      </c>
    </row>
    <row r="622" spans="1:19" x14ac:dyDescent="0.35">
      <c r="A622" s="4">
        <v>44638</v>
      </c>
      <c r="B622" s="5">
        <f t="shared" si="95"/>
        <v>3</v>
      </c>
      <c r="C622" s="5">
        <f t="shared" si="96"/>
        <v>2022</v>
      </c>
      <c r="D622" s="5" t="s">
        <v>650</v>
      </c>
      <c r="E622" s="5" t="str">
        <f>VLOOKUP(F622,'Set up'!$A$2:$C$70,2,FALSE)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up'!$A$2:$C$70,3,FALSE)</f>
        <v>Cash</v>
      </c>
      <c r="J622" s="5">
        <f>VLOOKUP(F622,'Set up'!$A$2:$D$70,4,FALSE)</f>
        <v>0</v>
      </c>
      <c r="K622" s="4">
        <f t="shared" si="97"/>
        <v>44638</v>
      </c>
      <c r="L622" s="5">
        <f t="shared" si="98"/>
        <v>3</v>
      </c>
      <c r="M622" s="5">
        <f t="shared" si="99"/>
        <v>2022</v>
      </c>
      <c r="N622" s="6">
        <v>6270</v>
      </c>
      <c r="O622" s="6">
        <f>-5056.3-1213.7</f>
        <v>-6270</v>
      </c>
      <c r="P622" s="6">
        <f t="shared" si="102"/>
        <v>0</v>
      </c>
      <c r="Q622" s="7">
        <f t="shared" si="100"/>
        <v>1102667.3500000001</v>
      </c>
      <c r="R622" s="44" t="str">
        <f>VLOOKUP(F622,'Set up'!$A$2:$E$70,5,FALSE)</f>
        <v>Trsf</v>
      </c>
      <c r="S622" s="1" t="s">
        <v>839</v>
      </c>
    </row>
    <row r="623" spans="1:19" x14ac:dyDescent="0.35">
      <c r="A623" s="4">
        <v>44638</v>
      </c>
      <c r="B623" s="5">
        <f t="shared" si="95"/>
        <v>3</v>
      </c>
      <c r="C623" s="5">
        <f t="shared" si="96"/>
        <v>2022</v>
      </c>
      <c r="D623" s="5" t="s">
        <v>650</v>
      </c>
      <c r="E623" s="5" t="str">
        <f>VLOOKUP(F623,'Set up'!$A$2:$C$70,2,FALSE)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up'!$A$2:$C$70,3,FALSE)</f>
        <v>Cash</v>
      </c>
      <c r="J623" s="5">
        <f>VLOOKUP(F623,'Set up'!$A$2:$D$70,4,FALSE)</f>
        <v>0</v>
      </c>
      <c r="K623" s="4">
        <f t="shared" si="97"/>
        <v>44638</v>
      </c>
      <c r="L623" s="5">
        <f t="shared" si="98"/>
        <v>3</v>
      </c>
      <c r="M623" s="5">
        <f t="shared" si="99"/>
        <v>2022</v>
      </c>
      <c r="N623" s="6">
        <v>2058</v>
      </c>
      <c r="O623" s="6">
        <f t="shared" ref="O623:O631" si="104">-N623</f>
        <v>-2058</v>
      </c>
      <c r="P623" s="6">
        <f t="shared" si="102"/>
        <v>0</v>
      </c>
      <c r="Q623" s="7">
        <f t="shared" si="100"/>
        <v>1104725.3500000001</v>
      </c>
      <c r="R623" s="44" t="str">
        <f>VLOOKUP(F623,'Set up'!$A$2:$E$70,5,FALSE)</f>
        <v>Trsf</v>
      </c>
      <c r="S623" s="1" t="s">
        <v>838</v>
      </c>
    </row>
    <row r="624" spans="1:19" x14ac:dyDescent="0.35">
      <c r="A624" s="4">
        <v>44638</v>
      </c>
      <c r="B624" s="5">
        <f t="shared" si="95"/>
        <v>3</v>
      </c>
      <c r="C624" s="5">
        <f t="shared" si="96"/>
        <v>2022</v>
      </c>
      <c r="D624" s="5" t="s">
        <v>650</v>
      </c>
      <c r="E624" s="5" t="str">
        <f>VLOOKUP(F624,'Set up'!$A$2:$C$70,2,FALSE)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up'!$A$2:$C$70,3,FALSE)</f>
        <v>Cash</v>
      </c>
      <c r="J624" s="5">
        <f>VLOOKUP(F624,'Set up'!$A$2:$D$70,4,FALSE)</f>
        <v>0</v>
      </c>
      <c r="K624" s="4">
        <f t="shared" si="97"/>
        <v>44638</v>
      </c>
      <c r="L624" s="5">
        <f t="shared" si="98"/>
        <v>3</v>
      </c>
      <c r="M624" s="5">
        <f t="shared" si="99"/>
        <v>2022</v>
      </c>
      <c r="N624" s="6">
        <v>1560</v>
      </c>
      <c r="O624" s="6">
        <f t="shared" si="104"/>
        <v>-1560</v>
      </c>
      <c r="P624" s="6">
        <f t="shared" si="102"/>
        <v>0</v>
      </c>
      <c r="Q624" s="7">
        <f t="shared" si="100"/>
        <v>1106285.3500000001</v>
      </c>
      <c r="R624" s="44" t="str">
        <f>VLOOKUP(F624,'Set up'!$A$2:$E$70,5,FALSE)</f>
        <v>Trsf</v>
      </c>
      <c r="S624" s="1" t="s">
        <v>838</v>
      </c>
    </row>
    <row r="625" spans="1:19" x14ac:dyDescent="0.35">
      <c r="A625" s="4">
        <v>44639</v>
      </c>
      <c r="B625" s="5">
        <f t="shared" si="95"/>
        <v>3</v>
      </c>
      <c r="C625" s="5">
        <f t="shared" si="96"/>
        <v>2022</v>
      </c>
      <c r="D625" s="5" t="s">
        <v>651</v>
      </c>
      <c r="E625" s="5" t="str">
        <f>VLOOKUP(F625,'Set up'!$A$2:$C$70,2,FALSE)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up'!$A$2:$C$70,3,FALSE)</f>
        <v>Cash</v>
      </c>
      <c r="J625" s="5">
        <f>VLOOKUP(F625,'Set up'!$A$2:$D$70,4,FALSE)</f>
        <v>0</v>
      </c>
      <c r="K625" s="4">
        <f t="shared" si="97"/>
        <v>44639</v>
      </c>
      <c r="L625" s="5">
        <f t="shared" si="98"/>
        <v>3</v>
      </c>
      <c r="M625" s="5">
        <f t="shared" si="99"/>
        <v>2022</v>
      </c>
      <c r="N625" s="6">
        <v>4048</v>
      </c>
      <c r="O625" s="6">
        <f t="shared" si="104"/>
        <v>-4048</v>
      </c>
      <c r="P625" s="6">
        <f t="shared" si="102"/>
        <v>0</v>
      </c>
      <c r="Q625" s="7">
        <f t="shared" si="100"/>
        <v>1110333.3500000001</v>
      </c>
      <c r="R625" s="44" t="str">
        <f>VLOOKUP(F625,'Set up'!$A$2:$E$70,5,FALSE)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95"/>
        <v>3</v>
      </c>
      <c r="C626" s="5">
        <f t="shared" si="96"/>
        <v>2022</v>
      </c>
      <c r="D626" s="5" t="s">
        <v>651</v>
      </c>
      <c r="E626" s="5" t="str">
        <f>VLOOKUP(F626,'Set up'!$A$2:$C$70,2,FALSE)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up'!$A$2:$C$70,3,FALSE)</f>
        <v>Cash</v>
      </c>
      <c r="J626" s="5">
        <f>VLOOKUP(F626,'Set up'!$A$2:$D$70,4,FALSE)</f>
        <v>0</v>
      </c>
      <c r="K626" s="4">
        <f t="shared" si="97"/>
        <v>44639</v>
      </c>
      <c r="L626" s="5">
        <f t="shared" si="98"/>
        <v>3</v>
      </c>
      <c r="M626" s="5">
        <f t="shared" si="99"/>
        <v>2022</v>
      </c>
      <c r="N626" s="6">
        <v>1710</v>
      </c>
      <c r="O626" s="6">
        <f t="shared" si="104"/>
        <v>-1710</v>
      </c>
      <c r="P626" s="6">
        <f t="shared" si="102"/>
        <v>0</v>
      </c>
      <c r="Q626" s="7">
        <f t="shared" si="100"/>
        <v>1112043.3500000001</v>
      </c>
      <c r="R626" s="44" t="str">
        <f>VLOOKUP(F626,'Set up'!$A$2:$E$70,5,FALSE)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95"/>
        <v>3</v>
      </c>
      <c r="C627" s="5">
        <f t="shared" si="96"/>
        <v>2022</v>
      </c>
      <c r="D627" s="5" t="s">
        <v>651</v>
      </c>
      <c r="E627" s="5" t="str">
        <f>VLOOKUP(F627,'Set up'!$A$2:$C$70,2,FALSE)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up'!$A$2:$C$70,3,FALSE)</f>
        <v>Cash</v>
      </c>
      <c r="J627" s="5">
        <f>VLOOKUP(F627,'Set up'!$A$2:$D$70,4,FALSE)</f>
        <v>0</v>
      </c>
      <c r="K627" s="4">
        <f t="shared" si="97"/>
        <v>44639</v>
      </c>
      <c r="L627" s="5">
        <f t="shared" si="98"/>
        <v>3</v>
      </c>
      <c r="M627" s="5">
        <f t="shared" si="99"/>
        <v>2022</v>
      </c>
      <c r="N627" s="6">
        <v>170</v>
      </c>
      <c r="O627" s="6">
        <f t="shared" si="104"/>
        <v>-170</v>
      </c>
      <c r="P627" s="6">
        <f t="shared" si="102"/>
        <v>0</v>
      </c>
      <c r="Q627" s="7">
        <f t="shared" si="100"/>
        <v>1112213.3500000001</v>
      </c>
      <c r="R627" s="44" t="str">
        <f>VLOOKUP(F627,'Set up'!$A$2:$E$70,5,FALSE)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95"/>
        <v>3</v>
      </c>
      <c r="C628" s="5">
        <f t="shared" si="96"/>
        <v>2022</v>
      </c>
      <c r="D628" s="5" t="s">
        <v>651</v>
      </c>
      <c r="E628" s="5" t="str">
        <f>VLOOKUP(F628,'Set up'!$A$2:$C$70,2,FALSE)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up'!$A$2:$C$70,3,FALSE)</f>
        <v>Cash</v>
      </c>
      <c r="J628" s="5">
        <f>VLOOKUP(F628,'Set up'!$A$2:$D$70,4,FALSE)</f>
        <v>0</v>
      </c>
      <c r="K628" s="4">
        <f t="shared" si="97"/>
        <v>44639</v>
      </c>
      <c r="L628" s="5">
        <f t="shared" si="98"/>
        <v>3</v>
      </c>
      <c r="M628" s="5">
        <f t="shared" si="99"/>
        <v>2022</v>
      </c>
      <c r="N628" s="6">
        <v>175</v>
      </c>
      <c r="O628" s="6">
        <f t="shared" si="104"/>
        <v>-175</v>
      </c>
      <c r="P628" s="6">
        <f t="shared" si="102"/>
        <v>0</v>
      </c>
      <c r="Q628" s="7">
        <f t="shared" si="100"/>
        <v>1112388.3500000001</v>
      </c>
      <c r="R628" s="44" t="str">
        <f>VLOOKUP(F628,'Set up'!$A$2:$E$70,5,FALSE)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95"/>
        <v>3</v>
      </c>
      <c r="C629" s="5">
        <f t="shared" si="96"/>
        <v>2022</v>
      </c>
      <c r="D629" s="5" t="s">
        <v>651</v>
      </c>
      <c r="E629" s="5" t="str">
        <f>VLOOKUP(F629,'Set up'!$A$2:$C$70,2,FALSE)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up'!$A$2:$C$70,3,FALSE)</f>
        <v>Cash</v>
      </c>
      <c r="J629" s="5">
        <f>VLOOKUP(F629,'Set up'!$A$2:$D$70,4,FALSE)</f>
        <v>0</v>
      </c>
      <c r="K629" s="4">
        <f t="shared" si="97"/>
        <v>44639</v>
      </c>
      <c r="L629" s="5">
        <f t="shared" si="98"/>
        <v>3</v>
      </c>
      <c r="M629" s="5">
        <f t="shared" si="99"/>
        <v>2022</v>
      </c>
      <c r="N629" s="6">
        <v>390</v>
      </c>
      <c r="O629" s="6">
        <f t="shared" si="104"/>
        <v>-390</v>
      </c>
      <c r="P629" s="6">
        <f t="shared" si="102"/>
        <v>0</v>
      </c>
      <c r="Q629" s="7">
        <f t="shared" si="100"/>
        <v>1112778.3500000001</v>
      </c>
      <c r="R629" s="44" t="str">
        <f>VLOOKUP(F629,'Set up'!$A$2:$E$70,5,FALSE)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95"/>
        <v>3</v>
      </c>
      <c r="C630" s="5">
        <f t="shared" si="96"/>
        <v>2022</v>
      </c>
      <c r="D630" s="5" t="s">
        <v>651</v>
      </c>
      <c r="E630" s="5" t="str">
        <f>VLOOKUP(F630,'Set up'!$A$2:$C$70,2,FALSE)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up'!$A$2:$C$70,3,FALSE)</f>
        <v>Cash</v>
      </c>
      <c r="J630" s="5">
        <f>VLOOKUP(F630,'Set up'!$A$2:$D$70,4,FALSE)</f>
        <v>0</v>
      </c>
      <c r="K630" s="4">
        <f t="shared" si="97"/>
        <v>44639</v>
      </c>
      <c r="L630" s="5">
        <f t="shared" si="98"/>
        <v>3</v>
      </c>
      <c r="M630" s="5">
        <f t="shared" si="99"/>
        <v>2022</v>
      </c>
      <c r="N630" s="6">
        <v>575</v>
      </c>
      <c r="O630" s="6">
        <f t="shared" si="104"/>
        <v>-575</v>
      </c>
      <c r="P630" s="6">
        <f t="shared" si="102"/>
        <v>0</v>
      </c>
      <c r="Q630" s="7">
        <f t="shared" si="100"/>
        <v>1113353.3500000001</v>
      </c>
      <c r="R630" s="44" t="str">
        <f>VLOOKUP(F630,'Set up'!$A$2:$E$70,5,FALSE)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95"/>
        <v>3</v>
      </c>
      <c r="C631" s="5">
        <f t="shared" si="96"/>
        <v>2022</v>
      </c>
      <c r="D631" s="5" t="s">
        <v>651</v>
      </c>
      <c r="E631" s="5" t="str">
        <f>VLOOKUP(F631,'Set up'!$A$2:$C$70,2,FALSE)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up'!$A$2:$C$70,3,FALSE)</f>
        <v>Cash</v>
      </c>
      <c r="J631" s="5">
        <f>VLOOKUP(F631,'Set up'!$A$2:$D$70,4,FALSE)</f>
        <v>0</v>
      </c>
      <c r="K631" s="4">
        <f t="shared" si="97"/>
        <v>44639</v>
      </c>
      <c r="L631" s="5">
        <f t="shared" si="98"/>
        <v>3</v>
      </c>
      <c r="M631" s="5">
        <f t="shared" si="99"/>
        <v>2022</v>
      </c>
      <c r="N631" s="6">
        <v>1059.5</v>
      </c>
      <c r="O631" s="6">
        <f t="shared" si="104"/>
        <v>-1059.5</v>
      </c>
      <c r="P631" s="6">
        <f t="shared" si="102"/>
        <v>0</v>
      </c>
      <c r="Q631" s="7">
        <f t="shared" si="100"/>
        <v>1114412.8500000001</v>
      </c>
      <c r="R631" s="44" t="str">
        <f>VLOOKUP(F631,'Set up'!$A$2:$E$70,5,FALSE)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95"/>
        <v>3</v>
      </c>
      <c r="C632" s="5">
        <f t="shared" si="96"/>
        <v>2022</v>
      </c>
      <c r="D632" s="5" t="s">
        <v>652</v>
      </c>
      <c r="E632" s="5" t="str">
        <f>VLOOKUP(F632,'Set up'!$A$2:$C$70,2,FALSE)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up'!$A$2:$C$70,3,FALSE)</f>
        <v>Cash</v>
      </c>
      <c r="J632" s="5">
        <f>VLOOKUP(F632,'Set up'!$A$2:$D$70,4,FALSE)</f>
        <v>0</v>
      </c>
      <c r="K632" s="4">
        <f t="shared" si="97"/>
        <v>44641</v>
      </c>
      <c r="L632" s="5">
        <f t="shared" si="98"/>
        <v>3</v>
      </c>
      <c r="M632" s="5">
        <f t="shared" si="99"/>
        <v>2022</v>
      </c>
      <c r="N632" s="6">
        <v>337.5</v>
      </c>
      <c r="O632" s="6">
        <f>SUM(-N632)</f>
        <v>-337.5</v>
      </c>
      <c r="P632" s="6">
        <f t="shared" si="102"/>
        <v>0</v>
      </c>
      <c r="Q632" s="7">
        <f t="shared" si="100"/>
        <v>1114750.3500000001</v>
      </c>
      <c r="R632" s="44" t="str">
        <f>VLOOKUP(F632,'Set up'!$A$2:$E$70,5,FALSE)</f>
        <v>Chq</v>
      </c>
      <c r="S632" s="1" t="s">
        <v>746</v>
      </c>
    </row>
    <row r="633" spans="1:19" x14ac:dyDescent="0.35">
      <c r="A633" s="4">
        <v>44643</v>
      </c>
      <c r="B633" s="5">
        <f t="shared" si="95"/>
        <v>3</v>
      </c>
      <c r="C633" s="5">
        <f t="shared" si="96"/>
        <v>2022</v>
      </c>
      <c r="D633" s="5" t="s">
        <v>653</v>
      </c>
      <c r="E633" s="5" t="str">
        <f>VLOOKUP(F633,'Set up'!$A$2:$C$70,2,FALSE)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up'!$A$2:$C$70,3,FALSE)</f>
        <v>Cash</v>
      </c>
      <c r="J633" s="5">
        <f>VLOOKUP(F633,'Set up'!$A$2:$D$70,4,FALSE)</f>
        <v>0</v>
      </c>
      <c r="K633" s="4">
        <f t="shared" si="97"/>
        <v>44643</v>
      </c>
      <c r="L633" s="5">
        <f t="shared" si="98"/>
        <v>3</v>
      </c>
      <c r="M633" s="5">
        <f t="shared" si="99"/>
        <v>2022</v>
      </c>
      <c r="N633" s="6">
        <v>6270</v>
      </c>
      <c r="O633" s="6">
        <f t="shared" ref="O633:O639" si="105">-N633</f>
        <v>-6270</v>
      </c>
      <c r="P633" s="6">
        <f t="shared" si="102"/>
        <v>0</v>
      </c>
      <c r="Q633" s="7">
        <f t="shared" si="100"/>
        <v>1121020.3500000001</v>
      </c>
      <c r="R633" s="44" t="str">
        <f>VLOOKUP(F633,'Set up'!$A$2:$E$70,5,FALSE)</f>
        <v>Trsf</v>
      </c>
      <c r="S633" s="1" t="s">
        <v>838</v>
      </c>
    </row>
    <row r="634" spans="1:19" x14ac:dyDescent="0.35">
      <c r="A634" s="4">
        <v>44643</v>
      </c>
      <c r="B634" s="5">
        <f t="shared" si="95"/>
        <v>3</v>
      </c>
      <c r="C634" s="5">
        <f t="shared" si="96"/>
        <v>2022</v>
      </c>
      <c r="D634" s="5" t="s">
        <v>653</v>
      </c>
      <c r="E634" s="5" t="str">
        <f>VLOOKUP(F634,'Set up'!$A$2:$C$70,2,FALSE)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up'!$A$2:$C$70,3,FALSE)</f>
        <v>Cash</v>
      </c>
      <c r="J634" s="5">
        <f>VLOOKUP(F634,'Set up'!$A$2:$D$70,4,FALSE)</f>
        <v>0</v>
      </c>
      <c r="K634" s="4">
        <f t="shared" si="97"/>
        <v>44643</v>
      </c>
      <c r="L634" s="5">
        <f t="shared" si="98"/>
        <v>3</v>
      </c>
      <c r="M634" s="5">
        <f t="shared" si="99"/>
        <v>2022</v>
      </c>
      <c r="N634" s="6">
        <v>1176</v>
      </c>
      <c r="O634" s="6">
        <f t="shared" si="105"/>
        <v>-1176</v>
      </c>
      <c r="P634" s="6">
        <f t="shared" si="102"/>
        <v>0</v>
      </c>
      <c r="Q634" s="7">
        <f t="shared" si="100"/>
        <v>1122196.3500000001</v>
      </c>
      <c r="R634" s="44" t="str">
        <f>VLOOKUP(F634,'Set up'!$A$2:$E$70,5,FALSE)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95"/>
        <v>3</v>
      </c>
      <c r="C635" s="5">
        <f t="shared" si="96"/>
        <v>2022</v>
      </c>
      <c r="D635" s="5" t="s">
        <v>653</v>
      </c>
      <c r="E635" s="5" t="str">
        <f>VLOOKUP(F635,'Set up'!$A$2:$C$70,2,FALSE)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up'!$A$2:$C$70,3,FALSE)</f>
        <v>Cash</v>
      </c>
      <c r="J635" s="5">
        <f>VLOOKUP(F635,'Set up'!$A$2:$D$70,4,FALSE)</f>
        <v>0</v>
      </c>
      <c r="K635" s="4">
        <f t="shared" si="97"/>
        <v>44643</v>
      </c>
      <c r="L635" s="5">
        <f t="shared" si="98"/>
        <v>3</v>
      </c>
      <c r="M635" s="5">
        <f t="shared" si="99"/>
        <v>2022</v>
      </c>
      <c r="N635" s="6">
        <v>1248</v>
      </c>
      <c r="O635" s="6">
        <f t="shared" si="105"/>
        <v>-1248</v>
      </c>
      <c r="P635" s="6">
        <f t="shared" si="102"/>
        <v>0</v>
      </c>
      <c r="Q635" s="7">
        <f t="shared" si="100"/>
        <v>1123444.3500000001</v>
      </c>
      <c r="R635" s="44" t="str">
        <f>VLOOKUP(F635,'Set up'!$A$2:$E$70,5,FALSE)</f>
        <v>Trsf</v>
      </c>
      <c r="S635" s="1" t="s">
        <v>838</v>
      </c>
    </row>
    <row r="636" spans="1:19" x14ac:dyDescent="0.35">
      <c r="A636" s="4">
        <v>44643</v>
      </c>
      <c r="B636" s="5">
        <f t="shared" si="95"/>
        <v>3</v>
      </c>
      <c r="C636" s="5">
        <f t="shared" si="96"/>
        <v>2022</v>
      </c>
      <c r="D636" s="5" t="s">
        <v>653</v>
      </c>
      <c r="E636" s="5" t="str">
        <f>VLOOKUP(F636,'Set up'!$A$2:$C$70,2,FALSE)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up'!$A$2:$C$70,3,FALSE)</f>
        <v>Cash</v>
      </c>
      <c r="J636" s="5">
        <f>VLOOKUP(F636,'Set up'!$A$2:$D$70,4,FALSE)</f>
        <v>0</v>
      </c>
      <c r="K636" s="4">
        <f t="shared" si="97"/>
        <v>44643</v>
      </c>
      <c r="L636" s="5">
        <f t="shared" si="98"/>
        <v>3</v>
      </c>
      <c r="M636" s="5">
        <f t="shared" si="99"/>
        <v>2022</v>
      </c>
      <c r="N636" s="6">
        <v>125</v>
      </c>
      <c r="O636" s="6">
        <f t="shared" si="105"/>
        <v>-125</v>
      </c>
      <c r="P636" s="6">
        <f t="shared" si="102"/>
        <v>0</v>
      </c>
      <c r="Q636" s="7">
        <f t="shared" si="100"/>
        <v>1123569.3500000001</v>
      </c>
      <c r="R636" s="44" t="str">
        <f>VLOOKUP(F636,'Set up'!$A$2:$E$70,5,FALSE)</f>
        <v>Trsf</v>
      </c>
      <c r="S636" s="1" t="s">
        <v>838</v>
      </c>
    </row>
    <row r="637" spans="1:19" x14ac:dyDescent="0.35">
      <c r="A637" s="4">
        <v>44645</v>
      </c>
      <c r="B637" s="5">
        <f t="shared" si="95"/>
        <v>3</v>
      </c>
      <c r="C637" s="5">
        <f t="shared" si="96"/>
        <v>2022</v>
      </c>
      <c r="D637" s="5" t="s">
        <v>660</v>
      </c>
      <c r="E637" s="5" t="str">
        <f>VLOOKUP(F637,'Set up'!$A$2:$C$70,2,FALSE)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up'!$A$2:$C$70,3,FALSE)</f>
        <v>Cash</v>
      </c>
      <c r="J637" s="5">
        <f>VLOOKUP(F637,'Set up'!$A$2:$D$70,4,FALSE)</f>
        <v>0</v>
      </c>
      <c r="K637" s="4">
        <f t="shared" si="97"/>
        <v>44645</v>
      </c>
      <c r="L637" s="5">
        <f t="shared" si="98"/>
        <v>3</v>
      </c>
      <c r="M637" s="5">
        <f t="shared" si="99"/>
        <v>2022</v>
      </c>
      <c r="N637" s="6">
        <v>8360</v>
      </c>
      <c r="O637" s="6">
        <f t="shared" si="105"/>
        <v>-8360</v>
      </c>
      <c r="P637" s="6">
        <f t="shared" si="102"/>
        <v>0</v>
      </c>
      <c r="Q637" s="7">
        <f t="shared" si="100"/>
        <v>1131929.3500000001</v>
      </c>
      <c r="R637" s="44" t="str">
        <f>VLOOKUP(F637,'Set up'!$A$2:$E$70,5,FALSE)</f>
        <v>Trsf</v>
      </c>
      <c r="S637" s="1" t="s">
        <v>838</v>
      </c>
    </row>
    <row r="638" spans="1:19" x14ac:dyDescent="0.35">
      <c r="A638" s="4">
        <v>44645</v>
      </c>
      <c r="B638" s="5">
        <f t="shared" si="95"/>
        <v>3</v>
      </c>
      <c r="C638" s="5">
        <f t="shared" si="96"/>
        <v>2022</v>
      </c>
      <c r="D638" s="5" t="s">
        <v>660</v>
      </c>
      <c r="E638" s="5" t="str">
        <f>VLOOKUP(F638,'Set up'!$A$2:$C$70,2,FALSE)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up'!$A$2:$C$70,3,FALSE)</f>
        <v>Cash</v>
      </c>
      <c r="J638" s="5">
        <f>VLOOKUP(F638,'Set up'!$A$2:$D$70,4,FALSE)</f>
        <v>0</v>
      </c>
      <c r="K638" s="4">
        <f t="shared" si="97"/>
        <v>44645</v>
      </c>
      <c r="L638" s="5">
        <f t="shared" si="98"/>
        <v>3</v>
      </c>
      <c r="M638" s="5">
        <f t="shared" si="99"/>
        <v>2022</v>
      </c>
      <c r="N638" s="6">
        <v>2940</v>
      </c>
      <c r="O638" s="6">
        <f t="shared" si="105"/>
        <v>-2940</v>
      </c>
      <c r="P638" s="6">
        <f t="shared" si="102"/>
        <v>0</v>
      </c>
      <c r="Q638" s="7">
        <f t="shared" si="100"/>
        <v>1134869.3500000001</v>
      </c>
      <c r="R638" s="44" t="str">
        <f>VLOOKUP(F638,'Set up'!$A$2:$E$70,5,FALSE)</f>
        <v>Trsf</v>
      </c>
      <c r="S638" s="1" t="s">
        <v>838</v>
      </c>
    </row>
    <row r="639" spans="1:19" x14ac:dyDescent="0.35">
      <c r="A639" s="4">
        <v>44645</v>
      </c>
      <c r="B639" s="5">
        <f t="shared" si="95"/>
        <v>3</v>
      </c>
      <c r="C639" s="5">
        <f t="shared" si="96"/>
        <v>2022</v>
      </c>
      <c r="D639" s="5" t="s">
        <v>660</v>
      </c>
      <c r="E639" s="5" t="str">
        <f>VLOOKUP(F639,'Set up'!$A$2:$C$70,2,FALSE)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up'!$A$2:$C$70,3,FALSE)</f>
        <v>Cash</v>
      </c>
      <c r="J639" s="5">
        <f>VLOOKUP(F639,'Set up'!$A$2:$D$70,4,FALSE)</f>
        <v>0</v>
      </c>
      <c r="K639" s="4">
        <f t="shared" si="97"/>
        <v>44645</v>
      </c>
      <c r="L639" s="5">
        <f t="shared" si="98"/>
        <v>3</v>
      </c>
      <c r="M639" s="5">
        <f t="shared" si="99"/>
        <v>2022</v>
      </c>
      <c r="N639" s="6">
        <v>1872</v>
      </c>
      <c r="O639" s="6">
        <f t="shared" si="105"/>
        <v>-1872</v>
      </c>
      <c r="P639" s="6">
        <f t="shared" si="102"/>
        <v>0</v>
      </c>
      <c r="Q639" s="7">
        <f t="shared" si="100"/>
        <v>1136741.3500000001</v>
      </c>
      <c r="R639" s="44" t="str">
        <f>VLOOKUP(F639,'Set up'!$A$2:$E$70,5,FALSE)</f>
        <v>Trsf</v>
      </c>
      <c r="S639" s="1" t="s">
        <v>838</v>
      </c>
    </row>
    <row r="640" spans="1:19" x14ac:dyDescent="0.35">
      <c r="A640" s="4">
        <v>44645</v>
      </c>
      <c r="B640" s="5">
        <f t="shared" si="95"/>
        <v>3</v>
      </c>
      <c r="C640" s="5">
        <f t="shared" si="96"/>
        <v>2022</v>
      </c>
      <c r="D640" s="5" t="s">
        <v>660</v>
      </c>
      <c r="E640" s="5" t="str">
        <f>VLOOKUP(F640,'Set up'!$A$2:$C$70,2,FALSE)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up'!$A$2:$C$70,3,FALSE)</f>
        <v>Cash</v>
      </c>
      <c r="J640" s="5">
        <f>VLOOKUP(F640,'Set up'!$A$2:$D$70,4,FALSE)</f>
        <v>0</v>
      </c>
      <c r="K640" s="4">
        <f t="shared" si="97"/>
        <v>44645</v>
      </c>
      <c r="L640" s="5">
        <f t="shared" si="98"/>
        <v>3</v>
      </c>
      <c r="M640" s="5">
        <f t="shared" si="99"/>
        <v>2022</v>
      </c>
      <c r="N640" s="6">
        <v>250</v>
      </c>
      <c r="O640" s="6">
        <f>-177.3-72.7</f>
        <v>-250</v>
      </c>
      <c r="P640" s="6">
        <f t="shared" si="102"/>
        <v>0</v>
      </c>
      <c r="Q640" s="7">
        <f t="shared" si="100"/>
        <v>1136991.3500000001</v>
      </c>
      <c r="R640" s="44" t="str">
        <f>VLOOKUP(F640,'Set up'!$A$2:$E$70,5,FALSE)</f>
        <v>Trsf</v>
      </c>
      <c r="S640" s="1" t="s">
        <v>848</v>
      </c>
    </row>
    <row r="641" spans="1:19" x14ac:dyDescent="0.35">
      <c r="A641" s="4">
        <v>44645</v>
      </c>
      <c r="B641" s="5">
        <f t="shared" si="95"/>
        <v>3</v>
      </c>
      <c r="C641" s="5">
        <f t="shared" si="96"/>
        <v>2022</v>
      </c>
      <c r="D641" s="5" t="s">
        <v>660</v>
      </c>
      <c r="E641" s="5" t="str">
        <f>VLOOKUP(F641,'Set up'!$A$2:$C$70,2,FALSE)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up'!$A$2:$C$70,3,FALSE)</f>
        <v>Cash</v>
      </c>
      <c r="J641" s="5">
        <f>VLOOKUP(F641,'Set up'!$A$2:$D$70,4,FALSE)</f>
        <v>0</v>
      </c>
      <c r="K641" s="4">
        <f t="shared" si="97"/>
        <v>44645</v>
      </c>
      <c r="L641" s="5">
        <f t="shared" si="98"/>
        <v>3</v>
      </c>
      <c r="M641" s="5">
        <f t="shared" si="99"/>
        <v>2022</v>
      </c>
      <c r="N641" s="6">
        <v>1000</v>
      </c>
      <c r="O641" s="6">
        <f>-N641</f>
        <v>-1000</v>
      </c>
      <c r="P641" s="6">
        <f t="shared" si="102"/>
        <v>0</v>
      </c>
      <c r="Q641" s="7">
        <f t="shared" si="100"/>
        <v>1137991.3500000001</v>
      </c>
      <c r="R641" s="44" t="str">
        <f>VLOOKUP(F641,'Set up'!$A$2:$E$70,5,FALSE)</f>
        <v>Trsf</v>
      </c>
      <c r="S641" s="1" t="s">
        <v>881</v>
      </c>
    </row>
    <row r="642" spans="1:19" x14ac:dyDescent="0.35">
      <c r="A642" s="4">
        <v>44649</v>
      </c>
      <c r="B642" s="5">
        <f t="shared" si="95"/>
        <v>3</v>
      </c>
      <c r="C642" s="5">
        <f t="shared" si="96"/>
        <v>2022</v>
      </c>
      <c r="D642" s="5" t="s">
        <v>661</v>
      </c>
      <c r="E642" s="5" t="str">
        <f>VLOOKUP(F642,'Set up'!$A$2:$C$70,2,FALSE)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up'!$A$2:$C$70,3,FALSE)</f>
        <v>Cash</v>
      </c>
      <c r="J642" s="5">
        <f>VLOOKUP(F642,'Set up'!$A$2:$D$70,4,FALSE)</f>
        <v>0</v>
      </c>
      <c r="K642" s="4">
        <f t="shared" si="97"/>
        <v>44649</v>
      </c>
      <c r="L642" s="5">
        <f t="shared" si="98"/>
        <v>3</v>
      </c>
      <c r="M642" s="5">
        <f t="shared" si="99"/>
        <v>2022</v>
      </c>
      <c r="N642" s="6">
        <v>2068</v>
      </c>
      <c r="O642" s="6">
        <f>-N642</f>
        <v>-2068</v>
      </c>
      <c r="P642" s="6">
        <f t="shared" si="102"/>
        <v>0</v>
      </c>
      <c r="Q642" s="7">
        <f t="shared" si="100"/>
        <v>1140059.3500000001</v>
      </c>
      <c r="R642" s="44" t="str">
        <f>VLOOKUP(F642,'Set up'!$A$2:$E$70,5,FALSE)</f>
        <v>Trsf</v>
      </c>
      <c r="S642" s="1" t="s">
        <v>672</v>
      </c>
    </row>
    <row r="643" spans="1:19" x14ac:dyDescent="0.35">
      <c r="A643" s="4">
        <v>44649</v>
      </c>
      <c r="B643" s="5">
        <f t="shared" ref="B643:B706" si="106">MONTH(A643)</f>
        <v>3</v>
      </c>
      <c r="C643" s="5">
        <f t="shared" ref="C643:C706" si="107">YEAR(A643)</f>
        <v>2022</v>
      </c>
      <c r="D643" s="5" t="s">
        <v>661</v>
      </c>
      <c r="E643" s="5" t="str">
        <f>VLOOKUP(F643,'Set up'!$A$2:$C$70,2,FALSE)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up'!$A$2:$C$70,3,FALSE)</f>
        <v>Cash</v>
      </c>
      <c r="J643" s="5">
        <f>VLOOKUP(F643,'Set up'!$A$2:$D$70,4,FALSE)</f>
        <v>0</v>
      </c>
      <c r="K643" s="4">
        <f t="shared" ref="K643:K706" si="108">A643+J643</f>
        <v>44649</v>
      </c>
      <c r="L643" s="5">
        <f t="shared" ref="L643:L706" si="109">MONTH(K643)</f>
        <v>3</v>
      </c>
      <c r="M643" s="5">
        <f t="shared" ref="M643:M706" si="110">YEAR(K643)</f>
        <v>2022</v>
      </c>
      <c r="N643" s="6">
        <v>1164</v>
      </c>
      <c r="O643" s="6">
        <f>-N643</f>
        <v>-1164</v>
      </c>
      <c r="P643" s="6">
        <f t="shared" si="102"/>
        <v>0</v>
      </c>
      <c r="Q643" s="7">
        <f t="shared" ref="Q643:Q706" si="111">SUM(Q642+N643)</f>
        <v>1141223.3500000001</v>
      </c>
      <c r="R643" s="44" t="str">
        <f>VLOOKUP(F643,'Set up'!$A$2:$E$70,5,FALSE)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06"/>
        <v>3</v>
      </c>
      <c r="C644" s="5">
        <f t="shared" si="107"/>
        <v>2022</v>
      </c>
      <c r="D644" s="5" t="s">
        <v>662</v>
      </c>
      <c r="E644" s="5" t="str">
        <f>VLOOKUP(F644,'Set up'!$A$2:$C$70,2,FALSE)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up'!$A$2:$C$70,3,FALSE)</f>
        <v>Cash</v>
      </c>
      <c r="J644" s="5">
        <f>VLOOKUP(F644,'Set up'!$A$2:$D$70,4,FALSE)</f>
        <v>0</v>
      </c>
      <c r="K644" s="4">
        <f t="shared" si="108"/>
        <v>44649</v>
      </c>
      <c r="L644" s="5">
        <f t="shared" si="109"/>
        <v>3</v>
      </c>
      <c r="M644" s="5">
        <f t="shared" si="110"/>
        <v>2022</v>
      </c>
      <c r="N644" s="6">
        <v>4180</v>
      </c>
      <c r="O644" s="6">
        <f>-N644</f>
        <v>-4180</v>
      </c>
      <c r="P644" s="6">
        <f t="shared" si="102"/>
        <v>0</v>
      </c>
      <c r="Q644" s="7">
        <f t="shared" si="111"/>
        <v>1145403.3500000001</v>
      </c>
      <c r="R644" s="44" t="str">
        <f>VLOOKUP(F644,'Set up'!$A$2:$E$70,5,FALSE)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06"/>
        <v>3</v>
      </c>
      <c r="C645" s="5">
        <f t="shared" si="107"/>
        <v>2022</v>
      </c>
      <c r="D645" s="5" t="s">
        <v>662</v>
      </c>
      <c r="E645" s="5" t="str">
        <f>VLOOKUP(F645,'Set up'!$A$2:$C$70,2,FALSE)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up'!$A$2:$C$70,3,FALSE)</f>
        <v>Cash</v>
      </c>
      <c r="J645" s="5">
        <f>VLOOKUP(F645,'Set up'!$A$2:$D$70,4,FALSE)</f>
        <v>0</v>
      </c>
      <c r="K645" s="4">
        <f t="shared" si="108"/>
        <v>44649</v>
      </c>
      <c r="L645" s="5">
        <f t="shared" si="109"/>
        <v>3</v>
      </c>
      <c r="M645" s="5">
        <f t="shared" si="110"/>
        <v>2022</v>
      </c>
      <c r="N645" s="6">
        <v>2352</v>
      </c>
      <c r="O645" s="6">
        <f>-1747.3-604.7</f>
        <v>-2352</v>
      </c>
      <c r="P645" s="6">
        <f t="shared" si="102"/>
        <v>0</v>
      </c>
      <c r="Q645" s="7">
        <f t="shared" si="111"/>
        <v>1147755.3500000001</v>
      </c>
      <c r="R645" s="44" t="str">
        <f>VLOOKUP(F645,'Set up'!$A$2:$E$70,5,FALSE)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06"/>
        <v>3</v>
      </c>
      <c r="C646" s="5">
        <f t="shared" si="107"/>
        <v>2022</v>
      </c>
      <c r="D646" s="5" t="s">
        <v>662</v>
      </c>
      <c r="E646" s="5" t="str">
        <f>VLOOKUP(F646,'Set up'!$A$2:$C$70,2,FALSE)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up'!$A$2:$C$70,3,FALSE)</f>
        <v>Cash</v>
      </c>
      <c r="J646" s="5">
        <f>VLOOKUP(F646,'Set up'!$A$2:$D$70,4,FALSE)</f>
        <v>0</v>
      </c>
      <c r="K646" s="4">
        <f t="shared" si="108"/>
        <v>44649</v>
      </c>
      <c r="L646" s="5">
        <f t="shared" si="109"/>
        <v>3</v>
      </c>
      <c r="M646" s="5">
        <f t="shared" si="110"/>
        <v>2022</v>
      </c>
      <c r="N646" s="6">
        <v>936</v>
      </c>
      <c r="O646" s="6">
        <f>-N646</f>
        <v>-936</v>
      </c>
      <c r="P646" s="6">
        <f t="shared" si="102"/>
        <v>0</v>
      </c>
      <c r="Q646" s="7">
        <f t="shared" si="111"/>
        <v>1148691.3500000001</v>
      </c>
      <c r="R646" s="44" t="str">
        <f>VLOOKUP(F646,'Set up'!$A$2:$E$70,5,FALSE)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06"/>
        <v>3</v>
      </c>
      <c r="C647" s="5">
        <f t="shared" si="107"/>
        <v>2022</v>
      </c>
      <c r="D647" s="5" t="s">
        <v>662</v>
      </c>
      <c r="E647" s="5" t="str">
        <f>VLOOKUP(F647,'Set up'!$A$2:$C$70,2,FALSE)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up'!$A$2:$C$70,3,FALSE)</f>
        <v>Cash</v>
      </c>
      <c r="J647" s="5">
        <f>VLOOKUP(F647,'Set up'!$A$2:$D$70,4,FALSE)</f>
        <v>0</v>
      </c>
      <c r="K647" s="4">
        <f t="shared" si="108"/>
        <v>44649</v>
      </c>
      <c r="L647" s="5">
        <f t="shared" si="109"/>
        <v>3</v>
      </c>
      <c r="M647" s="5">
        <f t="shared" si="110"/>
        <v>2022</v>
      </c>
      <c r="N647" s="6">
        <v>125</v>
      </c>
      <c r="O647" s="6">
        <f>-N647</f>
        <v>-125</v>
      </c>
      <c r="P647" s="6">
        <f t="shared" si="102"/>
        <v>0</v>
      </c>
      <c r="Q647" s="7">
        <f t="shared" si="111"/>
        <v>1148816.3500000001</v>
      </c>
      <c r="R647" s="44" t="str">
        <f>VLOOKUP(F647,'Set up'!$A$2:$E$70,5,FALSE)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06"/>
        <v>3</v>
      </c>
      <c r="C648" s="5">
        <f t="shared" si="107"/>
        <v>2022</v>
      </c>
      <c r="D648" s="5" t="s">
        <v>663</v>
      </c>
      <c r="E648" s="5" t="str">
        <f>VLOOKUP(F648,'Set up'!$A$2:$C$70,2,FALSE)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up'!$A$2:$C$70,3,FALSE)</f>
        <v>Cash</v>
      </c>
      <c r="J648" s="5">
        <f>VLOOKUP(F648,'Set up'!$A$2:$D$70,4,FALSE)</f>
        <v>0</v>
      </c>
      <c r="K648" s="4">
        <f t="shared" si="108"/>
        <v>44651</v>
      </c>
      <c r="L648" s="5">
        <f t="shared" si="109"/>
        <v>3</v>
      </c>
      <c r="M648" s="5">
        <f t="shared" si="110"/>
        <v>2022</v>
      </c>
      <c r="N648" s="6">
        <v>2090</v>
      </c>
      <c r="O648" s="6">
        <f t="shared" ref="O648:O656" si="112">-N648</f>
        <v>-2090</v>
      </c>
      <c r="P648" s="6">
        <f t="shared" si="102"/>
        <v>0</v>
      </c>
      <c r="Q648" s="7">
        <f t="shared" si="111"/>
        <v>1150906.3500000001</v>
      </c>
      <c r="R648" s="44" t="str">
        <f>VLOOKUP(F648,'Set up'!$A$2:$E$70,5,FALSE)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06"/>
        <v>3</v>
      </c>
      <c r="C649" s="5">
        <f t="shared" si="107"/>
        <v>2022</v>
      </c>
      <c r="D649" s="5" t="s">
        <v>663</v>
      </c>
      <c r="E649" s="5" t="str">
        <f>VLOOKUP(F649,'Set up'!$A$2:$C$70,2,FALSE)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up'!$A$2:$C$70,3,FALSE)</f>
        <v>Cash</v>
      </c>
      <c r="J649" s="5">
        <f>VLOOKUP(F649,'Set up'!$A$2:$D$70,4,FALSE)</f>
        <v>0</v>
      </c>
      <c r="K649" s="4">
        <f t="shared" si="108"/>
        <v>44651</v>
      </c>
      <c r="L649" s="5">
        <f t="shared" si="109"/>
        <v>3</v>
      </c>
      <c r="M649" s="5">
        <f t="shared" si="110"/>
        <v>2022</v>
      </c>
      <c r="N649" s="6">
        <v>340</v>
      </c>
      <c r="O649" s="6">
        <f t="shared" si="112"/>
        <v>-340</v>
      </c>
      <c r="P649" s="6">
        <f t="shared" si="102"/>
        <v>0</v>
      </c>
      <c r="Q649" s="7">
        <f t="shared" si="111"/>
        <v>1151246.3500000001</v>
      </c>
      <c r="R649" s="44" t="str">
        <f>VLOOKUP(F649,'Set up'!$A$2:$E$70,5,FALSE)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06"/>
        <v>3</v>
      </c>
      <c r="C650" s="5">
        <f t="shared" si="107"/>
        <v>2022</v>
      </c>
      <c r="D650" s="5" t="s">
        <v>663</v>
      </c>
      <c r="E650" s="5" t="str">
        <f>VLOOKUP(F650,'Set up'!$A$2:$C$70,2,FALSE)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up'!$A$2:$C$70,3,FALSE)</f>
        <v>Cash</v>
      </c>
      <c r="J650" s="5">
        <f>VLOOKUP(F650,'Set up'!$A$2:$D$70,4,FALSE)</f>
        <v>0</v>
      </c>
      <c r="K650" s="4">
        <f t="shared" si="108"/>
        <v>44651</v>
      </c>
      <c r="L650" s="5">
        <f t="shared" si="109"/>
        <v>3</v>
      </c>
      <c r="M650" s="5">
        <f t="shared" si="110"/>
        <v>2022</v>
      </c>
      <c r="N650" s="6">
        <v>1000</v>
      </c>
      <c r="O650" s="6">
        <f t="shared" si="112"/>
        <v>-1000</v>
      </c>
      <c r="P650" s="6">
        <f t="shared" si="102"/>
        <v>0</v>
      </c>
      <c r="Q650" s="7">
        <f t="shared" si="111"/>
        <v>1152246.3500000001</v>
      </c>
      <c r="R650" s="44" t="str">
        <f>VLOOKUP(F650,'Set up'!$A$2:$E$70,5,FALSE)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06"/>
        <v>3</v>
      </c>
      <c r="C651" s="5">
        <f t="shared" si="107"/>
        <v>2022</v>
      </c>
      <c r="D651" s="5" t="s">
        <v>663</v>
      </c>
      <c r="E651" s="5" t="str">
        <f>VLOOKUP(F651,'Set up'!$A$2:$C$70,2,FALSE)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up'!$A$2:$C$70,3,FALSE)</f>
        <v>Cash</v>
      </c>
      <c r="J651" s="5">
        <f>VLOOKUP(F651,'Set up'!$A$2:$D$70,4,FALSE)</f>
        <v>0</v>
      </c>
      <c r="K651" s="4">
        <f t="shared" si="108"/>
        <v>44651</v>
      </c>
      <c r="L651" s="5">
        <f t="shared" si="109"/>
        <v>3</v>
      </c>
      <c r="M651" s="5">
        <f t="shared" si="110"/>
        <v>2022</v>
      </c>
      <c r="N651" s="6">
        <v>125</v>
      </c>
      <c r="O651" s="6">
        <f t="shared" si="112"/>
        <v>-125</v>
      </c>
      <c r="P651" s="6">
        <f t="shared" si="102"/>
        <v>0</v>
      </c>
      <c r="Q651" s="7">
        <f t="shared" si="111"/>
        <v>1152371.3500000001</v>
      </c>
      <c r="R651" s="44" t="str">
        <f>VLOOKUP(F651,'Set up'!$A$2:$E$70,5,FALSE)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06"/>
        <v>4</v>
      </c>
      <c r="C652" s="5">
        <f t="shared" si="107"/>
        <v>2022</v>
      </c>
      <c r="D652" s="5" t="s">
        <v>680</v>
      </c>
      <c r="E652" s="5" t="str">
        <f>VLOOKUP(F652,'Set up'!$A$2:$C$70,2,FALSE)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up'!$A$2:$C$70,3,FALSE)</f>
        <v>Cash</v>
      </c>
      <c r="J652" s="5">
        <f>VLOOKUP(F652,'Set up'!$A$2:$D$70,4,FALSE)</f>
        <v>0</v>
      </c>
      <c r="K652" s="4">
        <f t="shared" si="108"/>
        <v>44652</v>
      </c>
      <c r="L652" s="5">
        <f t="shared" si="109"/>
        <v>4</v>
      </c>
      <c r="M652" s="5">
        <f t="shared" si="110"/>
        <v>2022</v>
      </c>
      <c r="N652" s="6">
        <v>4136</v>
      </c>
      <c r="O652" s="6">
        <f t="shared" si="112"/>
        <v>-4136</v>
      </c>
      <c r="P652" s="6">
        <f t="shared" si="102"/>
        <v>0</v>
      </c>
      <c r="Q652" s="7">
        <f t="shared" si="111"/>
        <v>1156507.3500000001</v>
      </c>
      <c r="R652" s="44" t="str">
        <f>VLOOKUP(F652,'Set up'!$A$2:$E$70,5,FALSE)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06"/>
        <v>4</v>
      </c>
      <c r="C653" s="5">
        <f t="shared" si="107"/>
        <v>2022</v>
      </c>
      <c r="D653" s="5" t="s">
        <v>680</v>
      </c>
      <c r="E653" s="5" t="str">
        <f>VLOOKUP(F653,'Set up'!$A$2:$C$70,2,FALSE)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up'!$A$2:$C$70,3,FALSE)</f>
        <v>Cash</v>
      </c>
      <c r="J653" s="5">
        <f>VLOOKUP(F653,'Set up'!$A$2:$D$70,4,FALSE)</f>
        <v>0</v>
      </c>
      <c r="K653" s="4">
        <f t="shared" si="108"/>
        <v>44652</v>
      </c>
      <c r="L653" s="5">
        <f t="shared" si="109"/>
        <v>4</v>
      </c>
      <c r="M653" s="5">
        <f t="shared" si="110"/>
        <v>2022</v>
      </c>
      <c r="N653" s="6">
        <v>855</v>
      </c>
      <c r="O653" s="6">
        <f t="shared" si="112"/>
        <v>-855</v>
      </c>
      <c r="P653" s="6">
        <f t="shared" si="102"/>
        <v>0</v>
      </c>
      <c r="Q653" s="7">
        <f t="shared" si="111"/>
        <v>1157362.3500000001</v>
      </c>
      <c r="R653" s="44" t="str">
        <f>VLOOKUP(F653,'Set up'!$A$2:$E$70,5,FALSE)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06"/>
        <v>4</v>
      </c>
      <c r="C654" s="5">
        <f t="shared" si="107"/>
        <v>2022</v>
      </c>
      <c r="D654" s="5" t="s">
        <v>680</v>
      </c>
      <c r="E654" s="5" t="str">
        <f>VLOOKUP(F654,'Set up'!$A$2:$C$70,2,FALSE)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up'!$A$2:$C$70,3,FALSE)</f>
        <v>Cash</v>
      </c>
      <c r="J654" s="5">
        <f>VLOOKUP(F654,'Set up'!$A$2:$D$70,4,FALSE)</f>
        <v>0</v>
      </c>
      <c r="K654" s="4">
        <f t="shared" si="108"/>
        <v>44652</v>
      </c>
      <c r="L654" s="5">
        <f t="shared" si="109"/>
        <v>4</v>
      </c>
      <c r="M654" s="5">
        <f t="shared" si="110"/>
        <v>2022</v>
      </c>
      <c r="N654" s="6">
        <v>170</v>
      </c>
      <c r="O654" s="6">
        <f t="shared" si="112"/>
        <v>-170</v>
      </c>
      <c r="P654" s="6">
        <f t="shared" si="102"/>
        <v>0</v>
      </c>
      <c r="Q654" s="7">
        <f t="shared" si="111"/>
        <v>1157532.3500000001</v>
      </c>
      <c r="R654" s="44" t="str">
        <f>VLOOKUP(F654,'Set up'!$A$2:$E$70,5,FALSE)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06"/>
        <v>4</v>
      </c>
      <c r="C655" s="5">
        <f t="shared" si="107"/>
        <v>2022</v>
      </c>
      <c r="D655" s="5" t="s">
        <v>680</v>
      </c>
      <c r="E655" s="5" t="str">
        <f>VLOOKUP(F655,'Set up'!$A$2:$C$70,2,FALSE)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up'!$A$2:$C$70,3,FALSE)</f>
        <v>Cash</v>
      </c>
      <c r="J655" s="5">
        <f>VLOOKUP(F655,'Set up'!$A$2:$D$70,4,FALSE)</f>
        <v>0</v>
      </c>
      <c r="K655" s="4">
        <f t="shared" si="108"/>
        <v>44652</v>
      </c>
      <c r="L655" s="5">
        <f t="shared" si="109"/>
        <v>4</v>
      </c>
      <c r="M655" s="5">
        <f t="shared" si="110"/>
        <v>2022</v>
      </c>
      <c r="N655" s="6">
        <v>575</v>
      </c>
      <c r="O655" s="6">
        <f t="shared" si="112"/>
        <v>-575</v>
      </c>
      <c r="P655" s="6">
        <f t="shared" si="102"/>
        <v>0</v>
      </c>
      <c r="Q655" s="7">
        <f t="shared" si="111"/>
        <v>1158107.3500000001</v>
      </c>
      <c r="R655" s="44" t="str">
        <f>VLOOKUP(F655,'Set up'!$A$2:$E$70,5,FALSE)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06"/>
        <v>4</v>
      </c>
      <c r="C656" s="5">
        <f t="shared" si="107"/>
        <v>2022</v>
      </c>
      <c r="D656" s="5" t="s">
        <v>680</v>
      </c>
      <c r="E656" s="5" t="str">
        <f>VLOOKUP(F656,'Set up'!$A$2:$C$70,2,FALSE)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up'!$A$2:$C$70,3,FALSE)</f>
        <v>Cash</v>
      </c>
      <c r="J656" s="5">
        <f>VLOOKUP(F656,'Set up'!$A$2:$D$70,4,FALSE)</f>
        <v>0</v>
      </c>
      <c r="K656" s="4">
        <f t="shared" si="108"/>
        <v>44652</v>
      </c>
      <c r="L656" s="5">
        <f t="shared" si="109"/>
        <v>4</v>
      </c>
      <c r="M656" s="5">
        <f t="shared" si="110"/>
        <v>2022</v>
      </c>
      <c r="N656" s="6">
        <v>347.5</v>
      </c>
      <c r="O656" s="6">
        <f t="shared" si="112"/>
        <v>-347.5</v>
      </c>
      <c r="P656" s="6">
        <f t="shared" si="102"/>
        <v>0</v>
      </c>
      <c r="Q656" s="7">
        <f t="shared" si="111"/>
        <v>1158454.8500000001</v>
      </c>
      <c r="R656" s="44" t="str">
        <f>VLOOKUP(F656,'Set up'!$A$2:$E$70,5,FALSE)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06"/>
        <v>4</v>
      </c>
      <c r="C657" s="5">
        <f t="shared" si="107"/>
        <v>2022</v>
      </c>
      <c r="D657" s="5" t="s">
        <v>683</v>
      </c>
      <c r="E657" s="5" t="str">
        <f>VLOOKUP(F657,'Set up'!$A$2:$C$70,2,FALSE)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up'!$A$2:$C$70,3,FALSE)</f>
        <v>Cash</v>
      </c>
      <c r="J657" s="5">
        <f>VLOOKUP(F657,'Set up'!$A$2:$D$70,4,FALSE)</f>
        <v>0</v>
      </c>
      <c r="K657" s="4">
        <f t="shared" si="108"/>
        <v>44652</v>
      </c>
      <c r="L657" s="5">
        <f t="shared" si="109"/>
        <v>4</v>
      </c>
      <c r="M657" s="5">
        <f t="shared" si="110"/>
        <v>2022</v>
      </c>
      <c r="N657" s="6">
        <v>2090</v>
      </c>
      <c r="O657" s="6">
        <f>-N657</f>
        <v>-2090</v>
      </c>
      <c r="P657" s="6">
        <f t="shared" si="102"/>
        <v>0</v>
      </c>
      <c r="Q657" s="7">
        <f t="shared" si="111"/>
        <v>1160544.8500000001</v>
      </c>
      <c r="R657" s="44" t="str">
        <f>VLOOKUP(F657,'Set up'!$A$2:$E$70,5,FALSE)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06"/>
        <v>4</v>
      </c>
      <c r="C658" s="5">
        <f t="shared" si="107"/>
        <v>2022</v>
      </c>
      <c r="D658" s="5" t="s">
        <v>683</v>
      </c>
      <c r="E658" s="5" t="str">
        <f>VLOOKUP(F658,'Set up'!$A$2:$C$70,2,FALSE)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up'!$A$2:$C$70,3,FALSE)</f>
        <v>Cash</v>
      </c>
      <c r="J658" s="5">
        <f>VLOOKUP(F658,'Set up'!$A$2:$D$70,4,FALSE)</f>
        <v>0</v>
      </c>
      <c r="K658" s="4">
        <f t="shared" si="108"/>
        <v>44652</v>
      </c>
      <c r="L658" s="5">
        <f t="shared" si="109"/>
        <v>4</v>
      </c>
      <c r="M658" s="5">
        <f t="shared" si="110"/>
        <v>2022</v>
      </c>
      <c r="N658" s="6">
        <v>4180</v>
      </c>
      <c r="O658" s="6">
        <f>-N658</f>
        <v>-4180</v>
      </c>
      <c r="P658" s="6">
        <f t="shared" si="102"/>
        <v>0</v>
      </c>
      <c r="Q658" s="7">
        <f t="shared" si="111"/>
        <v>1164724.8500000001</v>
      </c>
      <c r="R658" s="44" t="str">
        <f>VLOOKUP(F658,'Set up'!$A$2:$E$70,5,FALSE)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06"/>
        <v>4</v>
      </c>
      <c r="C659" s="5">
        <f t="shared" si="107"/>
        <v>2022</v>
      </c>
      <c r="D659" s="5" t="s">
        <v>683</v>
      </c>
      <c r="E659" s="5" t="str">
        <f>VLOOKUP(F659,'Set up'!$A$2:$C$70,2,FALSE)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up'!$A$2:$C$70,3,FALSE)</f>
        <v>Cash</v>
      </c>
      <c r="J659" s="5">
        <f>VLOOKUP(F659,'Set up'!$A$2:$D$70,4,FALSE)</f>
        <v>0</v>
      </c>
      <c r="K659" s="4">
        <f t="shared" si="108"/>
        <v>44652</v>
      </c>
      <c r="L659" s="5">
        <f t="shared" si="109"/>
        <v>4</v>
      </c>
      <c r="M659" s="5">
        <f t="shared" si="110"/>
        <v>2022</v>
      </c>
      <c r="N659" s="6">
        <v>1764</v>
      </c>
      <c r="O659" s="6">
        <f>-N659</f>
        <v>-1764</v>
      </c>
      <c r="P659" s="6">
        <f t="shared" si="102"/>
        <v>0</v>
      </c>
      <c r="Q659" s="7">
        <f t="shared" si="111"/>
        <v>1166488.8500000001</v>
      </c>
      <c r="R659" s="44" t="str">
        <f>VLOOKUP(F659,'Set up'!$A$2:$E$70,5,FALSE)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06"/>
        <v>4</v>
      </c>
      <c r="C660" s="5">
        <f t="shared" si="107"/>
        <v>2022</v>
      </c>
      <c r="D660" s="5" t="s">
        <v>683</v>
      </c>
      <c r="E660" s="5" t="str">
        <f>VLOOKUP(F660,'Set up'!$A$2:$C$70,2,FALSE)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up'!$A$2:$C$70,3,FALSE)</f>
        <v>Cash</v>
      </c>
      <c r="J660" s="5">
        <f>VLOOKUP(F660,'Set up'!$A$2:$D$70,4,FALSE)</f>
        <v>0</v>
      </c>
      <c r="K660" s="4">
        <f t="shared" si="108"/>
        <v>44652</v>
      </c>
      <c r="L660" s="5">
        <f t="shared" si="109"/>
        <v>4</v>
      </c>
      <c r="M660" s="5">
        <f t="shared" si="110"/>
        <v>2022</v>
      </c>
      <c r="N660" s="6">
        <v>936</v>
      </c>
      <c r="O660" s="6">
        <f>-N660</f>
        <v>-936</v>
      </c>
      <c r="P660" s="6">
        <f t="shared" si="102"/>
        <v>0</v>
      </c>
      <c r="Q660" s="7">
        <f t="shared" si="111"/>
        <v>1167424.8500000001</v>
      </c>
      <c r="R660" s="44" t="str">
        <f>VLOOKUP(F660,'Set up'!$A$2:$E$70,5,FALSE)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06"/>
        <v>4</v>
      </c>
      <c r="C661" s="5">
        <f t="shared" si="107"/>
        <v>2022</v>
      </c>
      <c r="D661" s="5" t="s">
        <v>683</v>
      </c>
      <c r="E661" s="5" t="str">
        <f>VLOOKUP(F661,'Set up'!$A$2:$C$70,2,FALSE)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up'!$A$2:$C$70,3,FALSE)</f>
        <v>Cash</v>
      </c>
      <c r="J661" s="5">
        <f>VLOOKUP(F661,'Set up'!$A$2:$D$70,4,FALSE)</f>
        <v>0</v>
      </c>
      <c r="K661" s="4">
        <f t="shared" si="108"/>
        <v>44652</v>
      </c>
      <c r="L661" s="5">
        <f t="shared" si="109"/>
        <v>4</v>
      </c>
      <c r="M661" s="5">
        <f t="shared" si="110"/>
        <v>2022</v>
      </c>
      <c r="N661" s="6">
        <v>187.5</v>
      </c>
      <c r="O661" s="6">
        <f>-64.3-123.2</f>
        <v>-187.5</v>
      </c>
      <c r="P661" s="6">
        <f t="shared" ref="P661:P724" si="113">SUM(N661+O661)</f>
        <v>0</v>
      </c>
      <c r="Q661" s="7">
        <f t="shared" si="111"/>
        <v>1167612.3500000001</v>
      </c>
      <c r="R661" s="44" t="str">
        <f>VLOOKUP(F661,'Set up'!$A$2:$E$70,5,FALSE)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06"/>
        <v>4</v>
      </c>
      <c r="C662" s="5">
        <f t="shared" si="107"/>
        <v>2022</v>
      </c>
      <c r="D662" s="5" t="s">
        <v>684</v>
      </c>
      <c r="E662" s="5" t="str">
        <f>VLOOKUP(F662,'Set up'!$A$2:$C$70,2,FALSE)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up'!$A$2:$C$70,3,FALSE)</f>
        <v>Cash</v>
      </c>
      <c r="J662" s="5">
        <f>VLOOKUP(F662,'Set up'!$A$2:$D$70,4,FALSE)</f>
        <v>0</v>
      </c>
      <c r="K662" s="4">
        <f t="shared" si="108"/>
        <v>44652</v>
      </c>
      <c r="L662" s="5">
        <f t="shared" si="109"/>
        <v>4</v>
      </c>
      <c r="M662" s="5">
        <f t="shared" si="110"/>
        <v>2022</v>
      </c>
      <c r="N662" s="6">
        <v>2112</v>
      </c>
      <c r="O662" s="6">
        <f>-N662</f>
        <v>-2112</v>
      </c>
      <c r="P662" s="6">
        <f t="shared" si="113"/>
        <v>0</v>
      </c>
      <c r="Q662" s="7">
        <f t="shared" si="111"/>
        <v>1169724.3500000001</v>
      </c>
      <c r="R662" s="44" t="str">
        <f>VLOOKUP(F662,'Set up'!$A$2:$E$70,5,FALSE)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06"/>
        <v>4</v>
      </c>
      <c r="C663" s="5">
        <f t="shared" si="107"/>
        <v>2022</v>
      </c>
      <c r="D663" s="5" t="s">
        <v>684</v>
      </c>
      <c r="E663" s="5" t="str">
        <f>VLOOKUP(F663,'Set up'!$A$2:$C$70,2,FALSE)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up'!$A$2:$C$70,3,FALSE)</f>
        <v>Cash</v>
      </c>
      <c r="J663" s="5">
        <f>VLOOKUP(F663,'Set up'!$A$2:$D$70,4,FALSE)</f>
        <v>0</v>
      </c>
      <c r="K663" s="4">
        <f t="shared" si="108"/>
        <v>44652</v>
      </c>
      <c r="L663" s="5">
        <f t="shared" si="109"/>
        <v>4</v>
      </c>
      <c r="M663" s="5">
        <f t="shared" si="110"/>
        <v>2022</v>
      </c>
      <c r="N663" s="6">
        <v>588</v>
      </c>
      <c r="O663" s="6">
        <f>-N663</f>
        <v>-588</v>
      </c>
      <c r="P663" s="6">
        <f t="shared" si="113"/>
        <v>0</v>
      </c>
      <c r="Q663" s="7">
        <f t="shared" si="111"/>
        <v>1170312.3500000001</v>
      </c>
      <c r="R663" s="44" t="str">
        <f>VLOOKUP(F663,'Set up'!$A$2:$E$70,5,FALSE)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06"/>
        <v>4</v>
      </c>
      <c r="C664" s="5">
        <f t="shared" si="107"/>
        <v>2022</v>
      </c>
      <c r="D664" s="5" t="s">
        <v>684</v>
      </c>
      <c r="E664" s="5" t="str">
        <f>VLOOKUP(F664,'Set up'!$A$2:$C$70,2,FALSE)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up'!$A$2:$C$70,3,FALSE)</f>
        <v>Cash</v>
      </c>
      <c r="J664" s="5">
        <f>VLOOKUP(F664,'Set up'!$A$2:$D$70,4,FALSE)</f>
        <v>0</v>
      </c>
      <c r="K664" s="4">
        <f t="shared" si="108"/>
        <v>44652</v>
      </c>
      <c r="L664" s="5">
        <f t="shared" si="109"/>
        <v>4</v>
      </c>
      <c r="M664" s="5">
        <f t="shared" si="110"/>
        <v>2022</v>
      </c>
      <c r="N664" s="6">
        <v>300</v>
      </c>
      <c r="O664" s="6">
        <f>-N664</f>
        <v>-300</v>
      </c>
      <c r="P664" s="6">
        <f t="shared" si="113"/>
        <v>0</v>
      </c>
      <c r="Q664" s="7">
        <f t="shared" si="111"/>
        <v>1170612.3500000001</v>
      </c>
      <c r="R664" s="44" t="str">
        <f>VLOOKUP(F664,'Set up'!$A$2:$E$70,5,FALSE)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06"/>
        <v>4</v>
      </c>
      <c r="C665" s="5">
        <f t="shared" si="107"/>
        <v>2022</v>
      </c>
      <c r="D665" s="5" t="s">
        <v>684</v>
      </c>
      <c r="E665" s="5" t="str">
        <f>VLOOKUP(F665,'Set up'!$A$2:$C$70,2,FALSE)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up'!$A$2:$C$70,3,FALSE)</f>
        <v>Cash</v>
      </c>
      <c r="J665" s="5">
        <f>VLOOKUP(F665,'Set up'!$A$2:$D$70,4,FALSE)</f>
        <v>0</v>
      </c>
      <c r="K665" s="4">
        <f t="shared" si="108"/>
        <v>44652</v>
      </c>
      <c r="L665" s="5">
        <f t="shared" si="109"/>
        <v>4</v>
      </c>
      <c r="M665" s="5">
        <f t="shared" si="110"/>
        <v>2022</v>
      </c>
      <c r="N665" s="6">
        <v>480</v>
      </c>
      <c r="O665" s="6">
        <f>-N665</f>
        <v>-480</v>
      </c>
      <c r="P665" s="6">
        <f t="shared" si="113"/>
        <v>0</v>
      </c>
      <c r="Q665" s="7">
        <f t="shared" si="111"/>
        <v>1171092.3500000001</v>
      </c>
      <c r="R665" s="44" t="str">
        <f>VLOOKUP(F665,'Set up'!$A$2:$E$70,5,FALSE)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06"/>
        <v>4</v>
      </c>
      <c r="C666" s="5">
        <f t="shared" si="107"/>
        <v>2022</v>
      </c>
      <c r="D666" s="5" t="s">
        <v>685</v>
      </c>
      <c r="E666" s="5" t="str">
        <f>VLOOKUP(F666,'Set up'!$A$2:$C$70,2,FALSE)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up'!$A$2:$C$70,3,FALSE)</f>
        <v>Cash</v>
      </c>
      <c r="J666" s="5">
        <f>VLOOKUP(F666,'Set up'!$A$2:$D$70,4,FALSE)</f>
        <v>0</v>
      </c>
      <c r="K666" s="4">
        <f t="shared" si="108"/>
        <v>44656</v>
      </c>
      <c r="L666" s="5">
        <f t="shared" si="109"/>
        <v>4</v>
      </c>
      <c r="M666" s="5">
        <f t="shared" si="110"/>
        <v>2022</v>
      </c>
      <c r="N666" s="6">
        <v>6270</v>
      </c>
      <c r="O666" s="6">
        <f>-2876.8-3393.2</f>
        <v>-6270</v>
      </c>
      <c r="P666" s="6">
        <f t="shared" si="113"/>
        <v>0</v>
      </c>
      <c r="Q666" s="7">
        <f t="shared" si="111"/>
        <v>1177362.3500000001</v>
      </c>
      <c r="R666" s="44" t="str">
        <f>VLOOKUP(F666,'Set up'!$A$2:$E$70,5,FALSE)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06"/>
        <v>4</v>
      </c>
      <c r="C667" s="5">
        <f t="shared" si="107"/>
        <v>2022</v>
      </c>
      <c r="D667" s="5" t="s">
        <v>685</v>
      </c>
      <c r="E667" s="5" t="str">
        <f>VLOOKUP(F667,'Set up'!$A$2:$C$70,2,FALSE)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up'!$A$2:$C$70,3,FALSE)</f>
        <v>Cash</v>
      </c>
      <c r="J667" s="5">
        <f>VLOOKUP(F667,'Set up'!$A$2:$D$70,4,FALSE)</f>
        <v>0</v>
      </c>
      <c r="K667" s="4">
        <f t="shared" si="108"/>
        <v>44656</v>
      </c>
      <c r="L667" s="5">
        <f t="shared" si="109"/>
        <v>4</v>
      </c>
      <c r="M667" s="5">
        <f t="shared" si="110"/>
        <v>2022</v>
      </c>
      <c r="N667" s="6">
        <v>1764</v>
      </c>
      <c r="O667" s="6">
        <f t="shared" ref="O667:O676" si="114">-N667</f>
        <v>-1764</v>
      </c>
      <c r="P667" s="6">
        <f t="shared" si="113"/>
        <v>0</v>
      </c>
      <c r="Q667" s="7">
        <f t="shared" si="111"/>
        <v>1179126.3500000001</v>
      </c>
      <c r="R667" s="44" t="str">
        <f>VLOOKUP(F667,'Set up'!$A$2:$E$70,5,FALSE)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06"/>
        <v>4</v>
      </c>
      <c r="C668" s="5">
        <f t="shared" si="107"/>
        <v>2022</v>
      </c>
      <c r="D668" s="5" t="s">
        <v>685</v>
      </c>
      <c r="E668" s="5" t="str">
        <f>VLOOKUP(F668,'Set up'!$A$2:$C$70,2,FALSE)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up'!$A$2:$C$70,3,FALSE)</f>
        <v>Cash</v>
      </c>
      <c r="J668" s="5">
        <f>VLOOKUP(F668,'Set up'!$A$2:$D$70,4,FALSE)</f>
        <v>0</v>
      </c>
      <c r="K668" s="4">
        <f t="shared" si="108"/>
        <v>44656</v>
      </c>
      <c r="L668" s="5">
        <f t="shared" si="109"/>
        <v>4</v>
      </c>
      <c r="M668" s="5">
        <f t="shared" si="110"/>
        <v>2022</v>
      </c>
      <c r="N668" s="6">
        <v>936</v>
      </c>
      <c r="O668" s="6">
        <f t="shared" si="114"/>
        <v>-936</v>
      </c>
      <c r="P668" s="6">
        <f t="shared" si="113"/>
        <v>0</v>
      </c>
      <c r="Q668" s="7">
        <f t="shared" si="111"/>
        <v>1180062.3500000001</v>
      </c>
      <c r="R668" s="44" t="str">
        <f>VLOOKUP(F668,'Set up'!$A$2:$E$70,5,FALSE)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06"/>
        <v>4</v>
      </c>
      <c r="C669" s="5">
        <f t="shared" si="107"/>
        <v>2022</v>
      </c>
      <c r="D669" s="5" t="s">
        <v>685</v>
      </c>
      <c r="E669" s="5" t="str">
        <f>VLOOKUP(F669,'Set up'!$A$2:$C$70,2,FALSE)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up'!$A$2:$C$70,3,FALSE)</f>
        <v>Cash</v>
      </c>
      <c r="J669" s="5">
        <f>VLOOKUP(F669,'Set up'!$A$2:$D$70,4,FALSE)</f>
        <v>0</v>
      </c>
      <c r="K669" s="4">
        <f t="shared" si="108"/>
        <v>44656</v>
      </c>
      <c r="L669" s="5">
        <f t="shared" si="109"/>
        <v>4</v>
      </c>
      <c r="M669" s="5">
        <f t="shared" si="110"/>
        <v>2022</v>
      </c>
      <c r="N669" s="6">
        <v>187.5</v>
      </c>
      <c r="O669" s="6">
        <f t="shared" si="114"/>
        <v>-187.5</v>
      </c>
      <c r="P669" s="6">
        <f t="shared" si="113"/>
        <v>0</v>
      </c>
      <c r="Q669" s="7">
        <f t="shared" si="111"/>
        <v>1180249.8500000001</v>
      </c>
      <c r="R669" s="44" t="str">
        <f>VLOOKUP(F669,'Set up'!$A$2:$E$70,5,FALSE)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06"/>
        <v>4</v>
      </c>
      <c r="C670" s="5">
        <f t="shared" si="107"/>
        <v>2022</v>
      </c>
      <c r="D670" s="5" t="s">
        <v>685</v>
      </c>
      <c r="E670" s="5" t="str">
        <f>VLOOKUP(F670,'Set up'!$A$2:$C$70,2,FALSE)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up'!$A$2:$C$70,3,FALSE)</f>
        <v>Cash</v>
      </c>
      <c r="J670" s="5">
        <f>VLOOKUP(F670,'Set up'!$A$2:$D$70,4,FALSE)</f>
        <v>0</v>
      </c>
      <c r="K670" s="4">
        <f t="shared" si="108"/>
        <v>44656</v>
      </c>
      <c r="L670" s="5">
        <f t="shared" si="109"/>
        <v>4</v>
      </c>
      <c r="M670" s="5">
        <f t="shared" si="110"/>
        <v>2022</v>
      </c>
      <c r="N670" s="6">
        <v>1000</v>
      </c>
      <c r="O670" s="6">
        <f t="shared" si="114"/>
        <v>-1000</v>
      </c>
      <c r="P670" s="6">
        <f t="shared" si="113"/>
        <v>0</v>
      </c>
      <c r="Q670" s="7">
        <f t="shared" si="111"/>
        <v>1181249.8500000001</v>
      </c>
      <c r="R670" s="44" t="str">
        <f>VLOOKUP(F670,'Set up'!$A$2:$E$70,5,FALSE)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06"/>
        <v>4</v>
      </c>
      <c r="C671" s="5">
        <f t="shared" si="107"/>
        <v>2022</v>
      </c>
      <c r="D671" s="5" t="s">
        <v>685</v>
      </c>
      <c r="E671" s="5" t="str">
        <f>VLOOKUP(F671,'Set up'!$A$2:$C$70,2,FALSE)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up'!$A$2:$C$70,3,FALSE)</f>
        <v>Cash</v>
      </c>
      <c r="J671" s="5">
        <f>VLOOKUP(F671,'Set up'!$A$2:$D$70,4,FALSE)</f>
        <v>0</v>
      </c>
      <c r="K671" s="4">
        <f t="shared" si="108"/>
        <v>44656</v>
      </c>
      <c r="L671" s="5">
        <f t="shared" si="109"/>
        <v>4</v>
      </c>
      <c r="M671" s="5">
        <f t="shared" si="110"/>
        <v>2022</v>
      </c>
      <c r="N671" s="6">
        <v>340</v>
      </c>
      <c r="O671" s="6">
        <f t="shared" si="114"/>
        <v>-340</v>
      </c>
      <c r="P671" s="6">
        <f t="shared" si="113"/>
        <v>0</v>
      </c>
      <c r="Q671" s="7">
        <f t="shared" si="111"/>
        <v>1181589.8500000001</v>
      </c>
      <c r="R671" s="44" t="str">
        <f>VLOOKUP(F671,'Set up'!$A$2:$E$70,5,FALSE)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06"/>
        <v>4</v>
      </c>
      <c r="C672" s="5">
        <f t="shared" si="107"/>
        <v>2022</v>
      </c>
      <c r="D672" s="5" t="s">
        <v>686</v>
      </c>
      <c r="E672" s="5" t="str">
        <f>VLOOKUP(F672,'Set up'!$A$2:$C$70,2,FALSE)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up'!$A$2:$C$70,3,FALSE)</f>
        <v>Cash</v>
      </c>
      <c r="J672" s="5">
        <f>VLOOKUP(F672,'Set up'!$A$2:$D$70,4,FALSE)</f>
        <v>0</v>
      </c>
      <c r="K672" s="4">
        <f t="shared" si="108"/>
        <v>44659</v>
      </c>
      <c r="L672" s="5">
        <f t="shared" si="109"/>
        <v>4</v>
      </c>
      <c r="M672" s="5">
        <f t="shared" si="110"/>
        <v>2022</v>
      </c>
      <c r="N672" s="6">
        <v>4136</v>
      </c>
      <c r="O672" s="6">
        <f t="shared" si="114"/>
        <v>-4136</v>
      </c>
      <c r="P672" s="6">
        <f t="shared" si="113"/>
        <v>0</v>
      </c>
      <c r="Q672" s="7">
        <f t="shared" si="111"/>
        <v>1185725.8500000001</v>
      </c>
      <c r="R672" s="44" t="str">
        <f>VLOOKUP(F672,'Set up'!$A$2:$E$70,5,FALSE)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06"/>
        <v>4</v>
      </c>
      <c r="C673" s="5">
        <f t="shared" si="107"/>
        <v>2022</v>
      </c>
      <c r="D673" s="5" t="s">
        <v>686</v>
      </c>
      <c r="E673" s="5" t="str">
        <f>VLOOKUP(F673,'Set up'!$A$2:$C$70,2,FALSE)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up'!$A$2:$C$70,3,FALSE)</f>
        <v>Cash</v>
      </c>
      <c r="J673" s="5">
        <f>VLOOKUP(F673,'Set up'!$A$2:$D$70,4,FALSE)</f>
        <v>0</v>
      </c>
      <c r="K673" s="4">
        <f t="shared" si="108"/>
        <v>44659</v>
      </c>
      <c r="L673" s="5">
        <f t="shared" si="109"/>
        <v>4</v>
      </c>
      <c r="M673" s="5">
        <f t="shared" si="110"/>
        <v>2022</v>
      </c>
      <c r="N673" s="6">
        <v>1047.5999999999999</v>
      </c>
      <c r="O673" s="6">
        <f t="shared" si="114"/>
        <v>-1047.5999999999999</v>
      </c>
      <c r="P673" s="6">
        <f t="shared" si="113"/>
        <v>0</v>
      </c>
      <c r="Q673" s="7">
        <f t="shared" si="111"/>
        <v>1186773.4500000002</v>
      </c>
      <c r="R673" s="44" t="str">
        <f>VLOOKUP(F673,'Set up'!$A$2:$E$70,5,FALSE)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06"/>
        <v>4</v>
      </c>
      <c r="C674" s="5">
        <f t="shared" si="107"/>
        <v>2022</v>
      </c>
      <c r="D674" s="5" t="s">
        <v>686</v>
      </c>
      <c r="E674" s="5" t="str">
        <f>VLOOKUP(F674,'Set up'!$A$2:$C$70,2,FALSE)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up'!$A$2:$C$70,3,FALSE)</f>
        <v>Cash</v>
      </c>
      <c r="J674" s="5">
        <f>VLOOKUP(F674,'Set up'!$A$2:$D$70,4,FALSE)</f>
        <v>0</v>
      </c>
      <c r="K674" s="4">
        <f t="shared" si="108"/>
        <v>44659</v>
      </c>
      <c r="L674" s="5">
        <f t="shared" si="109"/>
        <v>4</v>
      </c>
      <c r="M674" s="5">
        <f t="shared" si="110"/>
        <v>2022</v>
      </c>
      <c r="N674" s="6">
        <v>187.5</v>
      </c>
      <c r="O674" s="6">
        <f t="shared" si="114"/>
        <v>-187.5</v>
      </c>
      <c r="P674" s="6">
        <f t="shared" si="113"/>
        <v>0</v>
      </c>
      <c r="Q674" s="7">
        <f t="shared" si="111"/>
        <v>1186960.9500000002</v>
      </c>
      <c r="R674" s="44" t="str">
        <f>VLOOKUP(F674,'Set up'!$A$2:$E$70,5,FALSE)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06"/>
        <v>4</v>
      </c>
      <c r="C675" s="5">
        <f t="shared" si="107"/>
        <v>2022</v>
      </c>
      <c r="D675" s="5" t="s">
        <v>686</v>
      </c>
      <c r="E675" s="5" t="str">
        <f>VLOOKUP(F675,'Set up'!$A$2:$C$70,2,FALSE)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up'!$A$2:$C$70,3,FALSE)</f>
        <v>Cash</v>
      </c>
      <c r="J675" s="5">
        <f>VLOOKUP(F675,'Set up'!$A$2:$D$70,4,FALSE)</f>
        <v>0</v>
      </c>
      <c r="K675" s="4">
        <f t="shared" si="108"/>
        <v>44659</v>
      </c>
      <c r="L675" s="5">
        <f t="shared" si="109"/>
        <v>4</v>
      </c>
      <c r="M675" s="5">
        <f t="shared" si="110"/>
        <v>2022</v>
      </c>
      <c r="N675" s="6">
        <v>780</v>
      </c>
      <c r="O675" s="6">
        <f t="shared" si="114"/>
        <v>-780</v>
      </c>
      <c r="P675" s="6">
        <f t="shared" si="113"/>
        <v>0</v>
      </c>
      <c r="Q675" s="7">
        <f t="shared" si="111"/>
        <v>1187740.9500000002</v>
      </c>
      <c r="R675" s="44" t="str">
        <f>VLOOKUP(F675,'Set up'!$A$2:$E$70,5,FALSE)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06"/>
        <v>4</v>
      </c>
      <c r="C676" s="5">
        <f t="shared" si="107"/>
        <v>2022</v>
      </c>
      <c r="D676" s="5" t="s">
        <v>686</v>
      </c>
      <c r="E676" s="5" t="str">
        <f>VLOOKUP(F676,'Set up'!$A$2:$C$70,2,FALSE)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up'!$A$2:$C$70,3,FALSE)</f>
        <v>Cash</v>
      </c>
      <c r="J676" s="5">
        <f>VLOOKUP(F676,'Set up'!$A$2:$D$70,4,FALSE)</f>
        <v>0</v>
      </c>
      <c r="K676" s="4">
        <f t="shared" si="108"/>
        <v>44659</v>
      </c>
      <c r="L676" s="5">
        <f t="shared" si="109"/>
        <v>4</v>
      </c>
      <c r="M676" s="5">
        <f t="shared" si="110"/>
        <v>2022</v>
      </c>
      <c r="N676" s="6">
        <v>210</v>
      </c>
      <c r="O676" s="6">
        <f t="shared" si="114"/>
        <v>-210</v>
      </c>
      <c r="P676" s="6">
        <f t="shared" si="113"/>
        <v>0</v>
      </c>
      <c r="Q676" s="7">
        <f t="shared" si="111"/>
        <v>1187950.9500000002</v>
      </c>
      <c r="R676" s="44" t="str">
        <f>VLOOKUP(F676,'Set up'!$A$2:$E$70,5,FALSE)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06"/>
        <v>4</v>
      </c>
      <c r="C677" s="5">
        <f t="shared" si="107"/>
        <v>2022</v>
      </c>
      <c r="D677" s="5" t="s">
        <v>687</v>
      </c>
      <c r="E677" s="5" t="str">
        <f>VLOOKUP(F677,'Set up'!$A$2:$C$70,2,FALSE)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up'!$A$2:$C$70,3,FALSE)</f>
        <v>45</v>
      </c>
      <c r="J677" s="5">
        <f>VLOOKUP(F677,'Set up'!$A$2:$D$70,4,FALSE)</f>
        <v>45</v>
      </c>
      <c r="K677" s="4">
        <f t="shared" si="108"/>
        <v>44704</v>
      </c>
      <c r="L677" s="5">
        <f t="shared" si="109"/>
        <v>5</v>
      </c>
      <c r="M677" s="5">
        <f t="shared" si="110"/>
        <v>2022</v>
      </c>
      <c r="N677" s="6">
        <v>6336</v>
      </c>
      <c r="O677" s="6">
        <f>-1500-1500-1500-816-1020</f>
        <v>-6336</v>
      </c>
      <c r="P677" s="6">
        <f t="shared" si="113"/>
        <v>0</v>
      </c>
      <c r="Q677" s="7">
        <f t="shared" si="111"/>
        <v>1194286.9500000002</v>
      </c>
      <c r="R677" s="44" t="str">
        <f>VLOOKUP(F677,'Set up'!$A$2:$E$70,5,FALSE)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06"/>
        <v>4</v>
      </c>
      <c r="C678" s="5">
        <f t="shared" si="107"/>
        <v>2022</v>
      </c>
      <c r="D678" s="5" t="s">
        <v>687</v>
      </c>
      <c r="E678" s="5" t="str">
        <f>VLOOKUP(F678,'Set up'!$A$2:$C$70,2,FALSE)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up'!$A$2:$C$70,3,FALSE)</f>
        <v>45</v>
      </c>
      <c r="J678" s="5">
        <f>VLOOKUP(F678,'Set up'!$A$2:$D$70,4,FALSE)</f>
        <v>45</v>
      </c>
      <c r="K678" s="4">
        <f t="shared" si="108"/>
        <v>44704</v>
      </c>
      <c r="L678" s="5">
        <f t="shared" si="109"/>
        <v>5</v>
      </c>
      <c r="M678" s="5">
        <f t="shared" si="110"/>
        <v>2022</v>
      </c>
      <c r="N678" s="6">
        <v>260</v>
      </c>
      <c r="O678" s="6">
        <f>-N678</f>
        <v>-260</v>
      </c>
      <c r="P678" s="6">
        <f t="shared" si="113"/>
        <v>0</v>
      </c>
      <c r="Q678" s="7">
        <f t="shared" si="111"/>
        <v>1194546.9500000002</v>
      </c>
      <c r="R678" s="44" t="str">
        <f>VLOOKUP(F678,'Set up'!$A$2:$E$70,5,FALSE)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06"/>
        <v>4</v>
      </c>
      <c r="C679" s="5">
        <f t="shared" si="107"/>
        <v>2022</v>
      </c>
      <c r="D679" s="5" t="s">
        <v>687</v>
      </c>
      <c r="E679" s="5" t="str">
        <f>VLOOKUP(F679,'Set up'!$A$2:$C$70,2,FALSE)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up'!$A$2:$C$70,3,FALSE)</f>
        <v>45</v>
      </c>
      <c r="J679" s="5">
        <f>VLOOKUP(F679,'Set up'!$A$2:$D$70,4,FALSE)</f>
        <v>45</v>
      </c>
      <c r="K679" s="4">
        <f t="shared" si="108"/>
        <v>44704</v>
      </c>
      <c r="L679" s="5">
        <f t="shared" si="109"/>
        <v>5</v>
      </c>
      <c r="M679" s="5">
        <f t="shared" si="110"/>
        <v>2022</v>
      </c>
      <c r="N679" s="6">
        <v>630</v>
      </c>
      <c r="O679" s="6">
        <f>-N679</f>
        <v>-630</v>
      </c>
      <c r="P679" s="6">
        <f t="shared" si="113"/>
        <v>0</v>
      </c>
      <c r="Q679" s="7">
        <f t="shared" si="111"/>
        <v>1195176.9500000002</v>
      </c>
      <c r="R679" s="44" t="str">
        <f>VLOOKUP(F679,'Set up'!$A$2:$E$70,5,FALSE)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06"/>
        <v>4</v>
      </c>
      <c r="C680" s="5">
        <f t="shared" si="107"/>
        <v>2022</v>
      </c>
      <c r="D680" s="5" t="s">
        <v>687</v>
      </c>
      <c r="E680" s="5" t="str">
        <f>VLOOKUP(F680,'Set up'!$A$2:$C$70,2,FALSE)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up'!$A$2:$C$70,3,FALSE)</f>
        <v>45</v>
      </c>
      <c r="J680" s="5">
        <f>VLOOKUP(F680,'Set up'!$A$2:$D$70,4,FALSE)</f>
        <v>45</v>
      </c>
      <c r="K680" s="4">
        <f t="shared" si="108"/>
        <v>44704</v>
      </c>
      <c r="L680" s="5">
        <f t="shared" si="109"/>
        <v>5</v>
      </c>
      <c r="M680" s="5">
        <f t="shared" si="110"/>
        <v>2022</v>
      </c>
      <c r="N680" s="6">
        <v>90</v>
      </c>
      <c r="O680" s="6">
        <f>-N680</f>
        <v>-90</v>
      </c>
      <c r="P680" s="6">
        <f t="shared" si="113"/>
        <v>0</v>
      </c>
      <c r="Q680" s="7">
        <f t="shared" si="111"/>
        <v>1195266.9500000002</v>
      </c>
      <c r="R680" s="44" t="str">
        <f>VLOOKUP(F680,'Set up'!$A$2:$E$70,5,FALSE)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06"/>
        <v>4</v>
      </c>
      <c r="C681" s="5">
        <f t="shared" si="107"/>
        <v>2022</v>
      </c>
      <c r="D681" s="5" t="s">
        <v>688</v>
      </c>
      <c r="E681" s="5" t="str">
        <f>VLOOKUP(F681,'Set up'!$A$2:$C$70,2,FALSE)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up'!$A$2:$C$70,3,FALSE)</f>
        <v>60</v>
      </c>
      <c r="J681" s="5">
        <f>VLOOKUP(F681,'Set up'!$A$2:$D$70,4,FALSE)</f>
        <v>60</v>
      </c>
      <c r="K681" s="4">
        <f t="shared" si="108"/>
        <v>44720</v>
      </c>
      <c r="L681" s="5">
        <f t="shared" si="109"/>
        <v>6</v>
      </c>
      <c r="M681" s="5">
        <f t="shared" si="110"/>
        <v>2022</v>
      </c>
      <c r="N681" s="6">
        <v>3960</v>
      </c>
      <c r="O681" s="6">
        <f t="shared" ref="O681:O682" si="115">-N681</f>
        <v>-3960</v>
      </c>
      <c r="P681" s="6">
        <f t="shared" si="113"/>
        <v>0</v>
      </c>
      <c r="Q681" s="7">
        <f t="shared" si="111"/>
        <v>1199226.9500000002</v>
      </c>
      <c r="R681" s="44" t="str">
        <f>VLOOKUP(F681,'Set up'!$A$2:$E$70,5,FALSE)</f>
        <v>Chq</v>
      </c>
      <c r="S681" s="1" t="s">
        <v>923</v>
      </c>
    </row>
    <row r="682" spans="1:19" x14ac:dyDescent="0.35">
      <c r="A682" s="4">
        <v>44660</v>
      </c>
      <c r="B682" s="5">
        <f t="shared" si="106"/>
        <v>4</v>
      </c>
      <c r="C682" s="5">
        <f t="shared" si="107"/>
        <v>2022</v>
      </c>
      <c r="D682" s="5" t="s">
        <v>688</v>
      </c>
      <c r="E682" s="5" t="str">
        <f>VLOOKUP(F682,'Set up'!$A$2:$C$70,2,FALSE)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up'!$A$2:$C$70,3,FALSE)</f>
        <v>60</v>
      </c>
      <c r="J682" s="5">
        <f>VLOOKUP(F682,'Set up'!$A$2:$D$70,4,FALSE)</f>
        <v>60</v>
      </c>
      <c r="K682" s="4">
        <f t="shared" si="108"/>
        <v>44720</v>
      </c>
      <c r="L682" s="5">
        <f t="shared" si="109"/>
        <v>6</v>
      </c>
      <c r="M682" s="5">
        <f t="shared" si="110"/>
        <v>2022</v>
      </c>
      <c r="N682" s="6">
        <v>570</v>
      </c>
      <c r="O682" s="6">
        <f t="shared" si="115"/>
        <v>-570</v>
      </c>
      <c r="P682" s="6">
        <f t="shared" si="113"/>
        <v>0</v>
      </c>
      <c r="Q682" s="7">
        <f t="shared" si="111"/>
        <v>1199796.9500000002</v>
      </c>
      <c r="R682" s="44" t="str">
        <f>VLOOKUP(F682,'Set up'!$A$2:$E$70,5,FALSE)</f>
        <v>Chq</v>
      </c>
      <c r="S682" s="1" t="s">
        <v>923</v>
      </c>
    </row>
    <row r="683" spans="1:19" x14ac:dyDescent="0.35">
      <c r="A683" s="4">
        <v>44660</v>
      </c>
      <c r="B683" s="5">
        <f t="shared" si="106"/>
        <v>4</v>
      </c>
      <c r="C683" s="5">
        <f t="shared" si="107"/>
        <v>2022</v>
      </c>
      <c r="D683" s="5" t="s">
        <v>688</v>
      </c>
      <c r="E683" s="5" t="str">
        <f>VLOOKUP(F683,'Set up'!$A$2:$C$70,2,FALSE)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up'!$A$2:$C$70,3,FALSE)</f>
        <v>60</v>
      </c>
      <c r="J683" s="5">
        <f>VLOOKUP(F683,'Set up'!$A$2:$D$70,4,FALSE)</f>
        <v>60</v>
      </c>
      <c r="K683" s="4">
        <f t="shared" si="108"/>
        <v>44720</v>
      </c>
      <c r="L683" s="5">
        <f t="shared" si="109"/>
        <v>6</v>
      </c>
      <c r="M683" s="5">
        <f t="shared" si="110"/>
        <v>2022</v>
      </c>
      <c r="N683" s="6">
        <v>513</v>
      </c>
      <c r="O683" s="6">
        <f>-N683</f>
        <v>-513</v>
      </c>
      <c r="P683" s="6">
        <f t="shared" si="113"/>
        <v>0</v>
      </c>
      <c r="Q683" s="7">
        <f t="shared" si="111"/>
        <v>1200309.9500000002</v>
      </c>
      <c r="R683" s="44" t="str">
        <f>VLOOKUP(F683,'Set up'!$A$2:$E$70,5,FALSE)</f>
        <v>Chq</v>
      </c>
      <c r="S683" s="1" t="s">
        <v>923</v>
      </c>
    </row>
    <row r="684" spans="1:19" x14ac:dyDescent="0.35">
      <c r="A684" s="4">
        <v>44660</v>
      </c>
      <c r="B684" s="5">
        <f t="shared" si="106"/>
        <v>4</v>
      </c>
      <c r="C684" s="5">
        <f t="shared" si="107"/>
        <v>2022</v>
      </c>
      <c r="D684" s="5" t="s">
        <v>689</v>
      </c>
      <c r="E684" s="5" t="str">
        <f>VLOOKUP(F684,'Set up'!$A$2:$C$70,2,FALSE)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up'!$A$2:$C$70,3,FALSE)</f>
        <v>Cash</v>
      </c>
      <c r="J684" s="5">
        <f>VLOOKUP(F684,'Set up'!$A$2:$D$70,4,FALSE)</f>
        <v>0</v>
      </c>
      <c r="K684" s="4">
        <f t="shared" si="108"/>
        <v>44660</v>
      </c>
      <c r="L684" s="5">
        <f t="shared" si="109"/>
        <v>4</v>
      </c>
      <c r="M684" s="5">
        <f t="shared" si="110"/>
        <v>2022</v>
      </c>
      <c r="N684" s="6">
        <v>6270</v>
      </c>
      <c r="O684" s="6">
        <f>-2379.3-3890.7</f>
        <v>-6270</v>
      </c>
      <c r="P684" s="6">
        <f t="shared" si="113"/>
        <v>0</v>
      </c>
      <c r="Q684" s="7">
        <f t="shared" si="111"/>
        <v>1206579.9500000002</v>
      </c>
      <c r="R684" s="44" t="str">
        <f>VLOOKUP(F684,'Set up'!$A$2:$E$70,5,FALSE)</f>
        <v>Trsf</v>
      </c>
      <c r="S684" s="1" t="s">
        <v>965</v>
      </c>
    </row>
    <row r="685" spans="1:19" x14ac:dyDescent="0.35">
      <c r="A685" s="4">
        <v>44660</v>
      </c>
      <c r="B685" s="5">
        <f t="shared" si="106"/>
        <v>4</v>
      </c>
      <c r="C685" s="5">
        <f t="shared" si="107"/>
        <v>2022</v>
      </c>
      <c r="D685" s="5" t="s">
        <v>689</v>
      </c>
      <c r="E685" s="5" t="str">
        <f>VLOOKUP(F685,'Set up'!$A$2:$C$70,2,FALSE)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up'!$A$2:$C$70,3,FALSE)</f>
        <v>Cash</v>
      </c>
      <c r="J685" s="5">
        <f>VLOOKUP(F685,'Set up'!$A$2:$D$70,4,FALSE)</f>
        <v>0</v>
      </c>
      <c r="K685" s="4">
        <f t="shared" si="108"/>
        <v>44660</v>
      </c>
      <c r="L685" s="5">
        <f t="shared" si="109"/>
        <v>4</v>
      </c>
      <c r="M685" s="5">
        <f t="shared" si="110"/>
        <v>2022</v>
      </c>
      <c r="N685" s="6">
        <v>1176</v>
      </c>
      <c r="O685" s="6">
        <f>-N685</f>
        <v>-1176</v>
      </c>
      <c r="P685" s="6">
        <f t="shared" si="113"/>
        <v>0</v>
      </c>
      <c r="Q685" s="7">
        <f t="shared" si="111"/>
        <v>1207755.9500000002</v>
      </c>
      <c r="R685" s="44" t="str">
        <f>VLOOKUP(F685,'Set up'!$A$2:$E$70,5,FALSE)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06"/>
        <v>4</v>
      </c>
      <c r="C686" s="5">
        <f t="shared" si="107"/>
        <v>2022</v>
      </c>
      <c r="D686" s="5" t="s">
        <v>689</v>
      </c>
      <c r="E686" s="5" t="str">
        <f>VLOOKUP(F686,'Set up'!$A$2:$C$70,2,FALSE)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up'!$A$2:$C$70,3,FALSE)</f>
        <v>Cash</v>
      </c>
      <c r="J686" s="5">
        <f>VLOOKUP(F686,'Set up'!$A$2:$D$70,4,FALSE)</f>
        <v>0</v>
      </c>
      <c r="K686" s="4">
        <f t="shared" si="108"/>
        <v>44660</v>
      </c>
      <c r="L686" s="5">
        <f t="shared" si="109"/>
        <v>4</v>
      </c>
      <c r="M686" s="5">
        <f t="shared" si="110"/>
        <v>2022</v>
      </c>
      <c r="N686" s="6">
        <v>936</v>
      </c>
      <c r="O686" s="6">
        <f>-N686</f>
        <v>-936</v>
      </c>
      <c r="P686" s="6">
        <f t="shared" si="113"/>
        <v>0</v>
      </c>
      <c r="Q686" s="7">
        <f t="shared" si="111"/>
        <v>1208691.9500000002</v>
      </c>
      <c r="R686" s="44" t="str">
        <f>VLOOKUP(F686,'Set up'!$A$2:$E$70,5,FALSE)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06"/>
        <v>4</v>
      </c>
      <c r="C687" s="5">
        <f t="shared" si="107"/>
        <v>2022</v>
      </c>
      <c r="D687" s="5" t="s">
        <v>689</v>
      </c>
      <c r="E687" s="5" t="str">
        <f>VLOOKUP(F687,'Set up'!$A$2:$C$70,2,FALSE)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up'!$A$2:$C$70,3,FALSE)</f>
        <v>Cash</v>
      </c>
      <c r="J687" s="5">
        <f>VLOOKUP(F687,'Set up'!$A$2:$D$70,4,FALSE)</f>
        <v>0</v>
      </c>
      <c r="K687" s="4">
        <f t="shared" si="108"/>
        <v>44660</v>
      </c>
      <c r="L687" s="5">
        <f t="shared" si="109"/>
        <v>4</v>
      </c>
      <c r="M687" s="5">
        <f t="shared" si="110"/>
        <v>2022</v>
      </c>
      <c r="N687" s="6">
        <v>187.5</v>
      </c>
      <c r="O687" s="6">
        <f>-N687</f>
        <v>-187.5</v>
      </c>
      <c r="P687" s="6">
        <f t="shared" si="113"/>
        <v>0</v>
      </c>
      <c r="Q687" s="7">
        <f t="shared" si="111"/>
        <v>1208879.4500000002</v>
      </c>
      <c r="R687" s="44" t="str">
        <f>VLOOKUP(F687,'Set up'!$A$2:$E$70,5,FALSE)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06"/>
        <v>4</v>
      </c>
      <c r="C688" s="5">
        <f t="shared" si="107"/>
        <v>2022</v>
      </c>
      <c r="D688" s="5" t="s">
        <v>690</v>
      </c>
      <c r="E688" s="5" t="str">
        <f>VLOOKUP(F688,'Set up'!$A$2:$C$70,2,FALSE)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up'!$A$2:$C$70,3,FALSE)</f>
        <v>Cash</v>
      </c>
      <c r="J688" s="5">
        <f>VLOOKUP(F688,'Set up'!$A$2:$D$70,4,FALSE)</f>
        <v>0</v>
      </c>
      <c r="K688" s="4">
        <f t="shared" si="108"/>
        <v>44660</v>
      </c>
      <c r="L688" s="5">
        <f t="shared" si="109"/>
        <v>4</v>
      </c>
      <c r="M688" s="5">
        <f t="shared" si="110"/>
        <v>2022</v>
      </c>
      <c r="N688" s="6">
        <v>2090</v>
      </c>
      <c r="O688" s="6">
        <f t="shared" ref="O688:O696" si="116">-N688</f>
        <v>-2090</v>
      </c>
      <c r="P688" s="6">
        <f t="shared" si="113"/>
        <v>0</v>
      </c>
      <c r="Q688" s="7">
        <f t="shared" si="111"/>
        <v>1210969.4500000002</v>
      </c>
      <c r="R688" s="44" t="str">
        <f>VLOOKUP(F688,'Set up'!$A$2:$E$70,5,FALSE)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06"/>
        <v>4</v>
      </c>
      <c r="C689" s="5">
        <f t="shared" si="107"/>
        <v>2022</v>
      </c>
      <c r="D689" s="5" t="s">
        <v>690</v>
      </c>
      <c r="E689" s="5" t="str">
        <f>VLOOKUP(F689,'Set up'!$A$2:$C$70,2,FALSE)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up'!$A$2:$C$70,3,FALSE)</f>
        <v>Cash</v>
      </c>
      <c r="J689" s="5">
        <f>VLOOKUP(F689,'Set up'!$A$2:$D$70,4,FALSE)</f>
        <v>0</v>
      </c>
      <c r="K689" s="4">
        <f t="shared" si="108"/>
        <v>44660</v>
      </c>
      <c r="L689" s="5">
        <f t="shared" si="109"/>
        <v>4</v>
      </c>
      <c r="M689" s="5">
        <f t="shared" si="110"/>
        <v>2022</v>
      </c>
      <c r="N689" s="6">
        <v>350</v>
      </c>
      <c r="O689" s="6">
        <f t="shared" si="116"/>
        <v>-350</v>
      </c>
      <c r="P689" s="6">
        <f t="shared" si="113"/>
        <v>0</v>
      </c>
      <c r="Q689" s="7">
        <f t="shared" si="111"/>
        <v>1211319.4500000002</v>
      </c>
      <c r="R689" s="44" t="str">
        <f>VLOOKUP(F689,'Set up'!$A$2:$E$70,5,FALSE)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06"/>
        <v>4</v>
      </c>
      <c r="C690" s="5">
        <f t="shared" si="107"/>
        <v>2022</v>
      </c>
      <c r="D690" s="5" t="s">
        <v>690</v>
      </c>
      <c r="E690" s="5" t="str">
        <f>VLOOKUP(F690,'Set up'!$A$2:$C$70,2,FALSE)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up'!$A$2:$C$70,3,FALSE)</f>
        <v>Cash</v>
      </c>
      <c r="J690" s="5">
        <f>VLOOKUP(F690,'Set up'!$A$2:$D$70,4,FALSE)</f>
        <v>0</v>
      </c>
      <c r="K690" s="4">
        <f t="shared" si="108"/>
        <v>44660</v>
      </c>
      <c r="L690" s="5">
        <f t="shared" si="109"/>
        <v>4</v>
      </c>
      <c r="M690" s="5">
        <f t="shared" si="110"/>
        <v>2022</v>
      </c>
      <c r="N690" s="6">
        <v>294</v>
      </c>
      <c r="O690" s="6">
        <f t="shared" si="116"/>
        <v>-294</v>
      </c>
      <c r="P690" s="6">
        <f t="shared" si="113"/>
        <v>0</v>
      </c>
      <c r="Q690" s="7">
        <f t="shared" si="111"/>
        <v>1211613.4500000002</v>
      </c>
      <c r="R690" s="44" t="str">
        <f>VLOOKUP(F690,'Set up'!$A$2:$E$70,5,FALSE)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06"/>
        <v>4</v>
      </c>
      <c r="C691" s="5">
        <f t="shared" si="107"/>
        <v>2022</v>
      </c>
      <c r="D691" s="5" t="s">
        <v>690</v>
      </c>
      <c r="E691" s="5" t="str">
        <f>VLOOKUP(F691,'Set up'!$A$2:$C$70,2,FALSE)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up'!$A$2:$C$70,3,FALSE)</f>
        <v>Cash</v>
      </c>
      <c r="J691" s="5">
        <f>VLOOKUP(F691,'Set up'!$A$2:$D$70,4,FALSE)</f>
        <v>0</v>
      </c>
      <c r="K691" s="4">
        <f t="shared" si="108"/>
        <v>44660</v>
      </c>
      <c r="L691" s="5">
        <f t="shared" si="109"/>
        <v>4</v>
      </c>
      <c r="M691" s="5">
        <f t="shared" si="110"/>
        <v>2022</v>
      </c>
      <c r="N691" s="6">
        <v>62.5</v>
      </c>
      <c r="O691" s="6">
        <f t="shared" si="116"/>
        <v>-62.5</v>
      </c>
      <c r="P691" s="6">
        <f t="shared" si="113"/>
        <v>0</v>
      </c>
      <c r="Q691" s="7">
        <f t="shared" si="111"/>
        <v>1211675.9500000002</v>
      </c>
      <c r="R691" s="44" t="str">
        <f>VLOOKUP(F691,'Set up'!$A$2:$E$70,5,FALSE)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06"/>
        <v>4</v>
      </c>
      <c r="C692" s="5">
        <f t="shared" si="107"/>
        <v>2022</v>
      </c>
      <c r="D692" s="5" t="s">
        <v>690</v>
      </c>
      <c r="E692" s="5" t="str">
        <f>VLOOKUP(F692,'Set up'!$A$2:$C$70,2,FALSE)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up'!$A$2:$C$70,3,FALSE)</f>
        <v>Cash</v>
      </c>
      <c r="J692" s="5">
        <f>VLOOKUP(F692,'Set up'!$A$2:$D$70,4,FALSE)</f>
        <v>0</v>
      </c>
      <c r="K692" s="4">
        <f t="shared" si="108"/>
        <v>44660</v>
      </c>
      <c r="L692" s="5">
        <f t="shared" si="109"/>
        <v>4</v>
      </c>
      <c r="M692" s="5">
        <f t="shared" si="110"/>
        <v>2022</v>
      </c>
      <c r="N692" s="6">
        <v>1000</v>
      </c>
      <c r="O692" s="6">
        <f t="shared" si="116"/>
        <v>-1000</v>
      </c>
      <c r="P692" s="6">
        <f t="shared" si="113"/>
        <v>0</v>
      </c>
      <c r="Q692" s="7">
        <f t="shared" si="111"/>
        <v>1212675.9500000002</v>
      </c>
      <c r="R692" s="44" t="str">
        <f>VLOOKUP(F692,'Set up'!$A$2:$E$70,5,FALSE)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06"/>
        <v>4</v>
      </c>
      <c r="C693" s="5">
        <f t="shared" si="107"/>
        <v>2022</v>
      </c>
      <c r="D693" s="5" t="s">
        <v>690</v>
      </c>
      <c r="E693" s="5" t="str">
        <f>VLOOKUP(F693,'Set up'!$A$2:$C$70,2,FALSE)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up'!$A$2:$C$70,3,FALSE)</f>
        <v>Cash</v>
      </c>
      <c r="J693" s="5">
        <f>VLOOKUP(F693,'Set up'!$A$2:$D$70,4,FALSE)</f>
        <v>0</v>
      </c>
      <c r="K693" s="4">
        <f t="shared" si="108"/>
        <v>44660</v>
      </c>
      <c r="L693" s="5">
        <f t="shared" si="109"/>
        <v>4</v>
      </c>
      <c r="M693" s="5">
        <f t="shared" si="110"/>
        <v>2022</v>
      </c>
      <c r="N693" s="6">
        <v>85</v>
      </c>
      <c r="O693" s="6">
        <f t="shared" si="116"/>
        <v>-85</v>
      </c>
      <c r="P693" s="6">
        <f t="shared" si="113"/>
        <v>0</v>
      </c>
      <c r="Q693" s="7">
        <f t="shared" si="111"/>
        <v>1212760.9500000002</v>
      </c>
      <c r="R693" s="44" t="str">
        <f>VLOOKUP(F693,'Set up'!$A$2:$E$70,5,FALSE)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06"/>
        <v>4</v>
      </c>
      <c r="C694" s="5">
        <f t="shared" si="107"/>
        <v>2022</v>
      </c>
      <c r="D694" s="5" t="s">
        <v>691</v>
      </c>
      <c r="E694" s="5" t="str">
        <f>VLOOKUP(F694,'Set up'!$A$2:$C$70,2,FALSE)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up'!$A$2:$C$70,3,FALSE)</f>
        <v>Cash</v>
      </c>
      <c r="J694" s="5">
        <f>VLOOKUP(F694,'Set up'!$A$2:$D$70,4,FALSE)</f>
        <v>0</v>
      </c>
      <c r="K694" s="4">
        <f t="shared" si="108"/>
        <v>44663</v>
      </c>
      <c r="L694" s="5">
        <f t="shared" si="109"/>
        <v>4</v>
      </c>
      <c r="M694" s="5">
        <f t="shared" si="110"/>
        <v>2022</v>
      </c>
      <c r="N694" s="6">
        <v>200</v>
      </c>
      <c r="O694" s="6">
        <f t="shared" si="116"/>
        <v>-200</v>
      </c>
      <c r="P694" s="6">
        <f t="shared" si="113"/>
        <v>0</v>
      </c>
      <c r="Q694" s="7">
        <f t="shared" si="111"/>
        <v>1212960.9500000002</v>
      </c>
      <c r="R694" s="44" t="str">
        <f>VLOOKUP(F694,'Set up'!$A$2:$E$70,5,FALSE)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06"/>
        <v>4</v>
      </c>
      <c r="C695" s="5">
        <f t="shared" si="107"/>
        <v>2022</v>
      </c>
      <c r="D695" s="5" t="s">
        <v>691</v>
      </c>
      <c r="E695" s="5" t="str">
        <f>VLOOKUP(F695,'Set up'!$A$2:$C$70,2,FALSE)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up'!$A$2:$C$70,3,FALSE)</f>
        <v>Cash</v>
      </c>
      <c r="J695" s="5">
        <f>VLOOKUP(F695,'Set up'!$A$2:$D$70,4,FALSE)</f>
        <v>0</v>
      </c>
      <c r="K695" s="4">
        <f t="shared" si="108"/>
        <v>44663</v>
      </c>
      <c r="L695" s="5">
        <f t="shared" si="109"/>
        <v>4</v>
      </c>
      <c r="M695" s="5">
        <f t="shared" si="110"/>
        <v>2022</v>
      </c>
      <c r="N695" s="6">
        <v>390</v>
      </c>
      <c r="O695" s="6">
        <f t="shared" si="116"/>
        <v>-390</v>
      </c>
      <c r="P695" s="6">
        <f t="shared" si="113"/>
        <v>0</v>
      </c>
      <c r="Q695" s="7">
        <f t="shared" si="111"/>
        <v>1213350.9500000002</v>
      </c>
      <c r="R695" s="44" t="str">
        <f>VLOOKUP(F695,'Set up'!$A$2:$E$70,5,FALSE)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06"/>
        <v>4</v>
      </c>
      <c r="C696" s="5">
        <f t="shared" si="107"/>
        <v>2022</v>
      </c>
      <c r="D696" s="5" t="s">
        <v>692</v>
      </c>
      <c r="E696" s="5" t="str">
        <f>VLOOKUP(F696,'Set up'!$A$2:$C$70,2,FALSE)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up'!$A$2:$C$70,3,FALSE)</f>
        <v>Cash</v>
      </c>
      <c r="J696" s="5">
        <f>VLOOKUP(F696,'Set up'!$A$2:$D$70,4,FALSE)</f>
        <v>0</v>
      </c>
      <c r="K696" s="4">
        <f t="shared" si="108"/>
        <v>44664</v>
      </c>
      <c r="L696" s="5">
        <f t="shared" si="109"/>
        <v>4</v>
      </c>
      <c r="M696" s="5">
        <f t="shared" si="110"/>
        <v>2022</v>
      </c>
      <c r="N696" s="6">
        <v>588</v>
      </c>
      <c r="O696" s="6">
        <f t="shared" si="116"/>
        <v>-588</v>
      </c>
      <c r="P696" s="6">
        <f t="shared" si="113"/>
        <v>0</v>
      </c>
      <c r="Q696" s="7">
        <f t="shared" si="111"/>
        <v>1213938.9500000002</v>
      </c>
      <c r="R696" s="44" t="str">
        <f>VLOOKUP(F696,'Set up'!$A$2:$E$70,5,FALSE)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06"/>
        <v>4</v>
      </c>
      <c r="C697" s="5">
        <f t="shared" si="107"/>
        <v>2022</v>
      </c>
      <c r="D697" s="5" t="s">
        <v>693</v>
      </c>
      <c r="E697" s="5" t="str">
        <f>VLOOKUP(F697,'Set up'!$A$2:$C$70,2,FALSE)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up'!$A$2:$C$70,3,FALSE)</f>
        <v>Cash</v>
      </c>
      <c r="J697" s="5">
        <f>VLOOKUP(F697,'Set up'!$A$2:$D$70,4,FALSE)</f>
        <v>0</v>
      </c>
      <c r="K697" s="4">
        <f t="shared" si="108"/>
        <v>44664</v>
      </c>
      <c r="L697" s="5">
        <f t="shared" si="109"/>
        <v>4</v>
      </c>
      <c r="M697" s="5">
        <f t="shared" si="110"/>
        <v>2022</v>
      </c>
      <c r="N697" s="6">
        <v>6270</v>
      </c>
      <c r="O697" s="6">
        <f>-3809.8-2460.2</f>
        <v>-6270</v>
      </c>
      <c r="P697" s="6">
        <f t="shared" si="113"/>
        <v>0</v>
      </c>
      <c r="Q697" s="7">
        <f t="shared" si="111"/>
        <v>1220208.9500000002</v>
      </c>
      <c r="R697" s="44" t="str">
        <f>VLOOKUP(F697,'Set up'!$A$2:$E$70,5,FALSE)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06"/>
        <v>4</v>
      </c>
      <c r="C698" s="5">
        <f t="shared" si="107"/>
        <v>2022</v>
      </c>
      <c r="D698" s="5" t="s">
        <v>693</v>
      </c>
      <c r="E698" s="5" t="str">
        <f>VLOOKUP(F698,'Set up'!$A$2:$C$70,2,FALSE)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up'!$A$2:$C$70,3,FALSE)</f>
        <v>Cash</v>
      </c>
      <c r="J698" s="5">
        <f>VLOOKUP(F698,'Set up'!$A$2:$D$70,4,FALSE)</f>
        <v>0</v>
      </c>
      <c r="K698" s="4">
        <f t="shared" si="108"/>
        <v>44664</v>
      </c>
      <c r="L698" s="5">
        <f t="shared" si="109"/>
        <v>4</v>
      </c>
      <c r="M698" s="5">
        <f t="shared" si="110"/>
        <v>2022</v>
      </c>
      <c r="N698" s="6">
        <v>2646</v>
      </c>
      <c r="O698" s="6">
        <f>-1539.8-1106.2</f>
        <v>-2646</v>
      </c>
      <c r="P698" s="6">
        <f t="shared" si="113"/>
        <v>0</v>
      </c>
      <c r="Q698" s="7">
        <f t="shared" si="111"/>
        <v>1222854.9500000002</v>
      </c>
      <c r="R698" s="44" t="str">
        <f>VLOOKUP(F698,'Set up'!$A$2:$E$70,5,FALSE)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06"/>
        <v>4</v>
      </c>
      <c r="C699" s="5">
        <f t="shared" si="107"/>
        <v>2022</v>
      </c>
      <c r="D699" s="5" t="s">
        <v>693</v>
      </c>
      <c r="E699" s="5" t="str">
        <f>VLOOKUP(F699,'Set up'!$A$2:$C$70,2,FALSE)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up'!$A$2:$C$70,3,FALSE)</f>
        <v>Cash</v>
      </c>
      <c r="J699" s="5">
        <f>VLOOKUP(F699,'Set up'!$A$2:$D$70,4,FALSE)</f>
        <v>0</v>
      </c>
      <c r="K699" s="4">
        <f t="shared" si="108"/>
        <v>44664</v>
      </c>
      <c r="L699" s="5">
        <f t="shared" si="109"/>
        <v>4</v>
      </c>
      <c r="M699" s="5">
        <f t="shared" si="110"/>
        <v>2022</v>
      </c>
      <c r="N699" s="6">
        <v>1872</v>
      </c>
      <c r="O699" s="6">
        <f t="shared" ref="O699:O700" si="117">-N699</f>
        <v>-1872</v>
      </c>
      <c r="P699" s="6">
        <f t="shared" si="113"/>
        <v>0</v>
      </c>
      <c r="Q699" s="7">
        <f t="shared" si="111"/>
        <v>1224726.9500000002</v>
      </c>
      <c r="R699" s="44" t="str">
        <f>VLOOKUP(F699,'Set up'!$A$2:$E$70,5,FALSE)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06"/>
        <v>4</v>
      </c>
      <c r="C700" s="5">
        <f t="shared" si="107"/>
        <v>2022</v>
      </c>
      <c r="D700" s="5" t="s">
        <v>693</v>
      </c>
      <c r="E700" s="5" t="str">
        <f>VLOOKUP(F700,'Set up'!$A$2:$C$70,2,FALSE)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up'!$A$2:$C$70,3,FALSE)</f>
        <v>Cash</v>
      </c>
      <c r="J700" s="5">
        <f>VLOOKUP(F700,'Set up'!$A$2:$D$70,4,FALSE)</f>
        <v>0</v>
      </c>
      <c r="K700" s="4">
        <f t="shared" si="108"/>
        <v>44664</v>
      </c>
      <c r="L700" s="5">
        <f t="shared" si="109"/>
        <v>4</v>
      </c>
      <c r="M700" s="5">
        <f t="shared" si="110"/>
        <v>2022</v>
      </c>
      <c r="N700" s="6">
        <v>187.5</v>
      </c>
      <c r="O700" s="6">
        <f t="shared" si="117"/>
        <v>-187.5</v>
      </c>
      <c r="P700" s="6">
        <f t="shared" si="113"/>
        <v>0</v>
      </c>
      <c r="Q700" s="7">
        <f t="shared" si="111"/>
        <v>1224914.4500000002</v>
      </c>
      <c r="R700" s="44" t="str">
        <f>VLOOKUP(F700,'Set up'!$A$2:$E$70,5,FALSE)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06"/>
        <v>4</v>
      </c>
      <c r="C701" s="5">
        <f t="shared" si="107"/>
        <v>2022</v>
      </c>
      <c r="D701" s="5" t="s">
        <v>694</v>
      </c>
      <c r="E701" s="5" t="str">
        <f>VLOOKUP(F701,'Set up'!$A$2:$C$70,2,FALSE)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up'!$A$2:$C$70,3,FALSE)</f>
        <v>Cash</v>
      </c>
      <c r="J701" s="5">
        <f>VLOOKUP(F701,'Set up'!$A$2:$D$70,4,FALSE)</f>
        <v>0</v>
      </c>
      <c r="K701" s="4">
        <f t="shared" si="108"/>
        <v>44665</v>
      </c>
      <c r="L701" s="5">
        <f t="shared" si="109"/>
        <v>4</v>
      </c>
      <c r="M701" s="5">
        <f t="shared" si="110"/>
        <v>2022</v>
      </c>
      <c r="N701" s="6">
        <v>4136</v>
      </c>
      <c r="O701" s="6">
        <f>-N701</f>
        <v>-4136</v>
      </c>
      <c r="P701" s="6">
        <f t="shared" si="113"/>
        <v>0</v>
      </c>
      <c r="Q701" s="7">
        <f t="shared" si="111"/>
        <v>1229050.4500000002</v>
      </c>
      <c r="R701" s="44" t="str">
        <f>VLOOKUP(F701,'Set up'!$A$2:$E$70,5,FALSE)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06"/>
        <v>4</v>
      </c>
      <c r="C702" s="5">
        <f t="shared" si="107"/>
        <v>2022</v>
      </c>
      <c r="D702" s="5" t="s">
        <v>694</v>
      </c>
      <c r="E702" s="5" t="str">
        <f>VLOOKUP(F702,'Set up'!$A$2:$C$70,2,FALSE)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up'!$A$2:$C$70,3,FALSE)</f>
        <v>Cash</v>
      </c>
      <c r="J702" s="5">
        <f>VLOOKUP(F702,'Set up'!$A$2:$D$70,4,FALSE)</f>
        <v>0</v>
      </c>
      <c r="K702" s="4">
        <f t="shared" si="108"/>
        <v>44665</v>
      </c>
      <c r="L702" s="5">
        <f t="shared" si="109"/>
        <v>4</v>
      </c>
      <c r="M702" s="5">
        <f t="shared" si="110"/>
        <v>2022</v>
      </c>
      <c r="N702" s="6">
        <v>1440</v>
      </c>
      <c r="O702" s="6">
        <f>-N702</f>
        <v>-1440</v>
      </c>
      <c r="P702" s="6">
        <f t="shared" si="113"/>
        <v>0</v>
      </c>
      <c r="Q702" s="7">
        <f t="shared" si="111"/>
        <v>1230490.4500000002</v>
      </c>
      <c r="R702" s="44" t="str">
        <f>VLOOKUP(F702,'Set up'!$A$2:$E$70,5,FALSE)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06"/>
        <v>4</v>
      </c>
      <c r="C703" s="5">
        <f t="shared" si="107"/>
        <v>2022</v>
      </c>
      <c r="D703" s="5" t="s">
        <v>694</v>
      </c>
      <c r="E703" s="5" t="str">
        <f>VLOOKUP(F703,'Set up'!$A$2:$C$70,2,FALSE)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up'!$A$2:$C$70,3,FALSE)</f>
        <v>Cash</v>
      </c>
      <c r="J703" s="5">
        <f>VLOOKUP(F703,'Set up'!$A$2:$D$70,4,FALSE)</f>
        <v>0</v>
      </c>
      <c r="K703" s="4">
        <f t="shared" si="108"/>
        <v>44665</v>
      </c>
      <c r="L703" s="5">
        <f t="shared" si="109"/>
        <v>4</v>
      </c>
      <c r="M703" s="5">
        <f t="shared" si="110"/>
        <v>2022</v>
      </c>
      <c r="N703" s="6">
        <v>170</v>
      </c>
      <c r="O703" s="6">
        <f>-N703</f>
        <v>-170</v>
      </c>
      <c r="P703" s="6">
        <f t="shared" si="113"/>
        <v>0</v>
      </c>
      <c r="Q703" s="7">
        <f t="shared" si="111"/>
        <v>1230660.4500000002</v>
      </c>
      <c r="R703" s="44" t="str">
        <f>VLOOKUP(F703,'Set up'!$A$2:$E$70,5,FALSE)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06"/>
        <v>4</v>
      </c>
      <c r="C704" s="5">
        <f t="shared" si="107"/>
        <v>2022</v>
      </c>
      <c r="D704" s="5" t="s">
        <v>695</v>
      </c>
      <c r="E704" s="5" t="str">
        <f>VLOOKUP(F704,'Set up'!$A$2:$C$70,2,FALSE)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up'!$A$2:$C$70,3,FALSE)</f>
        <v>Cash</v>
      </c>
      <c r="J704" s="5">
        <f>VLOOKUP(F704,'Set up'!$A$2:$D$70,4,FALSE)</f>
        <v>0</v>
      </c>
      <c r="K704" s="4">
        <f t="shared" si="108"/>
        <v>44666</v>
      </c>
      <c r="L704" s="5">
        <f t="shared" si="109"/>
        <v>4</v>
      </c>
      <c r="M704" s="5">
        <f t="shared" si="110"/>
        <v>2022</v>
      </c>
      <c r="N704" s="6">
        <v>2090</v>
      </c>
      <c r="O704" s="6">
        <f>-N704</f>
        <v>-2090</v>
      </c>
      <c r="P704" s="6">
        <f t="shared" si="113"/>
        <v>0</v>
      </c>
      <c r="Q704" s="7">
        <f t="shared" si="111"/>
        <v>1232750.4500000002</v>
      </c>
      <c r="R704" s="44" t="str">
        <f>VLOOKUP(F704,'Set up'!$A$2:$E$70,5,FALSE)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06"/>
        <v>4</v>
      </c>
      <c r="C705" s="5">
        <f t="shared" si="107"/>
        <v>2022</v>
      </c>
      <c r="D705" s="5" t="s">
        <v>695</v>
      </c>
      <c r="E705" s="5" t="str">
        <f>VLOOKUP(F705,'Set up'!$A$2:$C$70,2,FALSE)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up'!$A$2:$C$70,3,FALSE)</f>
        <v>Cash</v>
      </c>
      <c r="J705" s="5">
        <f>VLOOKUP(F705,'Set up'!$A$2:$D$70,4,FALSE)</f>
        <v>0</v>
      </c>
      <c r="K705" s="4">
        <f t="shared" si="108"/>
        <v>44666</v>
      </c>
      <c r="L705" s="5">
        <f t="shared" si="109"/>
        <v>4</v>
      </c>
      <c r="M705" s="5">
        <f t="shared" si="110"/>
        <v>2022</v>
      </c>
      <c r="N705" s="6">
        <v>85</v>
      </c>
      <c r="O705" s="6">
        <f>-N705</f>
        <v>-85</v>
      </c>
      <c r="P705" s="6">
        <f t="shared" si="113"/>
        <v>0</v>
      </c>
      <c r="Q705" s="7">
        <f t="shared" si="111"/>
        <v>1232835.4500000002</v>
      </c>
      <c r="R705" s="44" t="str">
        <f>VLOOKUP(F705,'Set up'!$A$2:$E$70,5,FALSE)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06"/>
        <v>4</v>
      </c>
      <c r="C706" s="5">
        <f t="shared" si="107"/>
        <v>2022</v>
      </c>
      <c r="D706" s="5" t="s">
        <v>696</v>
      </c>
      <c r="E706" s="5" t="str">
        <f>VLOOKUP(F706,'Set up'!$A$2:$C$70,2,FALSE)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up'!$A$2:$C$70,3,FALSE)</f>
        <v>Cash</v>
      </c>
      <c r="J706" s="5">
        <f>VLOOKUP(F706,'Set up'!$A$2:$D$70,4,FALSE)</f>
        <v>0</v>
      </c>
      <c r="K706" s="4">
        <f t="shared" si="108"/>
        <v>44667</v>
      </c>
      <c r="L706" s="5">
        <f t="shared" si="109"/>
        <v>4</v>
      </c>
      <c r="M706" s="5">
        <f t="shared" si="110"/>
        <v>2022</v>
      </c>
      <c r="N706" s="6">
        <v>6270</v>
      </c>
      <c r="O706" s="6">
        <f t="shared" ref="O706:O709" si="118">-N706</f>
        <v>-6270</v>
      </c>
      <c r="P706" s="6">
        <f t="shared" si="113"/>
        <v>0</v>
      </c>
      <c r="Q706" s="7">
        <f t="shared" si="111"/>
        <v>1239105.4500000002</v>
      </c>
      <c r="R706" s="44" t="str">
        <f>VLOOKUP(F706,'Set up'!$A$2:$E$70,5,FALSE)</f>
        <v>Trsf</v>
      </c>
      <c r="S706" s="1" t="s">
        <v>970</v>
      </c>
    </row>
    <row r="707" spans="1:19" x14ac:dyDescent="0.35">
      <c r="A707" s="4">
        <v>44667</v>
      </c>
      <c r="B707" s="5">
        <f t="shared" ref="B707:B770" si="119">MONTH(A707)</f>
        <v>4</v>
      </c>
      <c r="C707" s="5">
        <f t="shared" ref="C707:C770" si="120">YEAR(A707)</f>
        <v>2022</v>
      </c>
      <c r="D707" s="5" t="s">
        <v>696</v>
      </c>
      <c r="E707" s="5" t="str">
        <f>VLOOKUP(F707,'Set up'!$A$2:$C$70,2,FALSE)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up'!$A$2:$C$70,3,FALSE)</f>
        <v>Cash</v>
      </c>
      <c r="J707" s="5">
        <f>VLOOKUP(F707,'Set up'!$A$2:$D$70,4,FALSE)</f>
        <v>0</v>
      </c>
      <c r="K707" s="4">
        <f t="shared" ref="K707:K770" si="121">A707+J707</f>
        <v>44667</v>
      </c>
      <c r="L707" s="5">
        <f t="shared" ref="L707:L770" si="122">MONTH(K707)</f>
        <v>4</v>
      </c>
      <c r="M707" s="5">
        <f t="shared" ref="M707:M770" si="123">YEAR(K707)</f>
        <v>2022</v>
      </c>
      <c r="N707" s="6">
        <v>2058</v>
      </c>
      <c r="O707" s="6">
        <f>-N707</f>
        <v>-2058</v>
      </c>
      <c r="P707" s="6">
        <f t="shared" si="113"/>
        <v>0</v>
      </c>
      <c r="Q707" s="7">
        <f t="shared" ref="Q707:Q770" si="124">SUM(Q706+N707)</f>
        <v>1241163.4500000002</v>
      </c>
      <c r="R707" s="44" t="str">
        <f>VLOOKUP(F707,'Set up'!$A$2:$E$70,5,FALSE)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19"/>
        <v>4</v>
      </c>
      <c r="C708" s="5">
        <f t="shared" si="120"/>
        <v>2022</v>
      </c>
      <c r="D708" s="5" t="s">
        <v>696</v>
      </c>
      <c r="E708" s="5" t="str">
        <f>VLOOKUP(F708,'Set up'!$A$2:$C$70,2,FALSE)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up'!$A$2:$C$70,3,FALSE)</f>
        <v>Cash</v>
      </c>
      <c r="J708" s="5">
        <f>VLOOKUP(F708,'Set up'!$A$2:$D$70,4,FALSE)</f>
        <v>0</v>
      </c>
      <c r="K708" s="4">
        <f t="shared" si="121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18"/>
        <v>-1248</v>
      </c>
      <c r="P708" s="6">
        <f t="shared" si="113"/>
        <v>0</v>
      </c>
      <c r="Q708" s="7">
        <f t="shared" si="124"/>
        <v>1242411.4500000002</v>
      </c>
      <c r="R708" s="44" t="str">
        <f>VLOOKUP(F708,'Set up'!$A$2:$E$70,5,FALSE)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19"/>
        <v>4</v>
      </c>
      <c r="C709" s="5">
        <f t="shared" si="120"/>
        <v>2022</v>
      </c>
      <c r="D709" s="5" t="s">
        <v>696</v>
      </c>
      <c r="E709" s="5" t="str">
        <f>VLOOKUP(F709,'Set up'!$A$2:$C$70,2,FALSE)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up'!$A$2:$C$70,3,FALSE)</f>
        <v>Cash</v>
      </c>
      <c r="J709" s="5">
        <f>VLOOKUP(F709,'Set up'!$A$2:$D$70,4,FALSE)</f>
        <v>0</v>
      </c>
      <c r="K709" s="4">
        <f t="shared" si="121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18"/>
        <v>-187.5</v>
      </c>
      <c r="P709" s="6">
        <f t="shared" si="113"/>
        <v>0</v>
      </c>
      <c r="Q709" s="7">
        <f t="shared" si="124"/>
        <v>1242598.9500000002</v>
      </c>
      <c r="R709" s="44" t="str">
        <f>VLOOKUP(F709,'Set up'!$A$2:$E$70,5,FALSE)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19"/>
        <v>4</v>
      </c>
      <c r="C710" s="5">
        <f t="shared" si="120"/>
        <v>2022</v>
      </c>
      <c r="D710" s="5" t="s">
        <v>696</v>
      </c>
      <c r="E710" s="5" t="str">
        <f>VLOOKUP(F710,'Set up'!$A$2:$C$70,2,FALSE)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up'!$A$2:$C$70,3,FALSE)</f>
        <v>Cash</v>
      </c>
      <c r="J710" s="5">
        <f>VLOOKUP(F710,'Set up'!$A$2:$D$70,4,FALSE)</f>
        <v>0</v>
      </c>
      <c r="K710" s="4">
        <f t="shared" si="121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3"/>
        <v>0</v>
      </c>
      <c r="Q710" s="7">
        <f t="shared" si="124"/>
        <v>1242938.9500000002</v>
      </c>
      <c r="R710" s="44" t="str">
        <f>VLOOKUP(F710,'Set up'!$A$2:$E$70,5,FALSE)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19"/>
        <v>4</v>
      </c>
      <c r="C711" s="5">
        <f t="shared" si="120"/>
        <v>2022</v>
      </c>
      <c r="D711" s="5" t="s">
        <v>697</v>
      </c>
      <c r="E711" s="5" t="str">
        <f>VLOOKUP(F711,'Set up'!$A$2:$C$70,2,FALSE)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up'!$A$2:$C$70,3,FALSE)</f>
        <v>Cash</v>
      </c>
      <c r="J711" s="5">
        <f>VLOOKUP(F711,'Set up'!$A$2:$D$70,4,FALSE)</f>
        <v>0</v>
      </c>
      <c r="K711" s="4">
        <f t="shared" si="121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3"/>
        <v>0</v>
      </c>
      <c r="Q711" s="7">
        <f t="shared" si="124"/>
        <v>1253388.9500000002</v>
      </c>
      <c r="R711" s="44" t="str">
        <f>VLOOKUP(F711,'Set up'!$A$2:$E$70,5,FALSE)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19"/>
        <v>4</v>
      </c>
      <c r="C712" s="5">
        <f t="shared" si="120"/>
        <v>2022</v>
      </c>
      <c r="D712" s="5" t="s">
        <v>697</v>
      </c>
      <c r="E712" s="5" t="str">
        <f>VLOOKUP(F712,'Set up'!$A$2:$C$70,2,FALSE)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up'!$A$2:$C$70,3,FALSE)</f>
        <v>Cash</v>
      </c>
      <c r="J712" s="5">
        <f>VLOOKUP(F712,'Set up'!$A$2:$D$70,4,FALSE)</f>
        <v>0</v>
      </c>
      <c r="K712" s="4">
        <f t="shared" si="121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3"/>
        <v>0</v>
      </c>
      <c r="Q712" s="7">
        <f t="shared" si="124"/>
        <v>1256034.9500000002</v>
      </c>
      <c r="R712" s="44" t="str">
        <f>VLOOKUP(F712,'Set up'!$A$2:$E$70,5,FALSE)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19"/>
        <v>4</v>
      </c>
      <c r="C713" s="5">
        <f t="shared" si="120"/>
        <v>2022</v>
      </c>
      <c r="D713" s="5" t="s">
        <v>697</v>
      </c>
      <c r="E713" s="5" t="str">
        <f>VLOOKUP(F713,'Set up'!$A$2:$C$70,2,FALSE)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up'!$A$2:$C$70,3,FALSE)</f>
        <v>Cash</v>
      </c>
      <c r="J713" s="5">
        <f>VLOOKUP(F713,'Set up'!$A$2:$D$70,4,FALSE)</f>
        <v>0</v>
      </c>
      <c r="K713" s="4">
        <f t="shared" si="121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3"/>
        <v>0</v>
      </c>
      <c r="Q713" s="7">
        <f t="shared" si="124"/>
        <v>1256714.9500000002</v>
      </c>
      <c r="R713" s="44" t="str">
        <f>VLOOKUP(F713,'Set up'!$A$2:$E$70,5,FALSE)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19"/>
        <v>4</v>
      </c>
      <c r="C714" s="5">
        <f t="shared" si="120"/>
        <v>2022</v>
      </c>
      <c r="D714" s="5" t="s">
        <v>697</v>
      </c>
      <c r="E714" s="5" t="str">
        <f>VLOOKUP(F714,'Set up'!$A$2:$C$70,2,FALSE)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up'!$A$2:$C$70,3,FALSE)</f>
        <v>Cash</v>
      </c>
      <c r="J714" s="5">
        <f>VLOOKUP(F714,'Set up'!$A$2:$D$70,4,FALSE)</f>
        <v>0</v>
      </c>
      <c r="K714" s="4">
        <f t="shared" si="121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3"/>
        <v>0</v>
      </c>
      <c r="Q714" s="7">
        <f t="shared" si="124"/>
        <v>1257027.4500000002</v>
      </c>
      <c r="R714" s="44" t="str">
        <f>VLOOKUP(F714,'Set up'!$A$2:$E$70,5,FALSE)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19"/>
        <v>4</v>
      </c>
      <c r="C715" s="5">
        <f t="shared" si="120"/>
        <v>2022</v>
      </c>
      <c r="D715" s="5" t="s">
        <v>698</v>
      </c>
      <c r="E715" s="5" t="str">
        <f>VLOOKUP(F715,'Set up'!$A$2:$C$70,2,FALSE)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up'!$A$2:$C$70,3,FALSE)</f>
        <v>Cash</v>
      </c>
      <c r="J715" s="5">
        <f>VLOOKUP(F715,'Set up'!$A$2:$D$70,4,FALSE)</f>
        <v>0</v>
      </c>
      <c r="K715" s="4">
        <f t="shared" si="121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25">-N715</f>
        <v>-1000</v>
      </c>
      <c r="P715" s="6">
        <f t="shared" si="113"/>
        <v>0</v>
      </c>
      <c r="Q715" s="7">
        <f t="shared" si="124"/>
        <v>1258027.4500000002</v>
      </c>
      <c r="R715" s="44" t="str">
        <f>VLOOKUP(F715,'Set up'!$A$2:$E$70,5,FALSE)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19"/>
        <v>4</v>
      </c>
      <c r="C716" s="5">
        <f t="shared" si="120"/>
        <v>2022</v>
      </c>
      <c r="D716" s="5" t="s">
        <v>698</v>
      </c>
      <c r="E716" s="5" t="str">
        <f>VLOOKUP(F716,'Set up'!$A$2:$C$70,2,FALSE)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up'!$A$2:$C$70,3,FALSE)</f>
        <v>Cash</v>
      </c>
      <c r="J716" s="5">
        <f>VLOOKUP(F716,'Set up'!$A$2:$D$70,4,FALSE)</f>
        <v>0</v>
      </c>
      <c r="K716" s="4">
        <f t="shared" si="121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25"/>
        <v>-1764</v>
      </c>
      <c r="P716" s="6">
        <f t="shared" si="113"/>
        <v>0</v>
      </c>
      <c r="Q716" s="7">
        <f t="shared" si="124"/>
        <v>1259791.4500000002</v>
      </c>
      <c r="R716" s="44" t="str">
        <f>VLOOKUP(F716,'Set up'!$A$2:$E$70,5,FALSE)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19"/>
        <v>4</v>
      </c>
      <c r="C717" s="5">
        <f t="shared" si="120"/>
        <v>2022</v>
      </c>
      <c r="D717" s="5" t="s">
        <v>698</v>
      </c>
      <c r="E717" s="5" t="str">
        <f>VLOOKUP(F717,'Set up'!$A$2:$C$70,2,FALSE)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up'!$A$2:$C$70,3,FALSE)</f>
        <v>Cash</v>
      </c>
      <c r="J717" s="5">
        <f>VLOOKUP(F717,'Set up'!$A$2:$D$70,4,FALSE)</f>
        <v>0</v>
      </c>
      <c r="K717" s="4">
        <f t="shared" si="121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25"/>
        <v>-312</v>
      </c>
      <c r="P717" s="6">
        <f t="shared" si="113"/>
        <v>0</v>
      </c>
      <c r="Q717" s="7">
        <f t="shared" si="124"/>
        <v>1260103.4500000002</v>
      </c>
      <c r="R717" s="44" t="str">
        <f>VLOOKUP(F717,'Set up'!$A$2:$E$70,5,FALSE)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19"/>
        <v>4</v>
      </c>
      <c r="C718" s="5">
        <f t="shared" si="120"/>
        <v>2022</v>
      </c>
      <c r="D718" s="5" t="s">
        <v>699</v>
      </c>
      <c r="E718" s="5" t="str">
        <f>VLOOKUP(F718,'Set up'!$A$2:$C$70,2,FALSE)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up'!$A$2:$C$70,3,FALSE)</f>
        <v>Cash</v>
      </c>
      <c r="J718" s="5">
        <f>VLOOKUP(F718,'Set up'!$A$2:$D$70,4,FALSE)</f>
        <v>0</v>
      </c>
      <c r="K718" s="4">
        <f t="shared" si="121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3"/>
        <v>0</v>
      </c>
      <c r="Q718" s="7">
        <f t="shared" si="124"/>
        <v>1260803.4500000002</v>
      </c>
      <c r="R718" s="44" t="str">
        <f>VLOOKUP(F718,'Set up'!$A$2:$E$70,5,FALSE)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19"/>
        <v>4</v>
      </c>
      <c r="C719" s="5">
        <f t="shared" si="120"/>
        <v>2022</v>
      </c>
      <c r="D719" s="5" t="s">
        <v>699</v>
      </c>
      <c r="E719" s="5" t="str">
        <f>VLOOKUP(F719,'Set up'!$A$2:$C$70,2,FALSE)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up'!$A$2:$C$70,3,FALSE)</f>
        <v>Cash</v>
      </c>
      <c r="J719" s="5">
        <f>VLOOKUP(F719,'Set up'!$A$2:$D$70,4,FALSE)</f>
        <v>0</v>
      </c>
      <c r="K719" s="4">
        <f t="shared" si="121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3"/>
        <v>0</v>
      </c>
      <c r="Q719" s="7">
        <f t="shared" si="124"/>
        <v>1261118.4500000002</v>
      </c>
      <c r="R719" s="44" t="str">
        <f>VLOOKUP(F719,'Set up'!$A$2:$E$70,5,FALSE)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19"/>
        <v>4</v>
      </c>
      <c r="C720" s="5">
        <f t="shared" si="120"/>
        <v>2022</v>
      </c>
      <c r="D720" s="5" t="s">
        <v>699</v>
      </c>
      <c r="E720" s="5" t="str">
        <f>VLOOKUP(F720,'Set up'!$A$2:$C$70,2,FALSE)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up'!$A$2:$C$70,3,FALSE)</f>
        <v>Cash</v>
      </c>
      <c r="J720" s="5">
        <f>VLOOKUP(F720,'Set up'!$A$2:$D$70,4,FALSE)</f>
        <v>0</v>
      </c>
      <c r="K720" s="4">
        <f t="shared" si="121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3"/>
        <v>0</v>
      </c>
      <c r="Q720" s="7">
        <f t="shared" si="124"/>
        <v>1261208.4500000002</v>
      </c>
      <c r="R720" s="44" t="str">
        <f>VLOOKUP(F720,'Set up'!$A$2:$E$70,5,FALSE)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19"/>
        <v>4</v>
      </c>
      <c r="C721" s="5">
        <f t="shared" si="120"/>
        <v>2022</v>
      </c>
      <c r="D721" s="5" t="s">
        <v>699</v>
      </c>
      <c r="E721" s="5" t="str">
        <f>VLOOKUP(F721,'Set up'!$A$2:$C$70,2,FALSE)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up'!$A$2:$C$70,3,FALSE)</f>
        <v>Cash</v>
      </c>
      <c r="J721" s="5">
        <f>VLOOKUP(F721,'Set up'!$A$2:$D$70,4,FALSE)</f>
        <v>0</v>
      </c>
      <c r="K721" s="4">
        <f t="shared" si="121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3"/>
        <v>0</v>
      </c>
      <c r="Q721" s="7">
        <f t="shared" si="124"/>
        <v>1261273.4500000002</v>
      </c>
      <c r="R721" s="44" t="str">
        <f>VLOOKUP(F721,'Set up'!$A$2:$E$70,5,FALSE)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19"/>
        <v>4</v>
      </c>
      <c r="C722" s="5">
        <f t="shared" si="120"/>
        <v>2022</v>
      </c>
      <c r="D722" s="5" t="s">
        <v>700</v>
      </c>
      <c r="E722" s="5" t="str">
        <f>VLOOKUP(F722,'Set up'!$A$2:$C$70,2,FALSE)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up'!$A$2:$C$70,3,FALSE)</f>
        <v>120</v>
      </c>
      <c r="J722" s="5">
        <f>VLOOKUP(F722,'Set up'!$A$2:$D$70,4,FALSE)</f>
        <v>120</v>
      </c>
      <c r="K722" s="4">
        <f t="shared" si="121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26">-N722</f>
        <v>-10120</v>
      </c>
      <c r="P722" s="6">
        <f t="shared" si="113"/>
        <v>0</v>
      </c>
      <c r="Q722" s="7">
        <f t="shared" si="124"/>
        <v>1271393.4500000002</v>
      </c>
      <c r="R722" s="44" t="str">
        <f>VLOOKUP(F722,'Set up'!$A$2:$E$70,5,FALSE)</f>
        <v>Chq</v>
      </c>
      <c r="S722" s="1" t="s">
        <v>916</v>
      </c>
    </row>
    <row r="723" spans="1:19" x14ac:dyDescent="0.35">
      <c r="A723" s="4">
        <v>44672</v>
      </c>
      <c r="B723" s="5">
        <f t="shared" si="119"/>
        <v>4</v>
      </c>
      <c r="C723" s="5">
        <f t="shared" si="120"/>
        <v>2022</v>
      </c>
      <c r="D723" s="5" t="s">
        <v>700</v>
      </c>
      <c r="E723" s="5" t="str">
        <f>VLOOKUP(F723,'Set up'!$A$2:$C$70,2,FALSE)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up'!$A$2:$C$70,3,FALSE)</f>
        <v>120</v>
      </c>
      <c r="J723" s="5">
        <f>VLOOKUP(F723,'Set up'!$A$2:$D$70,4,FALSE)</f>
        <v>120</v>
      </c>
      <c r="K723" s="4">
        <f t="shared" si="121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26"/>
        <v>-2024</v>
      </c>
      <c r="P723" s="6">
        <f t="shared" si="113"/>
        <v>0</v>
      </c>
      <c r="Q723" s="7">
        <f t="shared" si="124"/>
        <v>1273417.4500000002</v>
      </c>
      <c r="R723" s="44" t="str">
        <f>VLOOKUP(F723,'Set up'!$A$2:$E$70,5,FALSE)</f>
        <v>Chq</v>
      </c>
      <c r="S723" s="1" t="s">
        <v>916</v>
      </c>
    </row>
    <row r="724" spans="1:19" x14ac:dyDescent="0.35">
      <c r="A724" s="4">
        <v>44672</v>
      </c>
      <c r="B724" s="5">
        <f t="shared" si="119"/>
        <v>4</v>
      </c>
      <c r="C724" s="5">
        <f t="shared" si="120"/>
        <v>2022</v>
      </c>
      <c r="D724" s="5" t="s">
        <v>700</v>
      </c>
      <c r="E724" s="5" t="str">
        <f>VLOOKUP(F724,'Set up'!$A$2:$C$70,2,FALSE)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up'!$A$2:$C$70,3,FALSE)</f>
        <v>120</v>
      </c>
      <c r="J724" s="5">
        <f>VLOOKUP(F724,'Set up'!$A$2:$D$70,4,FALSE)</f>
        <v>120</v>
      </c>
      <c r="K724" s="4">
        <f t="shared" si="121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26"/>
        <v>-1539</v>
      </c>
      <c r="P724" s="6">
        <f t="shared" si="113"/>
        <v>0</v>
      </c>
      <c r="Q724" s="7">
        <f t="shared" si="124"/>
        <v>1274956.4500000002</v>
      </c>
      <c r="R724" s="44" t="str">
        <f>VLOOKUP(F724,'Set up'!$A$2:$E$70,5,FALSE)</f>
        <v>Chq</v>
      </c>
      <c r="S724" s="1" t="s">
        <v>916</v>
      </c>
    </row>
    <row r="725" spans="1:19" x14ac:dyDescent="0.35">
      <c r="A725" s="4">
        <v>44672</v>
      </c>
      <c r="B725" s="5">
        <f t="shared" si="119"/>
        <v>4</v>
      </c>
      <c r="C725" s="5">
        <f t="shared" si="120"/>
        <v>2022</v>
      </c>
      <c r="D725" s="5" t="s">
        <v>700</v>
      </c>
      <c r="E725" s="5" t="str">
        <f>VLOOKUP(F725,'Set up'!$A$2:$C$70,2,FALSE)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up'!$A$2:$C$70,3,FALSE)</f>
        <v>120</v>
      </c>
      <c r="J725" s="5">
        <f>VLOOKUP(F725,'Set up'!$A$2:$D$70,4,FALSE)</f>
        <v>120</v>
      </c>
      <c r="K725" s="4">
        <f t="shared" si="121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26"/>
        <v>-1539</v>
      </c>
      <c r="P725" s="6">
        <f t="shared" ref="P725:P788" si="127">SUM(N725+O725)</f>
        <v>0</v>
      </c>
      <c r="Q725" s="7">
        <f t="shared" si="124"/>
        <v>1276495.4500000002</v>
      </c>
      <c r="R725" s="44" t="str">
        <f>VLOOKUP(F725,'Set up'!$A$2:$E$70,5,FALSE)</f>
        <v>Chq</v>
      </c>
      <c r="S725" s="1" t="s">
        <v>916</v>
      </c>
    </row>
    <row r="726" spans="1:19" x14ac:dyDescent="0.35">
      <c r="A726" s="4">
        <v>44672</v>
      </c>
      <c r="B726" s="5">
        <f t="shared" si="119"/>
        <v>4</v>
      </c>
      <c r="C726" s="5">
        <f t="shared" si="120"/>
        <v>2022</v>
      </c>
      <c r="D726" s="5" t="s">
        <v>701</v>
      </c>
      <c r="E726" s="5" t="str">
        <f>VLOOKUP(F726,'Set up'!$A$2:$C$70,2,FALSE)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up'!$A$2:$C$70,3,FALSE)</f>
        <v>Cash</v>
      </c>
      <c r="J726" s="5">
        <f>VLOOKUP(F726,'Set up'!$A$2:$D$70,4,FALSE)</f>
        <v>0</v>
      </c>
      <c r="K726" s="4">
        <f t="shared" si="121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27"/>
        <v>0</v>
      </c>
      <c r="Q726" s="7">
        <f t="shared" si="124"/>
        <v>1276563.4500000002</v>
      </c>
      <c r="R726" s="44" t="str">
        <f>VLOOKUP(F726,'Set up'!$A$2:$E$70,5,FALSE)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19"/>
        <v>4</v>
      </c>
      <c r="C727" s="5">
        <f t="shared" si="120"/>
        <v>2022</v>
      </c>
      <c r="D727" s="5" t="s">
        <v>715</v>
      </c>
      <c r="E727" s="5" t="str">
        <f>VLOOKUP(F727,'Set up'!$A$2:$C$70,2,FALSE)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up'!$A$2:$C$70,3,FALSE)</f>
        <v>Cash</v>
      </c>
      <c r="J727" s="5">
        <f>VLOOKUP(F727,'Set up'!$A$2:$D$70,4,FALSE)</f>
        <v>0</v>
      </c>
      <c r="K727" s="4">
        <f t="shared" si="121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27"/>
        <v>0</v>
      </c>
      <c r="Q727" s="7">
        <f t="shared" si="124"/>
        <v>1278631.4500000002</v>
      </c>
      <c r="R727" s="44" t="str">
        <f>VLOOKUP(F727,'Set up'!$A$2:$E$70,5,FALSE)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19"/>
        <v>4</v>
      </c>
      <c r="C728" s="5">
        <f t="shared" si="120"/>
        <v>2022</v>
      </c>
      <c r="D728" s="5" t="s">
        <v>715</v>
      </c>
      <c r="E728" s="5" t="str">
        <f>VLOOKUP(F728,'Set up'!$A$2:$C$70,2,FALSE)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up'!$A$2:$C$70,3,FALSE)</f>
        <v>Cash</v>
      </c>
      <c r="J728" s="5">
        <f>VLOOKUP(F728,'Set up'!$A$2:$D$70,4,FALSE)</f>
        <v>0</v>
      </c>
      <c r="K728" s="4">
        <f t="shared" si="121"/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27"/>
        <v>0</v>
      </c>
      <c r="Q728" s="7">
        <f t="shared" si="124"/>
        <v>1279051.4500000002</v>
      </c>
      <c r="R728" s="44" t="str">
        <f>VLOOKUP(F728,'Set up'!$A$2:$E$70,5,FALSE)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19"/>
        <v>4</v>
      </c>
      <c r="C729" s="5">
        <f t="shared" si="120"/>
        <v>2022</v>
      </c>
      <c r="D729" s="5" t="s">
        <v>718</v>
      </c>
      <c r="E729" s="5" t="str">
        <f>VLOOKUP(F729,'Set up'!$A$2:$C$70,2,FALSE)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up'!$A$2:$C$70,3,FALSE)</f>
        <v>Cash</v>
      </c>
      <c r="J729" s="5">
        <f>VLOOKUP(F729,'Set up'!$A$2:$D$70,4,FALSE)</f>
        <v>0</v>
      </c>
      <c r="K729" s="4">
        <f t="shared" si="121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27"/>
        <v>0</v>
      </c>
      <c r="Q729" s="7">
        <f t="shared" si="124"/>
        <v>1285321.4500000002</v>
      </c>
      <c r="R729" s="44" t="str">
        <f>VLOOKUP(F729,'Set up'!$A$2:$E$70,5,FALSE)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19"/>
        <v>4</v>
      </c>
      <c r="C730" s="5">
        <f t="shared" si="120"/>
        <v>2022</v>
      </c>
      <c r="D730" s="5" t="s">
        <v>718</v>
      </c>
      <c r="E730" s="5" t="str">
        <f>VLOOKUP(F730,'Set up'!$A$2:$C$70,2,FALSE)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up'!$A$2:$C$70,3,FALSE)</f>
        <v>Cash</v>
      </c>
      <c r="J730" s="5">
        <f>VLOOKUP(F730,'Set up'!$A$2:$D$70,4,FALSE)</f>
        <v>0</v>
      </c>
      <c r="K730" s="4">
        <f t="shared" si="121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28">-N730</f>
        <v>-2352</v>
      </c>
      <c r="P730" s="6">
        <f t="shared" si="127"/>
        <v>0</v>
      </c>
      <c r="Q730" s="7">
        <f t="shared" si="124"/>
        <v>1287673.4500000002</v>
      </c>
      <c r="R730" s="44" t="str">
        <f>VLOOKUP(F730,'Set up'!$A$2:$E$70,5,FALSE)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19"/>
        <v>4</v>
      </c>
      <c r="C731" s="5">
        <f t="shared" si="120"/>
        <v>2022</v>
      </c>
      <c r="D731" s="5" t="s">
        <v>718</v>
      </c>
      <c r="E731" s="5" t="str">
        <f>VLOOKUP(F731,'Set up'!$A$2:$C$70,2,FALSE)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up'!$A$2:$C$70,3,FALSE)</f>
        <v>Cash</v>
      </c>
      <c r="J731" s="5">
        <f>VLOOKUP(F731,'Set up'!$A$2:$D$70,4,FALSE)</f>
        <v>0</v>
      </c>
      <c r="K731" s="4">
        <f t="shared" si="121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24"/>
        <v>1289077.4500000002</v>
      </c>
      <c r="R731" s="44" t="str">
        <f>VLOOKUP(F731,'Set up'!$A$2:$E$70,5,FALSE)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19"/>
        <v>4</v>
      </c>
      <c r="C732" s="5">
        <f t="shared" si="120"/>
        <v>2022</v>
      </c>
      <c r="D732" s="5" t="s">
        <v>718</v>
      </c>
      <c r="E732" s="5" t="str">
        <f>VLOOKUP(F732,'Set up'!$A$2:$C$70,2,FALSE)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up'!$A$2:$C$70,3,FALSE)</f>
        <v>Cash</v>
      </c>
      <c r="J732" s="5">
        <f>VLOOKUP(F732,'Set up'!$A$2:$D$70,4,FALSE)</f>
        <v>0</v>
      </c>
      <c r="K732" s="4">
        <f t="shared" si="121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29">-N732</f>
        <v>-125</v>
      </c>
      <c r="P732" s="6">
        <f t="shared" si="127"/>
        <v>0</v>
      </c>
      <c r="Q732" s="7">
        <f t="shared" si="124"/>
        <v>1289202.4500000002</v>
      </c>
      <c r="R732" s="44" t="str">
        <f>VLOOKUP(F732,'Set up'!$A$2:$E$70,5,FALSE)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19"/>
        <v>4</v>
      </c>
      <c r="C733" s="5">
        <f t="shared" si="120"/>
        <v>2022</v>
      </c>
      <c r="D733" s="5" t="s">
        <v>718</v>
      </c>
      <c r="E733" s="5" t="str">
        <f>VLOOKUP(F733,'Set up'!$A$2:$C$70,2,FALSE)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up'!$A$2:$C$70,3,FALSE)</f>
        <v>Cash</v>
      </c>
      <c r="J733" s="5">
        <f>VLOOKUP(F733,'Set up'!$A$2:$D$70,4,FALSE)</f>
        <v>0</v>
      </c>
      <c r="K733" s="4">
        <f t="shared" si="121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29"/>
        <v>-1000</v>
      </c>
      <c r="P733" s="6">
        <f t="shared" si="127"/>
        <v>0</v>
      </c>
      <c r="Q733" s="7">
        <f t="shared" si="124"/>
        <v>1290202.4500000002</v>
      </c>
      <c r="R733" s="44" t="str">
        <f>VLOOKUP(F733,'Set up'!$A$2:$E$70,5,FALSE)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19"/>
        <v>4</v>
      </c>
      <c r="C734" s="5">
        <f t="shared" si="120"/>
        <v>2022</v>
      </c>
      <c r="D734" s="5" t="s">
        <v>720</v>
      </c>
      <c r="E734" s="5" t="str">
        <f>VLOOKUP(F734,'Set up'!$A$2:$C$70,2,FALSE)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up'!$A$2:$C$70,3,FALSE)</f>
        <v>Cash</v>
      </c>
      <c r="J734" s="5">
        <f>VLOOKUP(F734,'Set up'!$A$2:$D$70,4,FALSE)</f>
        <v>0</v>
      </c>
      <c r="K734" s="4">
        <f t="shared" si="121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27"/>
        <v>0</v>
      </c>
      <c r="Q734" s="7">
        <f t="shared" si="124"/>
        <v>1292292.4500000002</v>
      </c>
      <c r="R734" s="44" t="str">
        <f>VLOOKUP(F734,'Set up'!$A$2:$E$70,5,FALSE)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19"/>
        <v>4</v>
      </c>
      <c r="C735" s="5">
        <f t="shared" si="120"/>
        <v>2022</v>
      </c>
      <c r="D735" s="5" t="s">
        <v>720</v>
      </c>
      <c r="E735" s="5" t="str">
        <f>VLOOKUP(F735,'Set up'!$A$2:$C$70,2,FALSE)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up'!$A$2:$C$70,3,FALSE)</f>
        <v>Cash</v>
      </c>
      <c r="J735" s="5">
        <f>VLOOKUP(F735,'Set up'!$A$2:$D$70,4,FALSE)</f>
        <v>0</v>
      </c>
      <c r="K735" s="4">
        <f t="shared" si="121"/>
        <v>44677</v>
      </c>
      <c r="L735" s="5">
        <f t="shared" si="122"/>
        <v>4</v>
      </c>
      <c r="M735" s="5">
        <f t="shared" si="123"/>
        <v>2022</v>
      </c>
      <c r="N735" s="6">
        <v>882</v>
      </c>
      <c r="O735" s="6">
        <f>-N735</f>
        <v>-882</v>
      </c>
      <c r="P735" s="6">
        <f t="shared" si="127"/>
        <v>0</v>
      </c>
      <c r="Q735" s="7">
        <f t="shared" si="124"/>
        <v>1293174.4500000002</v>
      </c>
      <c r="R735" s="44" t="str">
        <f>VLOOKUP(F735,'Set up'!$A$2:$E$70,5,FALSE)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19"/>
        <v>4</v>
      </c>
      <c r="C736" s="5">
        <f t="shared" si="120"/>
        <v>2022</v>
      </c>
      <c r="D736" s="5" t="s">
        <v>720</v>
      </c>
      <c r="E736" s="5" t="str">
        <f>VLOOKUP(F736,'Set up'!$A$2:$C$70,2,FALSE)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up'!$A$2:$C$70,3,FALSE)</f>
        <v>Cash</v>
      </c>
      <c r="J736" s="5">
        <f>VLOOKUP(F736,'Set up'!$A$2:$D$70,4,FALSE)</f>
        <v>0</v>
      </c>
      <c r="K736" s="4">
        <f t="shared" si="121"/>
        <v>44677</v>
      </c>
      <c r="L736" s="5">
        <f t="shared" si="122"/>
        <v>4</v>
      </c>
      <c r="M736" s="5">
        <f t="shared" si="123"/>
        <v>2022</v>
      </c>
      <c r="N736" s="6">
        <v>702</v>
      </c>
      <c r="O736" s="6">
        <f>-N736</f>
        <v>-702</v>
      </c>
      <c r="P736" s="6">
        <f t="shared" si="127"/>
        <v>0</v>
      </c>
      <c r="Q736" s="7">
        <f t="shared" si="124"/>
        <v>1293876.4500000002</v>
      </c>
      <c r="R736" s="44" t="str">
        <f>VLOOKUP(F736,'Set up'!$A$2:$E$70,5,FALSE)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19"/>
        <v>4</v>
      </c>
      <c r="C737" s="5">
        <f t="shared" si="120"/>
        <v>2022</v>
      </c>
      <c r="D737" s="5" t="s">
        <v>720</v>
      </c>
      <c r="E737" s="5" t="str">
        <f>VLOOKUP(F737,'Set up'!$A$2:$C$70,2,FALSE)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up'!$A$2:$C$70,3,FALSE)</f>
        <v>Cash</v>
      </c>
      <c r="J737" s="5">
        <f>VLOOKUP(F737,'Set up'!$A$2:$D$70,4,FALSE)</f>
        <v>0</v>
      </c>
      <c r="K737" s="4">
        <f t="shared" si="121"/>
        <v>44677</v>
      </c>
      <c r="L737" s="5">
        <f t="shared" si="122"/>
        <v>4</v>
      </c>
      <c r="M737" s="5">
        <f t="shared" si="123"/>
        <v>2022</v>
      </c>
      <c r="N737" s="6">
        <v>125</v>
      </c>
      <c r="O737" s="6">
        <f>-N737</f>
        <v>-125</v>
      </c>
      <c r="P737" s="6">
        <f t="shared" si="127"/>
        <v>0</v>
      </c>
      <c r="Q737" s="7">
        <f t="shared" si="124"/>
        <v>1294001.4500000002</v>
      </c>
      <c r="R737" s="44" t="str">
        <f>VLOOKUP(F737,'Set up'!$A$2:$E$70,5,FALSE)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19"/>
        <v>4</v>
      </c>
      <c r="C738" s="5">
        <f t="shared" si="120"/>
        <v>2022</v>
      </c>
      <c r="D738" s="5" t="s">
        <v>723</v>
      </c>
      <c r="E738" s="5" t="str">
        <f>VLOOKUP(F738,'Set up'!$A$2:$C$70,2,FALSE)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up'!$A$2:$C$70,3,FALSE)</f>
        <v>120</v>
      </c>
      <c r="J738" s="5">
        <f>VLOOKUP(F738,'Set up'!$A$2:$D$70,4,FALSE)</f>
        <v>120</v>
      </c>
      <c r="K738" s="4">
        <f t="shared" si="121"/>
        <v>44798</v>
      </c>
      <c r="L738" s="5">
        <f t="shared" si="122"/>
        <v>8</v>
      </c>
      <c r="M738" s="5">
        <f t="shared" si="123"/>
        <v>2022</v>
      </c>
      <c r="N738" s="6">
        <v>9900</v>
      </c>
      <c r="O738" s="6">
        <f t="shared" ref="O738:O739" si="130">-N738</f>
        <v>-9900</v>
      </c>
      <c r="P738" s="6">
        <f t="shared" si="127"/>
        <v>0</v>
      </c>
      <c r="Q738" s="7">
        <f t="shared" si="124"/>
        <v>1303901.4500000002</v>
      </c>
      <c r="R738" s="44" t="str">
        <f>VLOOKUP(F738,'Set up'!$A$2:$E$70,5,FALSE)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19"/>
        <v>4</v>
      </c>
      <c r="C739" s="5">
        <f t="shared" si="120"/>
        <v>2022</v>
      </c>
      <c r="D739" s="5" t="s">
        <v>723</v>
      </c>
      <c r="E739" s="5" t="str">
        <f>VLOOKUP(F739,'Set up'!$A$2:$C$70,2,FALSE)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up'!$A$2:$C$70,3,FALSE)</f>
        <v>120</v>
      </c>
      <c r="J739" s="5">
        <f>VLOOKUP(F739,'Set up'!$A$2:$D$70,4,FALSE)</f>
        <v>120</v>
      </c>
      <c r="K739" s="4">
        <f t="shared" si="121"/>
        <v>44798</v>
      </c>
      <c r="L739" s="5">
        <f t="shared" si="122"/>
        <v>8</v>
      </c>
      <c r="M739" s="5">
        <f t="shared" si="123"/>
        <v>2022</v>
      </c>
      <c r="N739" s="6">
        <v>1260</v>
      </c>
      <c r="O739" s="6">
        <f t="shared" si="130"/>
        <v>-1260</v>
      </c>
      <c r="P739" s="6">
        <f t="shared" si="127"/>
        <v>0</v>
      </c>
      <c r="Q739" s="7">
        <f t="shared" si="124"/>
        <v>1305161.4500000002</v>
      </c>
      <c r="R739" s="44" t="str">
        <f>VLOOKUP(F739,'Set up'!$A$2:$E$70,5,FALSE)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19"/>
        <v>4</v>
      </c>
      <c r="C740" s="5">
        <f t="shared" si="120"/>
        <v>2022</v>
      </c>
      <c r="D740" s="5" t="s">
        <v>724</v>
      </c>
      <c r="E740" s="5" t="str">
        <f>VLOOKUP(F740,'Set up'!$A$2:$C$70,2,FALSE)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up'!$A$2:$C$70,3,FALSE)</f>
        <v>Cash</v>
      </c>
      <c r="J740" s="5">
        <f>VLOOKUP(F740,'Set up'!$A$2:$D$70,4,FALSE)</f>
        <v>0</v>
      </c>
      <c r="K740" s="4">
        <f t="shared" si="121"/>
        <v>44679</v>
      </c>
      <c r="L740" s="5">
        <f t="shared" si="122"/>
        <v>4</v>
      </c>
      <c r="M740" s="5">
        <f t="shared" si="123"/>
        <v>2022</v>
      </c>
      <c r="N740" s="6">
        <v>4136</v>
      </c>
      <c r="O740" s="6">
        <f>-N740</f>
        <v>-4136</v>
      </c>
      <c r="P740" s="6">
        <f t="shared" si="127"/>
        <v>0</v>
      </c>
      <c r="Q740" s="7">
        <f t="shared" si="124"/>
        <v>1309297.4500000002</v>
      </c>
      <c r="R740" s="44" t="str">
        <f>VLOOKUP(F740,'Set up'!$A$2:$E$70,5,FALSE)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19"/>
        <v>4</v>
      </c>
      <c r="C741" s="5">
        <f t="shared" si="120"/>
        <v>2022</v>
      </c>
      <c r="D741" s="5" t="s">
        <v>724</v>
      </c>
      <c r="E741" s="5" t="str">
        <f>VLOOKUP(F741,'Set up'!$A$2:$C$70,2,FALSE)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up'!$A$2:$C$70,3,FALSE)</f>
        <v>Cash</v>
      </c>
      <c r="J741" s="5">
        <f>VLOOKUP(F741,'Set up'!$A$2:$D$70,4,FALSE)</f>
        <v>0</v>
      </c>
      <c r="K741" s="4">
        <f t="shared" si="121"/>
        <v>44679</v>
      </c>
      <c r="L741" s="5">
        <f t="shared" si="122"/>
        <v>4</v>
      </c>
      <c r="M741" s="5">
        <f t="shared" si="123"/>
        <v>2022</v>
      </c>
      <c r="N741" s="6">
        <v>1152</v>
      </c>
      <c r="O741" s="6">
        <f>-N741</f>
        <v>-1152</v>
      </c>
      <c r="P741" s="6">
        <f t="shared" si="127"/>
        <v>0</v>
      </c>
      <c r="Q741" s="7">
        <f t="shared" si="124"/>
        <v>1310449.4500000002</v>
      </c>
      <c r="R741" s="44" t="str">
        <f>VLOOKUP(F741,'Set up'!$A$2:$E$70,5,FALSE)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19"/>
        <v>4</v>
      </c>
      <c r="C742" s="5">
        <f t="shared" si="120"/>
        <v>2022</v>
      </c>
      <c r="D742" s="5" t="s">
        <v>724</v>
      </c>
      <c r="E742" s="5" t="str">
        <f>VLOOKUP(F742,'Set up'!$A$2:$C$70,2,FALSE)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up'!$A$2:$C$70,3,FALSE)</f>
        <v>Cash</v>
      </c>
      <c r="J742" s="5">
        <f>VLOOKUP(F742,'Set up'!$A$2:$D$70,4,FALSE)</f>
        <v>0</v>
      </c>
      <c r="K742" s="4">
        <f t="shared" si="121"/>
        <v>44679</v>
      </c>
      <c r="L742" s="5">
        <f t="shared" si="122"/>
        <v>4</v>
      </c>
      <c r="M742" s="5">
        <f t="shared" si="123"/>
        <v>2022</v>
      </c>
      <c r="N742" s="6">
        <v>170</v>
      </c>
      <c r="O742" s="6">
        <f>-N742</f>
        <v>-170</v>
      </c>
      <c r="P742" s="6">
        <f t="shared" si="127"/>
        <v>0</v>
      </c>
      <c r="Q742" s="7">
        <f t="shared" si="124"/>
        <v>1310619.4500000002</v>
      </c>
      <c r="R742" s="44" t="str">
        <f>VLOOKUP(F742,'Set up'!$A$2:$E$70,5,FALSE)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19"/>
        <v>4</v>
      </c>
      <c r="C743" s="5">
        <f t="shared" si="120"/>
        <v>2022</v>
      </c>
      <c r="D743" s="5" t="s">
        <v>725</v>
      </c>
      <c r="E743" s="5" t="str">
        <f>VLOOKUP(F743,'Set up'!$A$2:$C$70,2,FALSE)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up'!$A$2:$C$70,3,FALSE)</f>
        <v>Cash</v>
      </c>
      <c r="J743" s="5">
        <f>VLOOKUP(F743,'Set up'!$A$2:$D$70,4,FALSE)</f>
        <v>0</v>
      </c>
      <c r="K743" s="4">
        <f t="shared" si="121"/>
        <v>44679</v>
      </c>
      <c r="L743" s="5">
        <f t="shared" si="122"/>
        <v>4</v>
      </c>
      <c r="M743" s="5">
        <f t="shared" si="123"/>
        <v>2022</v>
      </c>
      <c r="N743" s="6">
        <v>6270</v>
      </c>
      <c r="O743" s="6">
        <f t="shared" ref="O743:O747" si="131">-N743</f>
        <v>-6270</v>
      </c>
      <c r="P743" s="6">
        <f t="shared" si="127"/>
        <v>0</v>
      </c>
      <c r="Q743" s="7">
        <f t="shared" si="124"/>
        <v>1316889.4500000002</v>
      </c>
      <c r="R743" s="44" t="str">
        <f>VLOOKUP(F743,'Set up'!$A$2:$E$70,5,FALSE)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19"/>
        <v>4</v>
      </c>
      <c r="C744" s="5">
        <f t="shared" si="120"/>
        <v>2022</v>
      </c>
      <c r="D744" s="5" t="s">
        <v>725</v>
      </c>
      <c r="E744" s="5" t="str">
        <f>VLOOKUP(F744,'Set up'!$A$2:$C$70,2,FALSE)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up'!$A$2:$C$70,3,FALSE)</f>
        <v>Cash</v>
      </c>
      <c r="J744" s="5">
        <f>VLOOKUP(F744,'Set up'!$A$2:$D$70,4,FALSE)</f>
        <v>0</v>
      </c>
      <c r="K744" s="4">
        <f t="shared" si="121"/>
        <v>44679</v>
      </c>
      <c r="L744" s="5">
        <f t="shared" si="122"/>
        <v>4</v>
      </c>
      <c r="M744" s="5">
        <f t="shared" si="123"/>
        <v>2022</v>
      </c>
      <c r="N744" s="6">
        <v>2646</v>
      </c>
      <c r="O744" s="6">
        <f t="shared" si="131"/>
        <v>-2646</v>
      </c>
      <c r="P744" s="6">
        <f t="shared" si="127"/>
        <v>0</v>
      </c>
      <c r="Q744" s="7">
        <f t="shared" si="124"/>
        <v>1319535.4500000002</v>
      </c>
      <c r="R744" s="44" t="str">
        <f>VLOOKUP(F744,'Set up'!$A$2:$E$70,5,FALSE)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19"/>
        <v>4</v>
      </c>
      <c r="C745" s="5">
        <f t="shared" si="120"/>
        <v>2022</v>
      </c>
      <c r="D745" s="5" t="s">
        <v>725</v>
      </c>
      <c r="E745" s="5" t="str">
        <f>VLOOKUP(F745,'Set up'!$A$2:$C$70,2,FALSE)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up'!$A$2:$C$70,3,FALSE)</f>
        <v>Cash</v>
      </c>
      <c r="J745" s="5">
        <f>VLOOKUP(F745,'Set up'!$A$2:$D$70,4,FALSE)</f>
        <v>0</v>
      </c>
      <c r="K745" s="4">
        <f t="shared" si="121"/>
        <v>44679</v>
      </c>
      <c r="L745" s="5">
        <f t="shared" si="122"/>
        <v>4</v>
      </c>
      <c r="M745" s="5">
        <f t="shared" si="123"/>
        <v>2022</v>
      </c>
      <c r="N745" s="6">
        <v>1755</v>
      </c>
      <c r="O745" s="6">
        <f t="shared" si="131"/>
        <v>-1755</v>
      </c>
      <c r="P745" s="6">
        <f t="shared" si="127"/>
        <v>0</v>
      </c>
      <c r="Q745" s="7">
        <f t="shared" si="124"/>
        <v>1321290.4500000002</v>
      </c>
      <c r="R745" s="44" t="str">
        <f>VLOOKUP(F745,'Set up'!$A$2:$E$70,5,FALSE)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19"/>
        <v>4</v>
      </c>
      <c r="C746" s="5">
        <f t="shared" si="120"/>
        <v>2022</v>
      </c>
      <c r="D746" s="5" t="s">
        <v>725</v>
      </c>
      <c r="E746" s="5" t="str">
        <f>VLOOKUP(F746,'Set up'!$A$2:$C$70,2,FALSE)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up'!$A$2:$C$70,3,FALSE)</f>
        <v>Cash</v>
      </c>
      <c r="J746" s="5">
        <f>VLOOKUP(F746,'Set up'!$A$2:$D$70,4,FALSE)</f>
        <v>0</v>
      </c>
      <c r="K746" s="4">
        <f t="shared" si="121"/>
        <v>44679</v>
      </c>
      <c r="L746" s="5">
        <f t="shared" si="122"/>
        <v>4</v>
      </c>
      <c r="M746" s="5">
        <f t="shared" si="123"/>
        <v>2022</v>
      </c>
      <c r="N746" s="6">
        <v>187.5</v>
      </c>
      <c r="O746" s="6">
        <f t="shared" si="131"/>
        <v>-187.5</v>
      </c>
      <c r="P746" s="6">
        <f t="shared" si="127"/>
        <v>0</v>
      </c>
      <c r="Q746" s="7">
        <f t="shared" si="124"/>
        <v>1321477.9500000002</v>
      </c>
      <c r="R746" s="44" t="str">
        <f>VLOOKUP(F746,'Set up'!$A$2:$E$70,5,FALSE)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19"/>
        <v>4</v>
      </c>
      <c r="C747" s="5">
        <f t="shared" si="120"/>
        <v>2022</v>
      </c>
      <c r="D747" s="5" t="s">
        <v>725</v>
      </c>
      <c r="E747" s="5" t="str">
        <f>VLOOKUP(F747,'Set up'!$A$2:$C$70,2,FALSE)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up'!$A$2:$C$70,3,FALSE)</f>
        <v>Cash</v>
      </c>
      <c r="J747" s="5">
        <f>VLOOKUP(F747,'Set up'!$A$2:$D$70,4,FALSE)</f>
        <v>0</v>
      </c>
      <c r="K747" s="4">
        <f t="shared" si="121"/>
        <v>44679</v>
      </c>
      <c r="L747" s="5">
        <f t="shared" si="122"/>
        <v>4</v>
      </c>
      <c r="M747" s="5">
        <f t="shared" si="123"/>
        <v>2022</v>
      </c>
      <c r="N747" s="6">
        <v>1000</v>
      </c>
      <c r="O747" s="6">
        <f t="shared" si="131"/>
        <v>-1000</v>
      </c>
      <c r="P747" s="6">
        <f t="shared" si="127"/>
        <v>0</v>
      </c>
      <c r="Q747" s="7">
        <f t="shared" si="124"/>
        <v>1322477.9500000002</v>
      </c>
      <c r="R747" s="44" t="str">
        <f>VLOOKUP(F747,'Set up'!$A$2:$E$70,5,FALSE)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19"/>
        <v>4</v>
      </c>
      <c r="C748" s="5">
        <f t="shared" si="120"/>
        <v>2022</v>
      </c>
      <c r="D748" s="5" t="s">
        <v>726</v>
      </c>
      <c r="E748" s="5" t="str">
        <f>VLOOKUP(F748,'Set up'!$A$2:$C$70,2,FALSE)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up'!$A$2:$C$70,3,FALSE)</f>
        <v>Cash</v>
      </c>
      <c r="J748" s="5">
        <f>VLOOKUP(F748,'Set up'!$A$2:$D$70,4,FALSE)</f>
        <v>0</v>
      </c>
      <c r="K748" s="4">
        <f t="shared" si="121"/>
        <v>44679</v>
      </c>
      <c r="L748" s="5">
        <f t="shared" si="122"/>
        <v>4</v>
      </c>
      <c r="M748" s="5">
        <f t="shared" si="123"/>
        <v>2022</v>
      </c>
      <c r="N748" s="6">
        <v>4136</v>
      </c>
      <c r="O748" s="6">
        <f t="shared" ref="O748:O754" si="132">-N748</f>
        <v>-4136</v>
      </c>
      <c r="P748" s="6">
        <f t="shared" si="127"/>
        <v>0</v>
      </c>
      <c r="Q748" s="7">
        <f t="shared" si="124"/>
        <v>1326613.9500000002</v>
      </c>
      <c r="R748" s="44" t="str">
        <f>VLOOKUP(F748,'Set up'!$A$2:$E$70,5,FALSE)</f>
        <v>Trsf</v>
      </c>
      <c r="S748" s="1" t="s">
        <v>801</v>
      </c>
    </row>
    <row r="749" spans="1:19" x14ac:dyDescent="0.35">
      <c r="A749" s="4">
        <v>44679</v>
      </c>
      <c r="B749" s="5">
        <f t="shared" si="119"/>
        <v>4</v>
      </c>
      <c r="C749" s="5">
        <f t="shared" si="120"/>
        <v>2022</v>
      </c>
      <c r="D749" s="5" t="s">
        <v>726</v>
      </c>
      <c r="E749" s="5" t="str">
        <f>VLOOKUP(F749,'Set up'!$A$2:$C$70,2,FALSE)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up'!$A$2:$C$70,3,FALSE)</f>
        <v>Cash</v>
      </c>
      <c r="J749" s="5">
        <f>VLOOKUP(F749,'Set up'!$A$2:$D$70,4,FALSE)</f>
        <v>0</v>
      </c>
      <c r="K749" s="4">
        <f t="shared" si="121"/>
        <v>44679</v>
      </c>
      <c r="L749" s="5">
        <f t="shared" si="122"/>
        <v>4</v>
      </c>
      <c r="M749" s="5">
        <f t="shared" si="123"/>
        <v>2022</v>
      </c>
      <c r="N749" s="6">
        <v>1047.5999999999999</v>
      </c>
      <c r="O749" s="6">
        <f t="shared" si="132"/>
        <v>-1047.5999999999999</v>
      </c>
      <c r="P749" s="6">
        <f t="shared" si="127"/>
        <v>0</v>
      </c>
      <c r="Q749" s="7">
        <f t="shared" si="124"/>
        <v>1327661.5500000003</v>
      </c>
      <c r="R749" s="44" t="str">
        <f>VLOOKUP(F749,'Set up'!$A$2:$E$70,5,FALSE)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19"/>
        <v>4</v>
      </c>
      <c r="C750" s="5">
        <f t="shared" si="120"/>
        <v>2022</v>
      </c>
      <c r="D750" s="5" t="s">
        <v>726</v>
      </c>
      <c r="E750" s="5" t="str">
        <f>VLOOKUP(F750,'Set up'!$A$2:$C$70,2,FALSE)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up'!$A$2:$C$70,3,FALSE)</f>
        <v>Cash</v>
      </c>
      <c r="J750" s="5">
        <f>VLOOKUP(F750,'Set up'!$A$2:$D$70,4,FALSE)</f>
        <v>0</v>
      </c>
      <c r="K750" s="4">
        <f t="shared" si="121"/>
        <v>44679</v>
      </c>
      <c r="L750" s="5">
        <f t="shared" si="122"/>
        <v>4</v>
      </c>
      <c r="M750" s="5">
        <f t="shared" si="123"/>
        <v>2022</v>
      </c>
      <c r="N750" s="6">
        <v>312.5</v>
      </c>
      <c r="O750" s="6">
        <f t="shared" si="132"/>
        <v>-312.5</v>
      </c>
      <c r="P750" s="6">
        <f t="shared" si="127"/>
        <v>0</v>
      </c>
      <c r="Q750" s="7">
        <f t="shared" si="124"/>
        <v>1327974.0500000003</v>
      </c>
      <c r="R750" s="44" t="str">
        <f>VLOOKUP(F750,'Set up'!$A$2:$E$70,5,FALSE)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19"/>
        <v>4</v>
      </c>
      <c r="C751" s="5">
        <f t="shared" si="120"/>
        <v>2022</v>
      </c>
      <c r="D751" s="5" t="s">
        <v>726</v>
      </c>
      <c r="E751" s="5" t="str">
        <f>VLOOKUP(F751,'Set up'!$A$2:$C$70,2,FALSE)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up'!$A$2:$C$70,3,FALSE)</f>
        <v>Cash</v>
      </c>
      <c r="J751" s="5">
        <f>VLOOKUP(F751,'Set up'!$A$2:$D$70,4,FALSE)</f>
        <v>0</v>
      </c>
      <c r="K751" s="4">
        <f t="shared" si="121"/>
        <v>44679</v>
      </c>
      <c r="L751" s="5">
        <f t="shared" si="122"/>
        <v>4</v>
      </c>
      <c r="M751" s="5">
        <f t="shared" si="123"/>
        <v>2022</v>
      </c>
      <c r="N751" s="6">
        <v>390</v>
      </c>
      <c r="O751" s="6">
        <f t="shared" si="132"/>
        <v>-390</v>
      </c>
      <c r="P751" s="6">
        <f t="shared" si="127"/>
        <v>0</v>
      </c>
      <c r="Q751" s="7">
        <f t="shared" si="124"/>
        <v>1328364.0500000003</v>
      </c>
      <c r="R751" s="44" t="str">
        <f>VLOOKUP(F751,'Set up'!$A$2:$E$70,5,FALSE)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19"/>
        <v>4</v>
      </c>
      <c r="C752" s="5">
        <f t="shared" si="120"/>
        <v>2022</v>
      </c>
      <c r="D752" s="5" t="s">
        <v>726</v>
      </c>
      <c r="E752" s="5" t="str">
        <f>VLOOKUP(F752,'Set up'!$A$2:$C$70,2,FALSE)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up'!$A$2:$C$70,3,FALSE)</f>
        <v>Cash</v>
      </c>
      <c r="J752" s="5">
        <f>VLOOKUP(F752,'Set up'!$A$2:$D$70,4,FALSE)</f>
        <v>0</v>
      </c>
      <c r="K752" s="4">
        <f t="shared" si="121"/>
        <v>44679</v>
      </c>
      <c r="L752" s="5">
        <f t="shared" si="122"/>
        <v>4</v>
      </c>
      <c r="M752" s="5">
        <f t="shared" si="123"/>
        <v>2022</v>
      </c>
      <c r="N752" s="6">
        <v>210</v>
      </c>
      <c r="O752" s="6">
        <f t="shared" si="132"/>
        <v>-210</v>
      </c>
      <c r="P752" s="6">
        <f t="shared" si="127"/>
        <v>0</v>
      </c>
      <c r="Q752" s="7">
        <f t="shared" si="124"/>
        <v>1328574.0500000003</v>
      </c>
      <c r="R752" s="44" t="str">
        <f>VLOOKUP(F752,'Set up'!$A$2:$E$70,5,FALSE)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19"/>
        <v>4</v>
      </c>
      <c r="C753" s="5">
        <f t="shared" si="120"/>
        <v>2022</v>
      </c>
      <c r="D753" s="5" t="s">
        <v>728</v>
      </c>
      <c r="E753" s="5" t="str">
        <f>VLOOKUP(F753,'Set up'!$A$2:$C$70,2,FALSE)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up'!$A$2:$C$70,3,FALSE)</f>
        <v>Cash</v>
      </c>
      <c r="J753" s="5">
        <f>VLOOKUP(F753,'Set up'!$A$2:$D$70,4,FALSE)</f>
        <v>0</v>
      </c>
      <c r="K753" s="4">
        <f t="shared" si="121"/>
        <v>44680</v>
      </c>
      <c r="L753" s="5">
        <f t="shared" si="122"/>
        <v>4</v>
      </c>
      <c r="M753" s="5">
        <f t="shared" si="123"/>
        <v>2022</v>
      </c>
      <c r="N753" s="6">
        <v>1350</v>
      </c>
      <c r="O753" s="6">
        <f t="shared" si="132"/>
        <v>-1350</v>
      </c>
      <c r="P753" s="6">
        <f t="shared" si="127"/>
        <v>0</v>
      </c>
      <c r="Q753" s="7">
        <f t="shared" si="124"/>
        <v>1329924.0500000003</v>
      </c>
      <c r="R753" s="44" t="str">
        <f>VLOOKUP(F753,'Set up'!$A$2:$E$70,5,FALSE)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19"/>
        <v>4</v>
      </c>
      <c r="C754" s="5">
        <f t="shared" si="120"/>
        <v>2022</v>
      </c>
      <c r="D754" s="5" t="s">
        <v>729</v>
      </c>
      <c r="E754" s="5" t="str">
        <f>VLOOKUP(F754,'Set up'!$A$2:$C$70,2,FALSE)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up'!$A$2:$C$70,3,FALSE)</f>
        <v>Cash</v>
      </c>
      <c r="J754" s="5">
        <f>VLOOKUP(F754,'Set up'!$A$2:$D$70,4,FALSE)</f>
        <v>0</v>
      </c>
      <c r="K754" s="4">
        <f t="shared" si="121"/>
        <v>44681</v>
      </c>
      <c r="L754" s="5">
        <f t="shared" si="122"/>
        <v>4</v>
      </c>
      <c r="M754" s="5">
        <f t="shared" si="123"/>
        <v>2022</v>
      </c>
      <c r="N754" s="6">
        <v>8360</v>
      </c>
      <c r="O754" s="6">
        <f t="shared" si="132"/>
        <v>-8360</v>
      </c>
      <c r="P754" s="6">
        <f t="shared" si="127"/>
        <v>0</v>
      </c>
      <c r="Q754" s="7">
        <f t="shared" si="124"/>
        <v>1338284.0500000003</v>
      </c>
      <c r="R754" s="44" t="str">
        <f>VLOOKUP(F754,'Set up'!$A$2:$E$70,5,FALSE)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19"/>
        <v>4</v>
      </c>
      <c r="C755" s="5">
        <f t="shared" si="120"/>
        <v>2022</v>
      </c>
      <c r="D755" s="5" t="s">
        <v>729</v>
      </c>
      <c r="E755" s="5" t="str">
        <f>VLOOKUP(F755,'Set up'!$A$2:$C$70,2,FALSE)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up'!$A$2:$C$70,3,FALSE)</f>
        <v>Cash</v>
      </c>
      <c r="J755" s="5">
        <f>VLOOKUP(F755,'Set up'!$A$2:$D$70,4,FALSE)</f>
        <v>0</v>
      </c>
      <c r="K755" s="4">
        <f t="shared" si="121"/>
        <v>44681</v>
      </c>
      <c r="L755" s="5">
        <f t="shared" si="122"/>
        <v>4</v>
      </c>
      <c r="M755" s="5">
        <f t="shared" si="123"/>
        <v>2022</v>
      </c>
      <c r="N755" s="6">
        <v>3528</v>
      </c>
      <c r="O755" s="6">
        <f>-3285.3-242.7</f>
        <v>-3528</v>
      </c>
      <c r="P755" s="6">
        <f t="shared" si="127"/>
        <v>0</v>
      </c>
      <c r="Q755" s="7">
        <f t="shared" si="124"/>
        <v>1341812.0500000003</v>
      </c>
      <c r="R755" s="44" t="str">
        <f>VLOOKUP(F755,'Set up'!$A$2:$E$70,5,FALSE)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19"/>
        <v>4</v>
      </c>
      <c r="C756" s="5">
        <f t="shared" si="120"/>
        <v>2022</v>
      </c>
      <c r="D756" s="5" t="s">
        <v>729</v>
      </c>
      <c r="E756" s="5" t="str">
        <f>VLOOKUP(F756,'Set up'!$A$2:$C$70,2,FALSE)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up'!$A$2:$C$70,3,FALSE)</f>
        <v>Cash</v>
      </c>
      <c r="J756" s="5">
        <f>VLOOKUP(F756,'Set up'!$A$2:$D$70,4,FALSE)</f>
        <v>0</v>
      </c>
      <c r="K756" s="4">
        <f t="shared" si="121"/>
        <v>44681</v>
      </c>
      <c r="L756" s="5">
        <f t="shared" si="122"/>
        <v>4</v>
      </c>
      <c r="M756" s="5">
        <f t="shared" si="123"/>
        <v>2022</v>
      </c>
      <c r="N756" s="6">
        <v>2106</v>
      </c>
      <c r="O756" s="6">
        <f t="shared" ref="O756:O763" si="133">-N756</f>
        <v>-2106</v>
      </c>
      <c r="P756" s="6">
        <f t="shared" si="127"/>
        <v>0</v>
      </c>
      <c r="Q756" s="7">
        <f t="shared" si="124"/>
        <v>1343918.0500000003</v>
      </c>
      <c r="R756" s="44" t="str">
        <f>VLOOKUP(F756,'Set up'!$A$2:$E$70,5,FALSE)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19"/>
        <v>4</v>
      </c>
      <c r="C757" s="5">
        <f t="shared" si="120"/>
        <v>2022</v>
      </c>
      <c r="D757" s="5" t="s">
        <v>729</v>
      </c>
      <c r="E757" s="5" t="str">
        <f>VLOOKUP(F757,'Set up'!$A$2:$C$70,2,FALSE)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up'!$A$2:$C$70,3,FALSE)</f>
        <v>Cash</v>
      </c>
      <c r="J757" s="5">
        <f>VLOOKUP(F757,'Set up'!$A$2:$D$70,4,FALSE)</f>
        <v>0</v>
      </c>
      <c r="K757" s="4">
        <f t="shared" si="121"/>
        <v>44681</v>
      </c>
      <c r="L757" s="5">
        <f t="shared" si="122"/>
        <v>4</v>
      </c>
      <c r="M757" s="5">
        <f t="shared" si="123"/>
        <v>2022</v>
      </c>
      <c r="N757" s="6">
        <v>250</v>
      </c>
      <c r="O757" s="6">
        <f t="shared" si="133"/>
        <v>-250</v>
      </c>
      <c r="P757" s="6">
        <f t="shared" si="127"/>
        <v>0</v>
      </c>
      <c r="Q757" s="7">
        <f t="shared" si="124"/>
        <v>1344168.0500000003</v>
      </c>
      <c r="R757" s="44" t="str">
        <f>VLOOKUP(F757,'Set up'!$A$2:$E$70,5,FALSE)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19"/>
        <v>4</v>
      </c>
      <c r="C758" s="5">
        <f t="shared" si="120"/>
        <v>2022</v>
      </c>
      <c r="D758" s="5" t="s">
        <v>729</v>
      </c>
      <c r="E758" s="5" t="str">
        <f>VLOOKUP(F758,'Set up'!$A$2:$C$70,2,FALSE)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up'!$A$2:$C$70,3,FALSE)</f>
        <v>Cash</v>
      </c>
      <c r="J758" s="5">
        <f>VLOOKUP(F758,'Set up'!$A$2:$D$70,4,FALSE)</f>
        <v>0</v>
      </c>
      <c r="K758" s="4">
        <f t="shared" si="121"/>
        <v>44681</v>
      </c>
      <c r="L758" s="5">
        <f t="shared" si="122"/>
        <v>4</v>
      </c>
      <c r="M758" s="5">
        <f t="shared" si="123"/>
        <v>2022</v>
      </c>
      <c r="N758" s="6">
        <v>1000</v>
      </c>
      <c r="O758" s="6">
        <f t="shared" si="133"/>
        <v>-1000</v>
      </c>
      <c r="P758" s="6">
        <f t="shared" si="127"/>
        <v>0</v>
      </c>
      <c r="Q758" s="7">
        <f t="shared" si="124"/>
        <v>1345168.0500000003</v>
      </c>
      <c r="R758" s="44" t="str">
        <f>VLOOKUP(F758,'Set up'!$A$2:$E$70,5,FALSE)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19"/>
        <v>5</v>
      </c>
      <c r="C759" s="5">
        <f t="shared" si="120"/>
        <v>2022</v>
      </c>
      <c r="D759" s="5" t="s">
        <v>762</v>
      </c>
      <c r="E759" s="5" t="str">
        <f>VLOOKUP(F759,'Set up'!$A$2:$C$70,2,FALSE)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up'!$A$2:$C$70,3,FALSE)</f>
        <v>Cash</v>
      </c>
      <c r="J759" s="5">
        <f>VLOOKUP(F759,'Set up'!$A$2:$D$70,4,FALSE)</f>
        <v>0</v>
      </c>
      <c r="K759" s="4">
        <f t="shared" si="121"/>
        <v>44687</v>
      </c>
      <c r="L759" s="5">
        <f t="shared" si="122"/>
        <v>5</v>
      </c>
      <c r="M759" s="5">
        <f t="shared" si="123"/>
        <v>2022</v>
      </c>
      <c r="N759" s="6">
        <v>8360</v>
      </c>
      <c r="O759" s="6">
        <f t="shared" si="133"/>
        <v>-8360</v>
      </c>
      <c r="P759" s="6">
        <f t="shared" si="127"/>
        <v>0</v>
      </c>
      <c r="Q759" s="7">
        <f t="shared" si="124"/>
        <v>1353528.0500000003</v>
      </c>
      <c r="R759" s="44" t="str">
        <f>VLOOKUP(F759,'Set up'!$A$2:$E$70,5,FALSE)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19"/>
        <v>5</v>
      </c>
      <c r="C760" s="5">
        <f t="shared" si="120"/>
        <v>2022</v>
      </c>
      <c r="D760" s="5" t="s">
        <v>762</v>
      </c>
      <c r="E760" s="5" t="str">
        <f>VLOOKUP(F760,'Set up'!$A$2:$C$70,2,FALSE)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up'!$A$2:$C$70,3,FALSE)</f>
        <v>Cash</v>
      </c>
      <c r="J760" s="5">
        <f>VLOOKUP(F760,'Set up'!$A$2:$D$70,4,FALSE)</f>
        <v>0</v>
      </c>
      <c r="K760" s="4">
        <f t="shared" si="121"/>
        <v>44687</v>
      </c>
      <c r="L760" s="5">
        <f t="shared" si="122"/>
        <v>5</v>
      </c>
      <c r="M760" s="5">
        <f t="shared" si="123"/>
        <v>2022</v>
      </c>
      <c r="N760" s="6">
        <v>1176</v>
      </c>
      <c r="O760" s="6">
        <f t="shared" si="133"/>
        <v>-1176</v>
      </c>
      <c r="P760" s="6">
        <f t="shared" si="127"/>
        <v>0</v>
      </c>
      <c r="Q760" s="7">
        <f t="shared" si="124"/>
        <v>1354704.0500000003</v>
      </c>
      <c r="R760" s="44" t="str">
        <f>VLOOKUP(F760,'Set up'!$A$2:$E$70,5,FALSE)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19"/>
        <v>5</v>
      </c>
      <c r="C761" s="5">
        <f t="shared" si="120"/>
        <v>2022</v>
      </c>
      <c r="D761" s="5" t="s">
        <v>762</v>
      </c>
      <c r="E761" s="5" t="str">
        <f>VLOOKUP(F761,'Set up'!$A$2:$C$70,2,FALSE)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up'!$A$2:$C$70,3,FALSE)</f>
        <v>Cash</v>
      </c>
      <c r="J761" s="5">
        <f>VLOOKUP(F761,'Set up'!$A$2:$D$70,4,FALSE)</f>
        <v>0</v>
      </c>
      <c r="K761" s="4">
        <f t="shared" si="121"/>
        <v>44687</v>
      </c>
      <c r="L761" s="5">
        <f t="shared" si="122"/>
        <v>5</v>
      </c>
      <c r="M761" s="5">
        <f t="shared" si="123"/>
        <v>2022</v>
      </c>
      <c r="N761" s="6">
        <v>1404</v>
      </c>
      <c r="O761" s="6">
        <f t="shared" si="133"/>
        <v>-1404</v>
      </c>
      <c r="P761" s="6">
        <f t="shared" si="127"/>
        <v>0</v>
      </c>
      <c r="Q761" s="7">
        <f t="shared" si="124"/>
        <v>1356108.0500000003</v>
      </c>
      <c r="R761" s="44" t="str">
        <f>VLOOKUP(F761,'Set up'!$A$2:$E$70,5,FALSE)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19"/>
        <v>5</v>
      </c>
      <c r="C762" s="5">
        <f t="shared" si="120"/>
        <v>2022</v>
      </c>
      <c r="D762" s="5" t="s">
        <v>762</v>
      </c>
      <c r="E762" s="5" t="str">
        <f>VLOOKUP(F762,'Set up'!$A$2:$C$70,2,FALSE)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up'!$A$2:$C$70,3,FALSE)</f>
        <v>Cash</v>
      </c>
      <c r="J762" s="5">
        <f>VLOOKUP(F762,'Set up'!$A$2:$D$70,4,FALSE)</f>
        <v>0</v>
      </c>
      <c r="K762" s="4">
        <f t="shared" si="121"/>
        <v>44687</v>
      </c>
      <c r="L762" s="5">
        <f t="shared" si="122"/>
        <v>5</v>
      </c>
      <c r="M762" s="5">
        <f t="shared" si="123"/>
        <v>2022</v>
      </c>
      <c r="N762" s="6">
        <v>250</v>
      </c>
      <c r="O762" s="6">
        <f t="shared" si="133"/>
        <v>-250</v>
      </c>
      <c r="P762" s="6">
        <f t="shared" si="127"/>
        <v>0</v>
      </c>
      <c r="Q762" s="7">
        <f t="shared" si="124"/>
        <v>1356358.0500000003</v>
      </c>
      <c r="R762" s="44" t="str">
        <f>VLOOKUP(F762,'Set up'!$A$2:$E$70,5,FALSE)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19"/>
        <v>5</v>
      </c>
      <c r="C763" s="5">
        <f t="shared" si="120"/>
        <v>2022</v>
      </c>
      <c r="D763" s="5" t="s">
        <v>762</v>
      </c>
      <c r="E763" s="5" t="str">
        <f>VLOOKUP(F763,'Set up'!$A$2:$C$70,2,FALSE)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up'!$A$2:$C$70,3,FALSE)</f>
        <v>Cash</v>
      </c>
      <c r="J763" s="5">
        <f>VLOOKUP(F763,'Set up'!$A$2:$D$70,4,FALSE)</f>
        <v>0</v>
      </c>
      <c r="K763" s="4">
        <f t="shared" si="121"/>
        <v>44687</v>
      </c>
      <c r="L763" s="5">
        <f t="shared" si="122"/>
        <v>5</v>
      </c>
      <c r="M763" s="5">
        <f t="shared" si="123"/>
        <v>2022</v>
      </c>
      <c r="N763" s="6">
        <v>340</v>
      </c>
      <c r="O763" s="6">
        <f t="shared" si="133"/>
        <v>-340</v>
      </c>
      <c r="P763" s="6">
        <f t="shared" si="127"/>
        <v>0</v>
      </c>
      <c r="Q763" s="7">
        <f t="shared" si="124"/>
        <v>1356698.0500000003</v>
      </c>
      <c r="R763" s="44" t="str">
        <f>VLOOKUP(F763,'Set up'!$A$2:$E$70,5,FALSE)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19"/>
        <v>5</v>
      </c>
      <c r="C764" s="5">
        <f t="shared" si="120"/>
        <v>2022</v>
      </c>
      <c r="D764" s="5" t="s">
        <v>763</v>
      </c>
      <c r="E764" s="5" t="str">
        <f>VLOOKUP(F764,'Set up'!$A$2:$C$70,2,FALSE)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up'!$A$2:$C$70,3,FALSE)</f>
        <v>Cash</v>
      </c>
      <c r="J764" s="5">
        <f>VLOOKUP(F764,'Set up'!$A$2:$D$70,4,FALSE)</f>
        <v>0</v>
      </c>
      <c r="K764" s="4">
        <f t="shared" si="121"/>
        <v>44687</v>
      </c>
      <c r="L764" s="5">
        <f t="shared" si="122"/>
        <v>5</v>
      </c>
      <c r="M764" s="5">
        <f t="shared" si="123"/>
        <v>2022</v>
      </c>
      <c r="N764" s="6">
        <v>1350</v>
      </c>
      <c r="O764" s="6">
        <f>-N764</f>
        <v>-1350</v>
      </c>
      <c r="P764" s="6">
        <f t="shared" si="127"/>
        <v>0</v>
      </c>
      <c r="Q764" s="7">
        <f t="shared" si="124"/>
        <v>1358048.0500000003</v>
      </c>
      <c r="R764" s="44" t="str">
        <f>VLOOKUP(F764,'Set up'!$A$2:$E$70,5,FALSE)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19"/>
        <v>5</v>
      </c>
      <c r="C765" s="5">
        <f t="shared" si="120"/>
        <v>2022</v>
      </c>
      <c r="D765" s="5" t="s">
        <v>764</v>
      </c>
      <c r="E765" s="5" t="str">
        <f>VLOOKUP(F765,'Set up'!$A$2:$C$70,2,FALSE)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up'!$A$2:$C$70,3,FALSE)</f>
        <v>Cash</v>
      </c>
      <c r="J765" s="5">
        <f>VLOOKUP(F765,'Set up'!$A$2:$D$70,4,FALSE)</f>
        <v>0</v>
      </c>
      <c r="K765" s="4">
        <f t="shared" si="121"/>
        <v>44688</v>
      </c>
      <c r="L765" s="5">
        <f t="shared" si="122"/>
        <v>5</v>
      </c>
      <c r="M765" s="5">
        <f t="shared" si="123"/>
        <v>2022</v>
      </c>
      <c r="N765" s="6">
        <v>8360</v>
      </c>
      <c r="O765" s="6">
        <f t="shared" ref="O765" si="134">-N765</f>
        <v>-8360</v>
      </c>
      <c r="P765" s="6">
        <f t="shared" si="127"/>
        <v>0</v>
      </c>
      <c r="Q765" s="7">
        <f t="shared" si="124"/>
        <v>1366408.0500000003</v>
      </c>
      <c r="R765" s="44" t="str">
        <f>VLOOKUP(F765,'Set up'!$A$2:$E$70,5,FALSE)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19"/>
        <v>5</v>
      </c>
      <c r="C766" s="5">
        <f t="shared" si="120"/>
        <v>2022</v>
      </c>
      <c r="D766" s="5" t="s">
        <v>764</v>
      </c>
      <c r="E766" s="5" t="str">
        <f>VLOOKUP(F766,'Set up'!$A$2:$C$70,2,FALSE)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up'!$A$2:$C$70,3,FALSE)</f>
        <v>Cash</v>
      </c>
      <c r="J766" s="5">
        <f>VLOOKUP(F766,'Set up'!$A$2:$D$70,4,FALSE)</f>
        <v>0</v>
      </c>
      <c r="K766" s="4">
        <f t="shared" si="121"/>
        <v>44688</v>
      </c>
      <c r="L766" s="5">
        <f t="shared" si="122"/>
        <v>5</v>
      </c>
      <c r="M766" s="5">
        <f t="shared" si="123"/>
        <v>2022</v>
      </c>
      <c r="N766" s="6">
        <v>5880</v>
      </c>
      <c r="O766" s="6">
        <f>-1511.3-3000-1368.7</f>
        <v>-5880</v>
      </c>
      <c r="P766" s="6">
        <f t="shared" si="127"/>
        <v>0</v>
      </c>
      <c r="Q766" s="7">
        <f t="shared" si="124"/>
        <v>1372288.0500000003</v>
      </c>
      <c r="R766" s="44" t="str">
        <f>VLOOKUP(F766,'Set up'!$A$2:$E$70,5,FALSE)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19"/>
        <v>5</v>
      </c>
      <c r="C767" s="5">
        <f t="shared" si="120"/>
        <v>2022</v>
      </c>
      <c r="D767" s="5" t="s">
        <v>764</v>
      </c>
      <c r="E767" s="5" t="str">
        <f>VLOOKUP(F767,'Set up'!$A$2:$C$70,2,FALSE)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up'!$A$2:$C$70,3,FALSE)</f>
        <v>Cash</v>
      </c>
      <c r="J767" s="5">
        <f>VLOOKUP(F767,'Set up'!$A$2:$D$70,4,FALSE)</f>
        <v>0</v>
      </c>
      <c r="K767" s="4">
        <f t="shared" si="121"/>
        <v>44688</v>
      </c>
      <c r="L767" s="5">
        <f t="shared" si="122"/>
        <v>5</v>
      </c>
      <c r="M767" s="5">
        <f t="shared" si="123"/>
        <v>2022</v>
      </c>
      <c r="N767" s="6">
        <v>1755</v>
      </c>
      <c r="O767" s="6">
        <f t="shared" ref="O767:O768" si="135">-N767</f>
        <v>-1755</v>
      </c>
      <c r="P767" s="6">
        <f t="shared" si="127"/>
        <v>0</v>
      </c>
      <c r="Q767" s="7">
        <f t="shared" si="124"/>
        <v>1374043.0500000003</v>
      </c>
      <c r="R767" s="44" t="str">
        <f>VLOOKUP(F767,'Set up'!$A$2:$E$70,5,FALSE)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19"/>
        <v>5</v>
      </c>
      <c r="C768" s="5">
        <f t="shared" si="120"/>
        <v>2022</v>
      </c>
      <c r="D768" s="5" t="s">
        <v>764</v>
      </c>
      <c r="E768" s="5" t="str">
        <f>VLOOKUP(F768,'Set up'!$A$2:$C$70,2,FALSE)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up'!$A$2:$C$70,3,FALSE)</f>
        <v>Cash</v>
      </c>
      <c r="J768" s="5">
        <f>VLOOKUP(F768,'Set up'!$A$2:$D$70,4,FALSE)</f>
        <v>0</v>
      </c>
      <c r="K768" s="4">
        <f t="shared" si="121"/>
        <v>44688</v>
      </c>
      <c r="L768" s="5">
        <f t="shared" si="122"/>
        <v>5</v>
      </c>
      <c r="M768" s="5">
        <f t="shared" si="123"/>
        <v>2022</v>
      </c>
      <c r="N768" s="6">
        <v>250</v>
      </c>
      <c r="O768" s="6">
        <f t="shared" si="135"/>
        <v>-250</v>
      </c>
      <c r="P768" s="6">
        <f t="shared" si="127"/>
        <v>0</v>
      </c>
      <c r="Q768" s="7">
        <f t="shared" si="124"/>
        <v>1374293.0500000003</v>
      </c>
      <c r="R768" s="44" t="str">
        <f>VLOOKUP(F768,'Set up'!$A$2:$E$70,5,FALSE)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19"/>
        <v>5</v>
      </c>
      <c r="C769" s="5">
        <f t="shared" si="120"/>
        <v>2022</v>
      </c>
      <c r="D769" s="5" t="s">
        <v>765</v>
      </c>
      <c r="E769" s="5" t="str">
        <f>VLOOKUP(F769,'Set up'!$A$2:$C$70,2,FALSE)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up'!$A$2:$C$70,3,FALSE)</f>
        <v>60</v>
      </c>
      <c r="J769" s="5">
        <f>VLOOKUP(F769,'Set up'!$A$2:$D$70,4,FALSE)</f>
        <v>60</v>
      </c>
      <c r="K769" s="4">
        <f t="shared" si="121"/>
        <v>44751</v>
      </c>
      <c r="L769" s="5">
        <f t="shared" si="122"/>
        <v>7</v>
      </c>
      <c r="M769" s="5">
        <f t="shared" si="123"/>
        <v>2022</v>
      </c>
      <c r="N769" s="6">
        <v>1980</v>
      </c>
      <c r="O769" s="6">
        <f>-N769</f>
        <v>-1980</v>
      </c>
      <c r="P769" s="6">
        <f t="shared" si="127"/>
        <v>0</v>
      </c>
      <c r="Q769" s="7">
        <f t="shared" si="124"/>
        <v>1376273.0500000003</v>
      </c>
      <c r="R769" s="44" t="str">
        <f>VLOOKUP(F769,'Set up'!$A$2:$E$70,5,FALSE)</f>
        <v>Chq</v>
      </c>
      <c r="S769" s="1" t="s">
        <v>984</v>
      </c>
    </row>
    <row r="770" spans="1:19" x14ac:dyDescent="0.35">
      <c r="A770" s="4">
        <v>44691</v>
      </c>
      <c r="B770" s="5">
        <f t="shared" si="119"/>
        <v>5</v>
      </c>
      <c r="C770" s="5">
        <f t="shared" si="120"/>
        <v>2022</v>
      </c>
      <c r="D770" s="5" t="s">
        <v>765</v>
      </c>
      <c r="E770" s="5" t="str">
        <f>VLOOKUP(F770,'Set up'!$A$2:$C$70,2,FALSE)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up'!$A$2:$C$70,3,FALSE)</f>
        <v>60</v>
      </c>
      <c r="J770" s="5">
        <f>VLOOKUP(F770,'Set up'!$A$2:$D$70,4,FALSE)</f>
        <v>60</v>
      </c>
      <c r="K770" s="4">
        <f t="shared" si="121"/>
        <v>44751</v>
      </c>
      <c r="L770" s="5">
        <f t="shared" si="122"/>
        <v>7</v>
      </c>
      <c r="M770" s="5">
        <f t="shared" si="123"/>
        <v>2022</v>
      </c>
      <c r="N770" s="6">
        <v>1980</v>
      </c>
      <c r="O770" s="6">
        <f>-N770</f>
        <v>-1980</v>
      </c>
      <c r="P770" s="6">
        <f t="shared" si="127"/>
        <v>0</v>
      </c>
      <c r="Q770" s="7">
        <f t="shared" si="124"/>
        <v>1378253.0500000003</v>
      </c>
      <c r="R770" s="44" t="str">
        <f>VLOOKUP(F770,'Set up'!$A$2:$E$70,5,FALSE)</f>
        <v>Chq</v>
      </c>
      <c r="S770" s="1" t="s">
        <v>984</v>
      </c>
    </row>
    <row r="771" spans="1:19" x14ac:dyDescent="0.35">
      <c r="A771" s="4">
        <v>44691</v>
      </c>
      <c r="B771" s="5">
        <f t="shared" ref="B771:B834" si="136">MONTH(A771)</f>
        <v>5</v>
      </c>
      <c r="C771" s="5">
        <f t="shared" ref="C771:C834" si="137">YEAR(A771)</f>
        <v>2022</v>
      </c>
      <c r="D771" s="5" t="s">
        <v>765</v>
      </c>
      <c r="E771" s="5" t="str">
        <f>VLOOKUP(F771,'Set up'!$A$2:$C$70,2,FALSE)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up'!$A$2:$C$70,3,FALSE)</f>
        <v>60</v>
      </c>
      <c r="J771" s="5">
        <f>VLOOKUP(F771,'Set up'!$A$2:$D$70,4,FALSE)</f>
        <v>60</v>
      </c>
      <c r="K771" s="4">
        <f t="shared" ref="K771:K834" si="138">A771+J771</f>
        <v>44751</v>
      </c>
      <c r="L771" s="5">
        <f t="shared" ref="L771:L834" si="139">MONTH(K771)</f>
        <v>7</v>
      </c>
      <c r="M771" s="5">
        <f t="shared" ref="M771:M834" si="140">YEAR(K771)</f>
        <v>2022</v>
      </c>
      <c r="N771" s="6">
        <v>1140</v>
      </c>
      <c r="O771" s="6">
        <f>-N771</f>
        <v>-1140</v>
      </c>
      <c r="P771" s="6">
        <f t="shared" si="127"/>
        <v>0</v>
      </c>
      <c r="Q771" s="7">
        <f t="shared" ref="Q771:Q834" si="141">SUM(Q770+N771)</f>
        <v>1379393.0500000003</v>
      </c>
      <c r="R771" s="44" t="str">
        <f>VLOOKUP(F771,'Set up'!$A$2:$E$70,5,FALSE)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36"/>
        <v>5</v>
      </c>
      <c r="C772" s="5">
        <f t="shared" si="137"/>
        <v>2022</v>
      </c>
      <c r="D772" s="5" t="s">
        <v>766</v>
      </c>
      <c r="E772" s="5" t="str">
        <f>VLOOKUP(F772,'Set up'!$A$2:$C$70,2,FALSE)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up'!$A$2:$C$70,3,FALSE)</f>
        <v>Cash</v>
      </c>
      <c r="J772" s="5">
        <f>VLOOKUP(F772,'Set up'!$A$2:$D$70,4,FALSE)</f>
        <v>0</v>
      </c>
      <c r="K772" s="4">
        <f t="shared" si="138"/>
        <v>44692</v>
      </c>
      <c r="L772" s="5">
        <f t="shared" si="139"/>
        <v>5</v>
      </c>
      <c r="M772" s="5">
        <f t="shared" si="140"/>
        <v>2022</v>
      </c>
      <c r="N772" s="6">
        <v>2068</v>
      </c>
      <c r="O772" s="6">
        <f t="shared" ref="O772:O774" si="142">SUM(-N772)</f>
        <v>-2068</v>
      </c>
      <c r="P772" s="6">
        <f t="shared" si="127"/>
        <v>0</v>
      </c>
      <c r="Q772" s="7">
        <f t="shared" si="141"/>
        <v>1381461.0500000003</v>
      </c>
      <c r="R772" s="44" t="str">
        <f>VLOOKUP(F772,'Set up'!$A$2:$E$70,5,FALSE)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36"/>
        <v>5</v>
      </c>
      <c r="C773" s="5">
        <f t="shared" si="137"/>
        <v>2022</v>
      </c>
      <c r="D773" s="5" t="s">
        <v>766</v>
      </c>
      <c r="E773" s="5" t="str">
        <f>VLOOKUP(F773,'Set up'!$A$2:$C$70,2,FALSE)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up'!$A$2:$C$70,3,FALSE)</f>
        <v>Cash</v>
      </c>
      <c r="J773" s="5">
        <f>VLOOKUP(F773,'Set up'!$A$2:$D$70,4,FALSE)</f>
        <v>0</v>
      </c>
      <c r="K773" s="4">
        <f t="shared" si="138"/>
        <v>44692</v>
      </c>
      <c r="L773" s="5">
        <f t="shared" si="139"/>
        <v>5</v>
      </c>
      <c r="M773" s="5">
        <f t="shared" si="140"/>
        <v>2022</v>
      </c>
      <c r="N773" s="6">
        <v>291</v>
      </c>
      <c r="O773" s="6">
        <f t="shared" si="142"/>
        <v>-291</v>
      </c>
      <c r="P773" s="6">
        <f t="shared" si="127"/>
        <v>0</v>
      </c>
      <c r="Q773" s="7">
        <f t="shared" si="141"/>
        <v>1381752.0500000003</v>
      </c>
      <c r="R773" s="44" t="str">
        <f>VLOOKUP(F773,'Set up'!$A$2:$E$70,5,FALSE)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36"/>
        <v>5</v>
      </c>
      <c r="C774" s="5">
        <f t="shared" si="137"/>
        <v>2022</v>
      </c>
      <c r="D774" s="5" t="s">
        <v>766</v>
      </c>
      <c r="E774" s="5" t="str">
        <f>VLOOKUP(F774,'Set up'!$A$2:$C$70,2,FALSE)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up'!$A$2:$C$70,3,FALSE)</f>
        <v>Cash</v>
      </c>
      <c r="J774" s="5">
        <f>VLOOKUP(F774,'Set up'!$A$2:$D$70,4,FALSE)</f>
        <v>0</v>
      </c>
      <c r="K774" s="4">
        <f t="shared" si="138"/>
        <v>44692</v>
      </c>
      <c r="L774" s="5">
        <f t="shared" si="139"/>
        <v>5</v>
      </c>
      <c r="M774" s="5">
        <f t="shared" si="140"/>
        <v>2022</v>
      </c>
      <c r="N774" s="6">
        <v>175</v>
      </c>
      <c r="O774" s="6">
        <f t="shared" si="142"/>
        <v>-175</v>
      </c>
      <c r="P774" s="6">
        <f t="shared" si="127"/>
        <v>0</v>
      </c>
      <c r="Q774" s="7">
        <f t="shared" si="141"/>
        <v>1381927.0500000003</v>
      </c>
      <c r="R774" s="44" t="str">
        <f>VLOOKUP(F774,'Set up'!$A$2:$E$70,5,FALSE)</f>
        <v>Chq</v>
      </c>
      <c r="S774" s="1" t="s">
        <v>880</v>
      </c>
    </row>
    <row r="775" spans="1:19" x14ac:dyDescent="0.35">
      <c r="A775" s="4">
        <v>44693</v>
      </c>
      <c r="B775" s="5">
        <f t="shared" si="136"/>
        <v>5</v>
      </c>
      <c r="C775" s="5">
        <f t="shared" si="137"/>
        <v>2022</v>
      </c>
      <c r="D775" s="5" t="s">
        <v>769</v>
      </c>
      <c r="E775" s="5" t="str">
        <f>VLOOKUP(F775,'Set up'!$A$2:$C$70,2,FALSE)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up'!$A$2:$C$70,3,FALSE)</f>
        <v>Cash</v>
      </c>
      <c r="J775" s="5">
        <f>VLOOKUP(F775,'Set up'!$A$2:$D$70,4,FALSE)</f>
        <v>0</v>
      </c>
      <c r="K775" s="4">
        <f t="shared" si="138"/>
        <v>44693</v>
      </c>
      <c r="L775" s="5">
        <f t="shared" si="139"/>
        <v>5</v>
      </c>
      <c r="M775" s="5">
        <f t="shared" si="140"/>
        <v>2022</v>
      </c>
      <c r="N775" s="6">
        <v>2112</v>
      </c>
      <c r="O775" s="6">
        <f t="shared" ref="O775" si="143">-N775</f>
        <v>-2112</v>
      </c>
      <c r="P775" s="6">
        <f t="shared" si="127"/>
        <v>0</v>
      </c>
      <c r="Q775" s="7">
        <f t="shared" si="141"/>
        <v>1384039.0500000003</v>
      </c>
      <c r="R775" s="44" t="str">
        <f>VLOOKUP(F775,'Set up'!$A$2:$E$70,5,FALSE)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36"/>
        <v>5</v>
      </c>
      <c r="C776" s="5">
        <f t="shared" si="137"/>
        <v>2022</v>
      </c>
      <c r="D776" s="5" t="s">
        <v>769</v>
      </c>
      <c r="E776" s="5" t="str">
        <f>VLOOKUP(F776,'Set up'!$A$2:$C$70,2,FALSE)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up'!$A$2:$C$70,3,FALSE)</f>
        <v>Cash</v>
      </c>
      <c r="J776" s="5">
        <f>VLOOKUP(F776,'Set up'!$A$2:$D$70,4,FALSE)</f>
        <v>0</v>
      </c>
      <c r="K776" s="4">
        <f t="shared" si="138"/>
        <v>44693</v>
      </c>
      <c r="L776" s="5">
        <f t="shared" si="139"/>
        <v>5</v>
      </c>
      <c r="M776" s="5">
        <f t="shared" si="140"/>
        <v>2022</v>
      </c>
      <c r="N776" s="6">
        <v>1058.4000000000001</v>
      </c>
      <c r="O776" s="6">
        <f>-888-170.4</f>
        <v>-1058.4000000000001</v>
      </c>
      <c r="P776" s="6">
        <f t="shared" si="127"/>
        <v>0</v>
      </c>
      <c r="Q776" s="7">
        <f t="shared" si="141"/>
        <v>1385097.4500000002</v>
      </c>
      <c r="R776" s="44" t="str">
        <f>VLOOKUP(F776,'Set up'!$A$2:$E$70,5,FALSE)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36"/>
        <v>5</v>
      </c>
      <c r="C777" s="5">
        <f t="shared" si="137"/>
        <v>2022</v>
      </c>
      <c r="D777" s="5" t="s">
        <v>769</v>
      </c>
      <c r="E777" s="5" t="str">
        <f>VLOOKUP(F777,'Set up'!$A$2:$C$70,2,FALSE)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up'!$A$2:$C$70,3,FALSE)</f>
        <v>Cash</v>
      </c>
      <c r="J777" s="5">
        <f>VLOOKUP(F777,'Set up'!$A$2:$D$70,4,FALSE)</f>
        <v>0</v>
      </c>
      <c r="K777" s="4">
        <f t="shared" si="138"/>
        <v>44693</v>
      </c>
      <c r="L777" s="5">
        <f t="shared" si="139"/>
        <v>5</v>
      </c>
      <c r="M777" s="5">
        <f t="shared" si="140"/>
        <v>2022</v>
      </c>
      <c r="N777" s="6">
        <v>337.5</v>
      </c>
      <c r="O777" s="6">
        <f t="shared" ref="O777:O780" si="144">-N777</f>
        <v>-337.5</v>
      </c>
      <c r="P777" s="6">
        <f t="shared" si="127"/>
        <v>0</v>
      </c>
      <c r="Q777" s="7">
        <f t="shared" si="141"/>
        <v>1385434.9500000002</v>
      </c>
      <c r="R777" s="44" t="str">
        <f>VLOOKUP(F777,'Set up'!$A$2:$E$70,5,FALSE)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36"/>
        <v>5</v>
      </c>
      <c r="C778" s="5">
        <f t="shared" si="137"/>
        <v>2022</v>
      </c>
      <c r="D778" s="5" t="s">
        <v>769</v>
      </c>
      <c r="E778" s="5" t="str">
        <f>VLOOKUP(F778,'Set up'!$A$2:$C$70,2,FALSE)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up'!$A$2:$C$70,3,FALSE)</f>
        <v>Cash</v>
      </c>
      <c r="J778" s="5">
        <f>VLOOKUP(F778,'Set up'!$A$2:$D$70,4,FALSE)</f>
        <v>0</v>
      </c>
      <c r="K778" s="4">
        <f t="shared" si="138"/>
        <v>44693</v>
      </c>
      <c r="L778" s="5">
        <f t="shared" si="139"/>
        <v>5</v>
      </c>
      <c r="M778" s="5">
        <f t="shared" si="140"/>
        <v>2022</v>
      </c>
      <c r="N778" s="6">
        <v>450</v>
      </c>
      <c r="O778" s="6">
        <f t="shared" si="144"/>
        <v>-450</v>
      </c>
      <c r="P778" s="6">
        <f t="shared" si="127"/>
        <v>0</v>
      </c>
      <c r="Q778" s="7">
        <f t="shared" si="141"/>
        <v>1385884.9500000002</v>
      </c>
      <c r="R778" s="44" t="str">
        <f>VLOOKUP(F778,'Set up'!$A$2:$E$70,5,FALSE)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36"/>
        <v>5</v>
      </c>
      <c r="C779" s="5">
        <f t="shared" si="137"/>
        <v>2022</v>
      </c>
      <c r="D779" s="5" t="s">
        <v>769</v>
      </c>
      <c r="E779" s="5" t="str">
        <f>VLOOKUP(F779,'Set up'!$A$2:$C$70,2,FALSE)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up'!$A$2:$C$70,3,FALSE)</f>
        <v>Cash</v>
      </c>
      <c r="J779" s="5">
        <f>VLOOKUP(F779,'Set up'!$A$2:$D$70,4,FALSE)</f>
        <v>0</v>
      </c>
      <c r="K779" s="4">
        <f t="shared" si="138"/>
        <v>44693</v>
      </c>
      <c r="L779" s="5">
        <f t="shared" si="139"/>
        <v>5</v>
      </c>
      <c r="M779" s="5">
        <f t="shared" si="140"/>
        <v>2022</v>
      </c>
      <c r="N779" s="6">
        <v>270</v>
      </c>
      <c r="O779" s="6">
        <f t="shared" si="144"/>
        <v>-270</v>
      </c>
      <c r="P779" s="6">
        <f t="shared" si="127"/>
        <v>0</v>
      </c>
      <c r="Q779" s="7">
        <f t="shared" si="141"/>
        <v>1386154.9500000002</v>
      </c>
      <c r="R779" s="44" t="str">
        <f>VLOOKUP(F779,'Set up'!$A$2:$E$70,5,FALSE)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36"/>
        <v>5</v>
      </c>
      <c r="C780" s="5">
        <f t="shared" si="137"/>
        <v>2022</v>
      </c>
      <c r="D780" s="5" t="s">
        <v>769</v>
      </c>
      <c r="E780" s="5" t="str">
        <f>VLOOKUP(F780,'Set up'!$A$2:$C$70,2,FALSE)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up'!$A$2:$C$70,3,FALSE)</f>
        <v>Cash</v>
      </c>
      <c r="J780" s="5">
        <f>VLOOKUP(F780,'Set up'!$A$2:$D$70,4,FALSE)</f>
        <v>0</v>
      </c>
      <c r="K780" s="4">
        <f t="shared" si="138"/>
        <v>44693</v>
      </c>
      <c r="L780" s="5">
        <f t="shared" si="139"/>
        <v>5</v>
      </c>
      <c r="M780" s="5">
        <f t="shared" si="140"/>
        <v>2022</v>
      </c>
      <c r="N780" s="6">
        <v>90</v>
      </c>
      <c r="O780" s="6">
        <f t="shared" si="144"/>
        <v>-90</v>
      </c>
      <c r="P780" s="6">
        <f t="shared" si="127"/>
        <v>0</v>
      </c>
      <c r="Q780" s="7">
        <f t="shared" si="141"/>
        <v>1386244.9500000002</v>
      </c>
      <c r="R780" s="44" t="str">
        <f>VLOOKUP(F780,'Set up'!$A$2:$E$70,5,FALSE)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36"/>
        <v>5</v>
      </c>
      <c r="C781" s="5">
        <f t="shared" si="137"/>
        <v>2022</v>
      </c>
      <c r="D781" s="5" t="s">
        <v>774</v>
      </c>
      <c r="E781" s="5" t="str">
        <f>VLOOKUP(F781,'Set up'!$A$2:$C$70,2,FALSE)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up'!$A$2:$C$70,3,FALSE)</f>
        <v>Cash</v>
      </c>
      <c r="J781" s="5">
        <f>VLOOKUP(F781,'Set up'!$A$2:$D$70,4,FALSE)</f>
        <v>0</v>
      </c>
      <c r="K781" s="4">
        <f t="shared" si="138"/>
        <v>44693</v>
      </c>
      <c r="L781" s="5">
        <f t="shared" si="139"/>
        <v>5</v>
      </c>
      <c r="M781" s="5">
        <f t="shared" si="140"/>
        <v>2022</v>
      </c>
      <c r="N781" s="6">
        <v>4180</v>
      </c>
      <c r="O781" s="6">
        <f t="shared" ref="O781:O786" si="145">-N781</f>
        <v>-4180</v>
      </c>
      <c r="P781" s="6">
        <f t="shared" si="127"/>
        <v>0</v>
      </c>
      <c r="Q781" s="7">
        <f t="shared" si="141"/>
        <v>1390424.9500000002</v>
      </c>
      <c r="R781" s="44" t="str">
        <f>VLOOKUP(F781,'Set up'!$A$2:$E$70,5,FALSE)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36"/>
        <v>5</v>
      </c>
      <c r="C782" s="5">
        <f t="shared" si="137"/>
        <v>2022</v>
      </c>
      <c r="D782" s="5" t="s">
        <v>774</v>
      </c>
      <c r="E782" s="5" t="str">
        <f>VLOOKUP(F782,'Set up'!$A$2:$C$70,2,FALSE)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up'!$A$2:$C$70,3,FALSE)</f>
        <v>Cash</v>
      </c>
      <c r="J782" s="5">
        <f>VLOOKUP(F782,'Set up'!$A$2:$D$70,4,FALSE)</f>
        <v>0</v>
      </c>
      <c r="K782" s="4">
        <f t="shared" si="138"/>
        <v>44693</v>
      </c>
      <c r="L782" s="5">
        <f t="shared" si="139"/>
        <v>5</v>
      </c>
      <c r="M782" s="5">
        <f t="shared" si="140"/>
        <v>2022</v>
      </c>
      <c r="N782" s="6">
        <v>1764</v>
      </c>
      <c r="O782" s="6">
        <f t="shared" si="145"/>
        <v>-1764</v>
      </c>
      <c r="P782" s="6">
        <f t="shared" si="127"/>
        <v>0</v>
      </c>
      <c r="Q782" s="7">
        <f t="shared" si="141"/>
        <v>1392188.9500000002</v>
      </c>
      <c r="R782" s="44" t="str">
        <f>VLOOKUP(F782,'Set up'!$A$2:$E$70,5,FALSE)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36"/>
        <v>5</v>
      </c>
      <c r="C783" s="5">
        <f t="shared" si="137"/>
        <v>2022</v>
      </c>
      <c r="D783" s="5" t="s">
        <v>774</v>
      </c>
      <c r="E783" s="5" t="str">
        <f>VLOOKUP(F783,'Set up'!$A$2:$C$70,2,FALSE)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up'!$A$2:$C$70,3,FALSE)</f>
        <v>Cash</v>
      </c>
      <c r="J783" s="5">
        <f>VLOOKUP(F783,'Set up'!$A$2:$D$70,4,FALSE)</f>
        <v>0</v>
      </c>
      <c r="K783" s="4">
        <f t="shared" si="138"/>
        <v>44693</v>
      </c>
      <c r="L783" s="5">
        <f t="shared" si="139"/>
        <v>5</v>
      </c>
      <c r="M783" s="5">
        <f t="shared" si="140"/>
        <v>2022</v>
      </c>
      <c r="N783" s="6">
        <v>1053</v>
      </c>
      <c r="O783" s="6">
        <f t="shared" si="145"/>
        <v>-1053</v>
      </c>
      <c r="P783" s="6">
        <f t="shared" si="127"/>
        <v>0</v>
      </c>
      <c r="Q783" s="7">
        <f t="shared" si="141"/>
        <v>1393241.9500000002</v>
      </c>
      <c r="R783" s="44" t="str">
        <f>VLOOKUP(F783,'Set up'!$A$2:$E$70,5,FALSE)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36"/>
        <v>5</v>
      </c>
      <c r="C784" s="5">
        <f t="shared" si="137"/>
        <v>2022</v>
      </c>
      <c r="D784" s="5" t="s">
        <v>774</v>
      </c>
      <c r="E784" s="5" t="str">
        <f>VLOOKUP(F784,'Set up'!$A$2:$C$70,2,FALSE)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up'!$A$2:$C$70,3,FALSE)</f>
        <v>Cash</v>
      </c>
      <c r="J784" s="5">
        <f>VLOOKUP(F784,'Set up'!$A$2:$D$70,4,FALSE)</f>
        <v>0</v>
      </c>
      <c r="K784" s="4">
        <f t="shared" si="138"/>
        <v>44693</v>
      </c>
      <c r="L784" s="5">
        <f t="shared" si="139"/>
        <v>5</v>
      </c>
      <c r="M784" s="5">
        <f t="shared" si="140"/>
        <v>2022</v>
      </c>
      <c r="N784" s="6">
        <v>187.5</v>
      </c>
      <c r="O784" s="6">
        <f t="shared" si="145"/>
        <v>-187.5</v>
      </c>
      <c r="P784" s="6">
        <f t="shared" si="127"/>
        <v>0</v>
      </c>
      <c r="Q784" s="7">
        <f t="shared" si="141"/>
        <v>1393429.4500000002</v>
      </c>
      <c r="R784" s="44" t="str">
        <f>VLOOKUP(F784,'Set up'!$A$2:$E$70,5,FALSE)</f>
        <v>Trsf</v>
      </c>
      <c r="S784" s="1" t="s">
        <v>810</v>
      </c>
    </row>
    <row r="785" spans="1:21" x14ac:dyDescent="0.35">
      <c r="A785" s="4">
        <v>44693</v>
      </c>
      <c r="B785" s="5">
        <f t="shared" si="136"/>
        <v>5</v>
      </c>
      <c r="C785" s="5">
        <f t="shared" si="137"/>
        <v>2022</v>
      </c>
      <c r="D785" s="5" t="s">
        <v>774</v>
      </c>
      <c r="E785" s="5" t="str">
        <f>VLOOKUP(F785,'Set up'!$A$2:$C$70,2,FALSE)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up'!$A$2:$C$70,3,FALSE)</f>
        <v>Cash</v>
      </c>
      <c r="J785" s="5">
        <f>VLOOKUP(F785,'Set up'!$A$2:$D$70,4,FALSE)</f>
        <v>0</v>
      </c>
      <c r="K785" s="4">
        <f t="shared" si="138"/>
        <v>44693</v>
      </c>
      <c r="L785" s="5">
        <f t="shared" si="139"/>
        <v>5</v>
      </c>
      <c r="M785" s="5">
        <f t="shared" si="140"/>
        <v>2022</v>
      </c>
      <c r="N785" s="6">
        <v>340</v>
      </c>
      <c r="O785" s="6">
        <f t="shared" si="145"/>
        <v>-340</v>
      </c>
      <c r="P785" s="6">
        <f t="shared" si="127"/>
        <v>0</v>
      </c>
      <c r="Q785" s="7">
        <f t="shared" si="141"/>
        <v>1393769.4500000002</v>
      </c>
      <c r="R785" s="44" t="str">
        <f>VLOOKUP(F785,'Set up'!$A$2:$E$70,5,FALSE)</f>
        <v>Trsf</v>
      </c>
      <c r="S785" s="1" t="s">
        <v>810</v>
      </c>
    </row>
    <row r="786" spans="1:21" x14ac:dyDescent="0.35">
      <c r="A786" s="4">
        <v>44693</v>
      </c>
      <c r="B786" s="5">
        <f t="shared" si="136"/>
        <v>5</v>
      </c>
      <c r="C786" s="5">
        <f t="shared" si="137"/>
        <v>2022</v>
      </c>
      <c r="D786" s="5" t="s">
        <v>774</v>
      </c>
      <c r="E786" s="5" t="str">
        <f>VLOOKUP(F786,'Set up'!$A$2:$C$70,2,FALSE)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up'!$A$2:$C$70,3,FALSE)</f>
        <v>Cash</v>
      </c>
      <c r="J786" s="5">
        <f>VLOOKUP(F786,'Set up'!$A$2:$D$70,4,FALSE)</f>
        <v>0</v>
      </c>
      <c r="K786" s="4">
        <f t="shared" si="138"/>
        <v>44693</v>
      </c>
      <c r="L786" s="5">
        <f t="shared" si="139"/>
        <v>5</v>
      </c>
      <c r="M786" s="5">
        <f t="shared" si="140"/>
        <v>2022</v>
      </c>
      <c r="N786" s="6">
        <v>1000</v>
      </c>
      <c r="O786" s="6">
        <f t="shared" si="145"/>
        <v>-1000</v>
      </c>
      <c r="P786" s="6">
        <f t="shared" si="127"/>
        <v>0</v>
      </c>
      <c r="Q786" s="7">
        <f t="shared" si="141"/>
        <v>1394769.4500000002</v>
      </c>
      <c r="R786" s="44" t="str">
        <f>VLOOKUP(F786,'Set up'!$A$2:$E$70,5,FALSE)</f>
        <v>Trsf</v>
      </c>
      <c r="S786" s="1" t="s">
        <v>810</v>
      </c>
    </row>
    <row r="787" spans="1:21" x14ac:dyDescent="0.35">
      <c r="A787" s="4">
        <v>44695</v>
      </c>
      <c r="B787" s="5">
        <f t="shared" si="136"/>
        <v>5</v>
      </c>
      <c r="C787" s="5">
        <f t="shared" si="137"/>
        <v>2022</v>
      </c>
      <c r="D787" s="5" t="s">
        <v>776</v>
      </c>
      <c r="E787" s="5" t="str">
        <f>VLOOKUP(F787,'Set up'!$A$2:$C$70,2,FALSE)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up'!$A$2:$C$70,3,FALSE)</f>
        <v>Cash</v>
      </c>
      <c r="J787" s="5">
        <f>VLOOKUP(F787,'Set up'!$A$2:$D$70,4,FALSE)</f>
        <v>0</v>
      </c>
      <c r="K787" s="4">
        <f t="shared" si="138"/>
        <v>44695</v>
      </c>
      <c r="L787" s="5">
        <f t="shared" si="139"/>
        <v>5</v>
      </c>
      <c r="M787" s="5">
        <f t="shared" si="140"/>
        <v>2022</v>
      </c>
      <c r="N787" s="6">
        <v>100</v>
      </c>
      <c r="O787" s="6">
        <f t="shared" ref="O787" si="146">SUM(-N787)</f>
        <v>-100</v>
      </c>
      <c r="P787" s="6">
        <f t="shared" si="127"/>
        <v>0</v>
      </c>
      <c r="Q787" s="7">
        <f t="shared" si="141"/>
        <v>1394869.4500000002</v>
      </c>
      <c r="R787" s="44" t="str">
        <f>VLOOKUP(F787,'Set up'!$A$2:$E$70,5,FALSE)</f>
        <v>Chq</v>
      </c>
      <c r="S787" s="1" t="s">
        <v>880</v>
      </c>
    </row>
    <row r="788" spans="1:21" x14ac:dyDescent="0.35">
      <c r="A788" s="4">
        <v>44695</v>
      </c>
      <c r="B788" s="5">
        <f t="shared" si="136"/>
        <v>5</v>
      </c>
      <c r="C788" s="5">
        <f t="shared" si="137"/>
        <v>2022</v>
      </c>
      <c r="D788" s="5" t="s">
        <v>777</v>
      </c>
      <c r="E788" s="5" t="str">
        <f>VLOOKUP(F788,'Set up'!$A$2:$C$70,2,FALSE)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up'!$A$2:$C$70,3,FALSE)</f>
        <v>Cash</v>
      </c>
      <c r="J788" s="5">
        <f>VLOOKUP(F788,'Set up'!$A$2:$D$70,4,FALSE)</f>
        <v>0</v>
      </c>
      <c r="K788" s="4">
        <f t="shared" si="138"/>
        <v>44695</v>
      </c>
      <c r="L788" s="5">
        <f t="shared" si="139"/>
        <v>5</v>
      </c>
      <c r="M788" s="5">
        <f t="shared" si="140"/>
        <v>2022</v>
      </c>
      <c r="N788" s="6">
        <v>6270</v>
      </c>
      <c r="O788" s="6">
        <f>-2626.3-2500-1000-143.7</f>
        <v>-6270</v>
      </c>
      <c r="P788" s="6">
        <f t="shared" si="127"/>
        <v>0</v>
      </c>
      <c r="Q788" s="7">
        <f t="shared" si="141"/>
        <v>1401139.4500000002</v>
      </c>
      <c r="R788" s="44" t="str">
        <f>VLOOKUP(F788,'Set up'!$A$2:$E$70,5,FALSE)</f>
        <v>Trsf</v>
      </c>
      <c r="S788" s="1" t="s">
        <v>1152</v>
      </c>
    </row>
    <row r="789" spans="1:21" x14ac:dyDescent="0.35">
      <c r="A789" s="4">
        <v>44695</v>
      </c>
      <c r="B789" s="5">
        <f t="shared" si="136"/>
        <v>5</v>
      </c>
      <c r="C789" s="5">
        <f t="shared" si="137"/>
        <v>2022</v>
      </c>
      <c r="D789" s="5" t="s">
        <v>777</v>
      </c>
      <c r="E789" s="5" t="str">
        <f>VLOOKUP(F789,'Set up'!$A$2:$C$70,2,FALSE)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up'!$A$2:$C$70,3,FALSE)</f>
        <v>Cash</v>
      </c>
      <c r="J789" s="5">
        <f>VLOOKUP(F789,'Set up'!$A$2:$D$70,4,FALSE)</f>
        <v>0</v>
      </c>
      <c r="K789" s="4">
        <f t="shared" si="138"/>
        <v>44695</v>
      </c>
      <c r="L789" s="5">
        <f t="shared" si="139"/>
        <v>5</v>
      </c>
      <c r="M789" s="5">
        <f t="shared" si="140"/>
        <v>2022</v>
      </c>
      <c r="N789" s="6">
        <v>2352</v>
      </c>
      <c r="O789" s="6">
        <f t="shared" ref="O789:O791" si="147">-N789</f>
        <v>-2352</v>
      </c>
      <c r="P789" s="6">
        <f t="shared" ref="P789:P852" si="148">SUM(N789+O789)</f>
        <v>0</v>
      </c>
      <c r="Q789" s="7">
        <f t="shared" si="141"/>
        <v>1403491.4500000002</v>
      </c>
      <c r="R789" s="44" t="str">
        <f>VLOOKUP(F789,'Set up'!$A$2:$E$70,5,FALSE)</f>
        <v>Trsf</v>
      </c>
      <c r="S789" s="1" t="s">
        <v>1153</v>
      </c>
    </row>
    <row r="790" spans="1:21" x14ac:dyDescent="0.35">
      <c r="A790" s="4">
        <v>44695</v>
      </c>
      <c r="B790" s="5">
        <f t="shared" si="136"/>
        <v>5</v>
      </c>
      <c r="C790" s="5">
        <f t="shared" si="137"/>
        <v>2022</v>
      </c>
      <c r="D790" s="5" t="s">
        <v>777</v>
      </c>
      <c r="E790" s="5" t="str">
        <f>VLOOKUP(F790,'Set up'!$A$2:$C$70,2,FALSE)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up'!$A$2:$C$70,3,FALSE)</f>
        <v>Cash</v>
      </c>
      <c r="J790" s="5">
        <f>VLOOKUP(F790,'Set up'!$A$2:$D$70,4,FALSE)</f>
        <v>0</v>
      </c>
      <c r="K790" s="4">
        <f t="shared" si="138"/>
        <v>44695</v>
      </c>
      <c r="L790" s="5">
        <f t="shared" si="139"/>
        <v>5</v>
      </c>
      <c r="M790" s="5">
        <f t="shared" si="140"/>
        <v>2022</v>
      </c>
      <c r="N790" s="6">
        <v>1560</v>
      </c>
      <c r="O790" s="6">
        <f t="shared" si="147"/>
        <v>-1560</v>
      </c>
      <c r="P790" s="6">
        <f t="shared" si="148"/>
        <v>0</v>
      </c>
      <c r="Q790" s="7">
        <f t="shared" si="141"/>
        <v>1405051.4500000002</v>
      </c>
      <c r="R790" s="44" t="str">
        <f>VLOOKUP(F790,'Set up'!$A$2:$E$70,5,FALSE)</f>
        <v>Trsf</v>
      </c>
      <c r="S790" s="1" t="s">
        <v>1153</v>
      </c>
    </row>
    <row r="791" spans="1:21" x14ac:dyDescent="0.35">
      <c r="A791" s="4">
        <v>44695</v>
      </c>
      <c r="B791" s="5">
        <f t="shared" si="136"/>
        <v>5</v>
      </c>
      <c r="C791" s="5">
        <f t="shared" si="137"/>
        <v>2022</v>
      </c>
      <c r="D791" s="5" t="s">
        <v>777</v>
      </c>
      <c r="E791" s="5" t="str">
        <f>VLOOKUP(F791,'Set up'!$A$2:$C$70,2,FALSE)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up'!$A$2:$C$70,3,FALSE)</f>
        <v>Cash</v>
      </c>
      <c r="J791" s="5">
        <f>VLOOKUP(F791,'Set up'!$A$2:$D$70,4,FALSE)</f>
        <v>0</v>
      </c>
      <c r="K791" s="4">
        <f t="shared" si="138"/>
        <v>44695</v>
      </c>
      <c r="L791" s="5">
        <f t="shared" si="139"/>
        <v>5</v>
      </c>
      <c r="M791" s="5">
        <f t="shared" si="140"/>
        <v>2022</v>
      </c>
      <c r="N791" s="6">
        <v>187.5</v>
      </c>
      <c r="O791" s="6">
        <f t="shared" si="147"/>
        <v>-187.5</v>
      </c>
      <c r="P791" s="6">
        <f t="shared" si="148"/>
        <v>0</v>
      </c>
      <c r="Q791" s="7">
        <f t="shared" si="141"/>
        <v>1405238.9500000002</v>
      </c>
      <c r="R791" s="44" t="str">
        <f>VLOOKUP(F791,'Set up'!$A$2:$E$70,5,FALSE)</f>
        <v>Trsf</v>
      </c>
      <c r="S791" s="1" t="s">
        <v>1153</v>
      </c>
    </row>
    <row r="792" spans="1:21" ht="93" x14ac:dyDescent="0.35">
      <c r="A792" s="4">
        <v>44697</v>
      </c>
      <c r="B792" s="5">
        <f t="shared" si="136"/>
        <v>5</v>
      </c>
      <c r="C792" s="5">
        <f t="shared" si="137"/>
        <v>2022</v>
      </c>
      <c r="D792" s="5" t="s">
        <v>779</v>
      </c>
      <c r="E792" s="5" t="str">
        <f>VLOOKUP(F792,'Set up'!$A$2:$C$70,2,FALSE)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up'!$A$2:$C$70,3,FALSE)</f>
        <v>45</v>
      </c>
      <c r="J792" s="5">
        <f>VLOOKUP(F792,'Set up'!$A$2:$D$70,4,FALSE)</f>
        <v>45</v>
      </c>
      <c r="K792" s="4">
        <f t="shared" si="138"/>
        <v>44742</v>
      </c>
      <c r="L792" s="5">
        <f t="shared" si="139"/>
        <v>6</v>
      </c>
      <c r="M792" s="5">
        <f t="shared" si="140"/>
        <v>2022</v>
      </c>
      <c r="N792" s="6">
        <v>6336</v>
      </c>
      <c r="O792" s="6">
        <f>-2000-2000-1336-1000</f>
        <v>-6336</v>
      </c>
      <c r="P792" s="6">
        <f t="shared" si="148"/>
        <v>0</v>
      </c>
      <c r="Q792" s="7">
        <f t="shared" si="141"/>
        <v>1411574.9500000002</v>
      </c>
      <c r="R792" s="44" t="str">
        <f>VLOOKUP(F792,'Set up'!$A$2:$E$70,5,FALSE)</f>
        <v>PD Chq</v>
      </c>
      <c r="S792" s="40" t="s">
        <v>875</v>
      </c>
      <c r="U792" s="1" t="s">
        <v>3603</v>
      </c>
    </row>
    <row r="793" spans="1:21" ht="46.5" x14ac:dyDescent="0.35">
      <c r="A793" s="4">
        <v>44697</v>
      </c>
      <c r="B793" s="5">
        <f t="shared" si="136"/>
        <v>5</v>
      </c>
      <c r="C793" s="5">
        <f t="shared" si="137"/>
        <v>2022</v>
      </c>
      <c r="D793" s="5" t="s">
        <v>779</v>
      </c>
      <c r="E793" s="5" t="str">
        <f>VLOOKUP(F793,'Set up'!$A$2:$C$70,2,FALSE)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up'!$A$2:$C$70,3,FALSE)</f>
        <v>45</v>
      </c>
      <c r="J793" s="5">
        <f>VLOOKUP(F793,'Set up'!$A$2:$D$70,4,FALSE)</f>
        <v>45</v>
      </c>
      <c r="K793" s="4">
        <f t="shared" si="138"/>
        <v>44742</v>
      </c>
      <c r="L793" s="5">
        <f t="shared" si="139"/>
        <v>6</v>
      </c>
      <c r="M793" s="5">
        <f t="shared" si="140"/>
        <v>2022</v>
      </c>
      <c r="N793" s="6">
        <v>325</v>
      </c>
      <c r="O793" s="6">
        <f>-N793</f>
        <v>-325</v>
      </c>
      <c r="P793" s="6">
        <f t="shared" si="148"/>
        <v>0</v>
      </c>
      <c r="Q793" s="7">
        <f t="shared" si="141"/>
        <v>1411899.9500000002</v>
      </c>
      <c r="R793" s="44" t="str">
        <f>VLOOKUP(F793,'Set up'!$A$2:$E$70,5,FALSE)</f>
        <v>PD Chq</v>
      </c>
      <c r="S793" s="40" t="s">
        <v>876</v>
      </c>
      <c r="U793" s="1" t="s">
        <v>3603</v>
      </c>
    </row>
    <row r="794" spans="1:21" x14ac:dyDescent="0.35">
      <c r="A794" s="4">
        <v>44697</v>
      </c>
      <c r="B794" s="5">
        <f t="shared" si="136"/>
        <v>5</v>
      </c>
      <c r="C794" s="5">
        <f t="shared" si="137"/>
        <v>2022</v>
      </c>
      <c r="D794" s="5" t="s">
        <v>779</v>
      </c>
      <c r="E794" s="5" t="str">
        <f>VLOOKUP(F794,'Set up'!$A$2:$C$70,2,FALSE)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up'!$A$2:$C$70,3,FALSE)</f>
        <v>45</v>
      </c>
      <c r="J794" s="5">
        <f>VLOOKUP(F794,'Set up'!$A$2:$D$70,4,FALSE)</f>
        <v>45</v>
      </c>
      <c r="K794" s="4">
        <f t="shared" si="138"/>
        <v>44742</v>
      </c>
      <c r="L794" s="5">
        <f t="shared" si="139"/>
        <v>6</v>
      </c>
      <c r="M794" s="5">
        <f t="shared" si="140"/>
        <v>2022</v>
      </c>
      <c r="N794" s="6">
        <v>630</v>
      </c>
      <c r="O794" s="6">
        <f>-N794</f>
        <v>-630</v>
      </c>
      <c r="P794" s="6">
        <f t="shared" si="148"/>
        <v>0</v>
      </c>
      <c r="Q794" s="7">
        <f t="shared" si="141"/>
        <v>1412529.9500000002</v>
      </c>
      <c r="R794" s="44" t="str">
        <f>VLOOKUP(F794,'Set up'!$A$2:$E$70,5,FALSE)</f>
        <v>PD Chq</v>
      </c>
      <c r="S794" s="1" t="s">
        <v>877</v>
      </c>
      <c r="U794" s="1" t="s">
        <v>3603</v>
      </c>
    </row>
    <row r="795" spans="1:21" x14ac:dyDescent="0.35">
      <c r="A795" s="4">
        <v>44697</v>
      </c>
      <c r="B795" s="5">
        <f t="shared" si="136"/>
        <v>5</v>
      </c>
      <c r="C795" s="5">
        <f t="shared" si="137"/>
        <v>2022</v>
      </c>
      <c r="D795" s="5" t="s">
        <v>779</v>
      </c>
      <c r="E795" s="5" t="str">
        <f>VLOOKUP(F795,'Set up'!$A$2:$C$70,2,FALSE)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up'!$A$2:$C$70,3,FALSE)</f>
        <v>45</v>
      </c>
      <c r="J795" s="5">
        <f>VLOOKUP(F795,'Set up'!$A$2:$D$70,4,FALSE)</f>
        <v>45</v>
      </c>
      <c r="K795" s="4">
        <f t="shared" si="138"/>
        <v>44742</v>
      </c>
      <c r="L795" s="5">
        <f t="shared" si="139"/>
        <v>6</v>
      </c>
      <c r="M795" s="5">
        <f t="shared" si="140"/>
        <v>2022</v>
      </c>
      <c r="N795" s="6">
        <v>45</v>
      </c>
      <c r="O795" s="6">
        <f>-N795</f>
        <v>-45</v>
      </c>
      <c r="P795" s="6">
        <f t="shared" si="148"/>
        <v>0</v>
      </c>
      <c r="Q795" s="7">
        <f t="shared" si="141"/>
        <v>1412574.9500000002</v>
      </c>
      <c r="R795" s="44" t="str">
        <f>VLOOKUP(F795,'Set up'!$A$2:$E$70,5,FALSE)</f>
        <v>PD Chq</v>
      </c>
      <c r="S795" s="1" t="s">
        <v>877</v>
      </c>
      <c r="U795" s="1" t="s">
        <v>3603</v>
      </c>
    </row>
    <row r="796" spans="1:21" x14ac:dyDescent="0.35">
      <c r="A796" s="4">
        <v>44699</v>
      </c>
      <c r="B796" s="5">
        <f t="shared" si="136"/>
        <v>5</v>
      </c>
      <c r="C796" s="5">
        <f t="shared" si="137"/>
        <v>2022</v>
      </c>
      <c r="D796" s="5" t="s">
        <v>780</v>
      </c>
      <c r="E796" s="5" t="str">
        <f>VLOOKUP(F796,'Set up'!$A$2:$C$70,2,FALSE)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up'!$A$2:$C$70,3,FALSE)</f>
        <v>Cash</v>
      </c>
      <c r="J796" s="5">
        <f>VLOOKUP(F796,'Set up'!$A$2:$D$70,4,FALSE)</f>
        <v>0</v>
      </c>
      <c r="K796" s="4">
        <f t="shared" si="138"/>
        <v>44699</v>
      </c>
      <c r="L796" s="5">
        <f t="shared" si="139"/>
        <v>5</v>
      </c>
      <c r="M796" s="5">
        <f t="shared" si="140"/>
        <v>2022</v>
      </c>
      <c r="N796" s="6">
        <v>4180</v>
      </c>
      <c r="O796" s="6">
        <f t="shared" ref="O796:O799" si="149">-N796</f>
        <v>-4180</v>
      </c>
      <c r="P796" s="6">
        <f t="shared" si="148"/>
        <v>0</v>
      </c>
      <c r="Q796" s="7">
        <f t="shared" si="141"/>
        <v>1416754.9500000002</v>
      </c>
      <c r="R796" s="44" t="str">
        <f>VLOOKUP(F796,'Set up'!$A$2:$E$70,5,FALSE)</f>
        <v>Trsf</v>
      </c>
      <c r="S796" s="1" t="s">
        <v>1153</v>
      </c>
    </row>
    <row r="797" spans="1:21" x14ac:dyDescent="0.35">
      <c r="A797" s="4">
        <v>44699</v>
      </c>
      <c r="B797" s="5">
        <f t="shared" si="136"/>
        <v>5</v>
      </c>
      <c r="C797" s="5">
        <f t="shared" si="137"/>
        <v>2022</v>
      </c>
      <c r="D797" s="5" t="s">
        <v>780</v>
      </c>
      <c r="E797" s="5" t="str">
        <f>VLOOKUP(F797,'Set up'!$A$2:$C$70,2,FALSE)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up'!$A$2:$C$70,3,FALSE)</f>
        <v>Cash</v>
      </c>
      <c r="J797" s="5">
        <f>VLOOKUP(F797,'Set up'!$A$2:$D$70,4,FALSE)</f>
        <v>0</v>
      </c>
      <c r="K797" s="4">
        <f t="shared" si="138"/>
        <v>44699</v>
      </c>
      <c r="L797" s="5">
        <f t="shared" si="139"/>
        <v>5</v>
      </c>
      <c r="M797" s="5">
        <f t="shared" si="140"/>
        <v>2022</v>
      </c>
      <c r="N797" s="6">
        <v>1176</v>
      </c>
      <c r="O797" s="6">
        <f t="shared" si="149"/>
        <v>-1176</v>
      </c>
      <c r="P797" s="6">
        <f t="shared" si="148"/>
        <v>0</v>
      </c>
      <c r="Q797" s="7">
        <f t="shared" si="141"/>
        <v>1417930.9500000002</v>
      </c>
      <c r="R797" s="44" t="str">
        <f>VLOOKUP(F797,'Set up'!$A$2:$E$70,5,FALSE)</f>
        <v>Trsf</v>
      </c>
      <c r="S797" s="1" t="s">
        <v>1153</v>
      </c>
    </row>
    <row r="798" spans="1:21" x14ac:dyDescent="0.35">
      <c r="A798" s="4">
        <v>44699</v>
      </c>
      <c r="B798" s="5">
        <f t="shared" si="136"/>
        <v>5</v>
      </c>
      <c r="C798" s="5">
        <f t="shared" si="137"/>
        <v>2022</v>
      </c>
      <c r="D798" s="5" t="s">
        <v>780</v>
      </c>
      <c r="E798" s="5" t="str">
        <f>VLOOKUP(F798,'Set up'!$A$2:$C$70,2,FALSE)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up'!$A$2:$C$70,3,FALSE)</f>
        <v>Cash</v>
      </c>
      <c r="J798" s="5">
        <f>VLOOKUP(F798,'Set up'!$A$2:$D$70,4,FALSE)</f>
        <v>0</v>
      </c>
      <c r="K798" s="4">
        <f t="shared" si="138"/>
        <v>44699</v>
      </c>
      <c r="L798" s="5">
        <f t="shared" si="139"/>
        <v>5</v>
      </c>
      <c r="M798" s="5">
        <f t="shared" si="140"/>
        <v>2022</v>
      </c>
      <c r="N798" s="6">
        <v>936</v>
      </c>
      <c r="O798" s="6">
        <f t="shared" si="149"/>
        <v>-936</v>
      </c>
      <c r="P798" s="6">
        <f t="shared" si="148"/>
        <v>0</v>
      </c>
      <c r="Q798" s="7">
        <f t="shared" si="141"/>
        <v>1418866.9500000002</v>
      </c>
      <c r="R798" s="44" t="str">
        <f>VLOOKUP(F798,'Set up'!$A$2:$E$70,5,FALSE)</f>
        <v>Trsf</v>
      </c>
      <c r="S798" s="1" t="s">
        <v>1153</v>
      </c>
    </row>
    <row r="799" spans="1:21" x14ac:dyDescent="0.35">
      <c r="A799" s="4">
        <v>44699</v>
      </c>
      <c r="B799" s="5">
        <f t="shared" si="136"/>
        <v>5</v>
      </c>
      <c r="C799" s="5">
        <f t="shared" si="137"/>
        <v>2022</v>
      </c>
      <c r="D799" s="5" t="s">
        <v>780</v>
      </c>
      <c r="E799" s="5" t="str">
        <f>VLOOKUP(F799,'Set up'!$A$2:$C$70,2,FALSE)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up'!$A$2:$C$70,3,FALSE)</f>
        <v>Cash</v>
      </c>
      <c r="J799" s="5">
        <f>VLOOKUP(F799,'Set up'!$A$2:$D$70,4,FALSE)</f>
        <v>0</v>
      </c>
      <c r="K799" s="4">
        <f t="shared" si="138"/>
        <v>44699</v>
      </c>
      <c r="L799" s="5">
        <f t="shared" si="139"/>
        <v>5</v>
      </c>
      <c r="M799" s="5">
        <f t="shared" si="140"/>
        <v>2022</v>
      </c>
      <c r="N799" s="6">
        <v>125</v>
      </c>
      <c r="O799" s="6">
        <f t="shared" si="149"/>
        <v>-125</v>
      </c>
      <c r="P799" s="6">
        <f t="shared" si="148"/>
        <v>0</v>
      </c>
      <c r="Q799" s="7">
        <f t="shared" si="141"/>
        <v>1418991.9500000002</v>
      </c>
      <c r="R799" s="44" t="str">
        <f>VLOOKUP(F799,'Set up'!$A$2:$E$70,5,FALSE)</f>
        <v>Trsf</v>
      </c>
      <c r="S799" s="1" t="s">
        <v>1153</v>
      </c>
    </row>
    <row r="800" spans="1:21" x14ac:dyDescent="0.35">
      <c r="A800" s="4">
        <v>44699</v>
      </c>
      <c r="B800" s="5">
        <f t="shared" si="136"/>
        <v>5</v>
      </c>
      <c r="C800" s="5">
        <f t="shared" si="137"/>
        <v>2022</v>
      </c>
      <c r="D800" s="5" t="s">
        <v>780</v>
      </c>
      <c r="E800" s="5" t="str">
        <f>VLOOKUP(F800,'Set up'!$A$2:$C$70,2,FALSE)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up'!$A$2:$C$70,3,FALSE)</f>
        <v>Cash</v>
      </c>
      <c r="J800" s="5">
        <f>VLOOKUP(F800,'Set up'!$A$2:$D$70,4,FALSE)</f>
        <v>0</v>
      </c>
      <c r="K800" s="4">
        <f t="shared" si="138"/>
        <v>44699</v>
      </c>
      <c r="L800" s="5">
        <f t="shared" si="139"/>
        <v>5</v>
      </c>
      <c r="M800" s="5">
        <f t="shared" si="140"/>
        <v>2022</v>
      </c>
      <c r="N800" s="6">
        <v>2000</v>
      </c>
      <c r="O800" s="6">
        <f>-339.8-1660.2</f>
        <v>-2000</v>
      </c>
      <c r="P800" s="6">
        <f t="shared" si="148"/>
        <v>0</v>
      </c>
      <c r="Q800" s="7">
        <f t="shared" si="141"/>
        <v>1420991.9500000002</v>
      </c>
      <c r="R800" s="44" t="str">
        <f>VLOOKUP(F800,'Set up'!$A$2:$E$70,5,FALSE)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36"/>
        <v>5</v>
      </c>
      <c r="C801" s="5">
        <f t="shared" si="137"/>
        <v>2022</v>
      </c>
      <c r="D801" s="5" t="s">
        <v>781</v>
      </c>
      <c r="E801" s="5" t="str">
        <f>VLOOKUP(F801,'Set up'!$A$2:$C$70,2,FALSE)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up'!$A$2:$C$70,3,FALSE)</f>
        <v>Cash</v>
      </c>
      <c r="J801" s="5">
        <f>VLOOKUP(F801,'Set up'!$A$2:$D$70,4,FALSE)</f>
        <v>0</v>
      </c>
      <c r="K801" s="4">
        <f t="shared" si="138"/>
        <v>44700</v>
      </c>
      <c r="L801" s="5">
        <f t="shared" si="139"/>
        <v>5</v>
      </c>
      <c r="M801" s="5">
        <f t="shared" si="140"/>
        <v>2022</v>
      </c>
      <c r="N801" s="6">
        <v>2068</v>
      </c>
      <c r="O801" s="6">
        <f t="shared" ref="O801:O807" si="150">-N801</f>
        <v>-2068</v>
      </c>
      <c r="P801" s="6">
        <f t="shared" si="148"/>
        <v>0</v>
      </c>
      <c r="Q801" s="7">
        <f t="shared" si="141"/>
        <v>1423059.9500000002</v>
      </c>
      <c r="R801" s="44" t="str">
        <f>VLOOKUP(F801,'Set up'!$A$2:$E$70,5,FALSE)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36"/>
        <v>5</v>
      </c>
      <c r="C802" s="5">
        <f t="shared" si="137"/>
        <v>2022</v>
      </c>
      <c r="D802" s="5" t="s">
        <v>781</v>
      </c>
      <c r="E802" s="5" t="str">
        <f>VLOOKUP(F802,'Set up'!$A$2:$C$70,2,FALSE)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up'!$A$2:$C$70,3,FALSE)</f>
        <v>Cash</v>
      </c>
      <c r="J802" s="5">
        <f>VLOOKUP(F802,'Set up'!$A$2:$D$70,4,FALSE)</f>
        <v>0</v>
      </c>
      <c r="K802" s="4">
        <f t="shared" si="138"/>
        <v>44700</v>
      </c>
      <c r="L802" s="5">
        <f t="shared" si="139"/>
        <v>5</v>
      </c>
      <c r="M802" s="5">
        <f t="shared" si="140"/>
        <v>2022</v>
      </c>
      <c r="N802" s="6">
        <v>864</v>
      </c>
      <c r="O802" s="6">
        <f t="shared" si="150"/>
        <v>-864</v>
      </c>
      <c r="P802" s="6">
        <f t="shared" si="148"/>
        <v>0</v>
      </c>
      <c r="Q802" s="7">
        <f t="shared" si="141"/>
        <v>1423923.9500000002</v>
      </c>
      <c r="R802" s="44" t="str">
        <f>VLOOKUP(F802,'Set up'!$A$2:$E$70,5,FALSE)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36"/>
        <v>5</v>
      </c>
      <c r="C803" s="5">
        <f t="shared" si="137"/>
        <v>2022</v>
      </c>
      <c r="D803" s="5" t="s">
        <v>781</v>
      </c>
      <c r="E803" s="5" t="str">
        <f>VLOOKUP(F803,'Set up'!$A$2:$C$70,2,FALSE)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up'!$A$2:$C$70,3,FALSE)</f>
        <v>Cash</v>
      </c>
      <c r="J803" s="5">
        <f>VLOOKUP(F803,'Set up'!$A$2:$D$70,4,FALSE)</f>
        <v>0</v>
      </c>
      <c r="K803" s="4">
        <f t="shared" si="138"/>
        <v>44700</v>
      </c>
      <c r="L803" s="5">
        <f t="shared" si="139"/>
        <v>5</v>
      </c>
      <c r="M803" s="5">
        <f t="shared" si="140"/>
        <v>2022</v>
      </c>
      <c r="N803" s="6">
        <v>552</v>
      </c>
      <c r="O803" s="6">
        <f t="shared" si="150"/>
        <v>-552</v>
      </c>
      <c r="P803" s="6">
        <f t="shared" si="148"/>
        <v>0</v>
      </c>
      <c r="Q803" s="7">
        <f t="shared" si="141"/>
        <v>1424475.9500000002</v>
      </c>
      <c r="R803" s="44" t="str">
        <f>VLOOKUP(F803,'Set up'!$A$2:$E$70,5,FALSE)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36"/>
        <v>5</v>
      </c>
      <c r="C804" s="5">
        <f t="shared" si="137"/>
        <v>2022</v>
      </c>
      <c r="D804" s="5" t="s">
        <v>783</v>
      </c>
      <c r="E804" s="5" t="str">
        <f>VLOOKUP(F804,'Set up'!$A$2:$C$70,2,FALSE)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up'!$A$2:$C$70,3,FALSE)</f>
        <v>Cash</v>
      </c>
      <c r="J804" s="5">
        <f>VLOOKUP(F804,'Set up'!$A$2:$D$70,4,FALSE)</f>
        <v>0</v>
      </c>
      <c r="K804" s="4">
        <f t="shared" si="138"/>
        <v>44701</v>
      </c>
      <c r="L804" s="5">
        <f t="shared" si="139"/>
        <v>5</v>
      </c>
      <c r="M804" s="5">
        <f t="shared" si="140"/>
        <v>2022</v>
      </c>
      <c r="N804" s="6">
        <v>8360</v>
      </c>
      <c r="O804" s="6">
        <f t="shared" si="150"/>
        <v>-8360</v>
      </c>
      <c r="P804" s="6">
        <f t="shared" si="148"/>
        <v>0</v>
      </c>
      <c r="Q804" s="7">
        <f t="shared" si="141"/>
        <v>1432835.9500000002</v>
      </c>
      <c r="R804" s="44" t="str">
        <f>VLOOKUP(F804,'Set up'!$A$2:$E$70,5,FALSE)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36"/>
        <v>5</v>
      </c>
      <c r="C805" s="5">
        <f t="shared" si="137"/>
        <v>2022</v>
      </c>
      <c r="D805" s="5" t="s">
        <v>783</v>
      </c>
      <c r="E805" s="5" t="str">
        <f>VLOOKUP(F805,'Set up'!$A$2:$C$70,2,FALSE)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up'!$A$2:$C$70,3,FALSE)</f>
        <v>Cash</v>
      </c>
      <c r="J805" s="5">
        <f>VLOOKUP(F805,'Set up'!$A$2:$D$70,4,FALSE)</f>
        <v>0</v>
      </c>
      <c r="K805" s="4">
        <f t="shared" si="138"/>
        <v>44701</v>
      </c>
      <c r="L805" s="5">
        <f t="shared" si="139"/>
        <v>5</v>
      </c>
      <c r="M805" s="5">
        <f t="shared" si="140"/>
        <v>2022</v>
      </c>
      <c r="N805" s="6">
        <v>2940</v>
      </c>
      <c r="O805" s="6">
        <f t="shared" si="150"/>
        <v>-2940</v>
      </c>
      <c r="P805" s="6">
        <f t="shared" si="148"/>
        <v>0</v>
      </c>
      <c r="Q805" s="7">
        <f t="shared" si="141"/>
        <v>1435775.9500000002</v>
      </c>
      <c r="R805" s="44" t="str">
        <f>VLOOKUP(F805,'Set up'!$A$2:$E$70,5,FALSE)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36"/>
        <v>5</v>
      </c>
      <c r="C806" s="5">
        <f t="shared" si="137"/>
        <v>2022</v>
      </c>
      <c r="D806" s="5" t="s">
        <v>783</v>
      </c>
      <c r="E806" s="5" t="str">
        <f>VLOOKUP(F806,'Set up'!$A$2:$C$70,2,FALSE)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up'!$A$2:$C$70,3,FALSE)</f>
        <v>Cash</v>
      </c>
      <c r="J806" s="5">
        <f>VLOOKUP(F806,'Set up'!$A$2:$D$70,4,FALSE)</f>
        <v>0</v>
      </c>
      <c r="K806" s="4">
        <f t="shared" si="138"/>
        <v>44701</v>
      </c>
      <c r="L806" s="5">
        <f t="shared" si="139"/>
        <v>5</v>
      </c>
      <c r="M806" s="5">
        <f t="shared" si="140"/>
        <v>2022</v>
      </c>
      <c r="N806" s="6">
        <v>1560</v>
      </c>
      <c r="O806" s="6">
        <f t="shared" si="150"/>
        <v>-1560</v>
      </c>
      <c r="P806" s="6">
        <f t="shared" si="148"/>
        <v>0</v>
      </c>
      <c r="Q806" s="7">
        <f t="shared" si="141"/>
        <v>1437335.9500000002</v>
      </c>
      <c r="R806" s="44" t="str">
        <f>VLOOKUP(F806,'Set up'!$A$2:$E$70,5,FALSE)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36"/>
        <v>5</v>
      </c>
      <c r="C807" s="5">
        <f t="shared" si="137"/>
        <v>2022</v>
      </c>
      <c r="D807" s="5" t="s">
        <v>783</v>
      </c>
      <c r="E807" s="5" t="str">
        <f>VLOOKUP(F807,'Set up'!$A$2:$C$70,2,FALSE)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up'!$A$2:$C$70,3,FALSE)</f>
        <v>Cash</v>
      </c>
      <c r="J807" s="5">
        <f>VLOOKUP(F807,'Set up'!$A$2:$D$70,4,FALSE)</f>
        <v>0</v>
      </c>
      <c r="K807" s="4">
        <f t="shared" si="138"/>
        <v>44701</v>
      </c>
      <c r="L807" s="5">
        <f t="shared" si="139"/>
        <v>5</v>
      </c>
      <c r="M807" s="5">
        <f t="shared" si="140"/>
        <v>2022</v>
      </c>
      <c r="N807" s="6">
        <v>250</v>
      </c>
      <c r="O807" s="6">
        <f t="shared" si="150"/>
        <v>-250</v>
      </c>
      <c r="P807" s="6">
        <f t="shared" si="148"/>
        <v>0</v>
      </c>
      <c r="Q807" s="7">
        <f t="shared" si="141"/>
        <v>1437585.9500000002</v>
      </c>
      <c r="R807" s="44" t="str">
        <f>VLOOKUP(F807,'Set up'!$A$2:$E$70,5,FALSE)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36"/>
        <v>5</v>
      </c>
      <c r="C808" s="5">
        <f t="shared" si="137"/>
        <v>2022</v>
      </c>
      <c r="D808" s="5" t="s">
        <v>788</v>
      </c>
      <c r="E808" s="5" t="str">
        <f>VLOOKUP(F808,'Set up'!$A$2:$C$70,2,FALSE)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up'!$A$2:$C$70,3,FALSE)</f>
        <v>Cash</v>
      </c>
      <c r="J808" s="5">
        <f>VLOOKUP(F808,'Set up'!$A$2:$D$70,4,FALSE)</f>
        <v>0</v>
      </c>
      <c r="K808" s="4">
        <f t="shared" si="138"/>
        <v>44702</v>
      </c>
      <c r="L808" s="5">
        <f t="shared" si="139"/>
        <v>5</v>
      </c>
      <c r="M808" s="5">
        <f t="shared" si="140"/>
        <v>2022</v>
      </c>
      <c r="N808" s="6">
        <v>534.6</v>
      </c>
      <c r="O808" s="6">
        <f>-N808</f>
        <v>-534.6</v>
      </c>
      <c r="P808" s="6">
        <f t="shared" si="148"/>
        <v>0</v>
      </c>
      <c r="Q808" s="7">
        <f t="shared" si="141"/>
        <v>1438120.5500000003</v>
      </c>
      <c r="R808" s="44" t="str">
        <f>VLOOKUP(F808,'Set up'!$A$2:$E$70,5,FALSE)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36"/>
        <v>5</v>
      </c>
      <c r="C809" s="5">
        <f t="shared" si="137"/>
        <v>2022</v>
      </c>
      <c r="D809" s="5" t="s">
        <v>788</v>
      </c>
      <c r="E809" s="5" t="str">
        <f>VLOOKUP(F809,'Set up'!$A$2:$C$70,2,FALSE)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up'!$A$2:$C$70,3,FALSE)</f>
        <v>Cash</v>
      </c>
      <c r="J809" s="5">
        <f>VLOOKUP(F809,'Set up'!$A$2:$D$70,4,FALSE)</f>
        <v>0</v>
      </c>
      <c r="K809" s="4">
        <f t="shared" si="138"/>
        <v>44702</v>
      </c>
      <c r="L809" s="5">
        <f t="shared" si="139"/>
        <v>5</v>
      </c>
      <c r="M809" s="5">
        <f t="shared" si="140"/>
        <v>2022</v>
      </c>
      <c r="N809" s="6">
        <v>165</v>
      </c>
      <c r="O809" s="6">
        <f>-N809</f>
        <v>-165</v>
      </c>
      <c r="P809" s="6">
        <f t="shared" si="148"/>
        <v>0</v>
      </c>
      <c r="Q809" s="7">
        <f t="shared" si="141"/>
        <v>1438285.5500000003</v>
      </c>
      <c r="R809" s="44" t="str">
        <f>VLOOKUP(F809,'Set up'!$A$2:$E$70,5,FALSE)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36"/>
        <v>5</v>
      </c>
      <c r="C810" s="5">
        <f t="shared" si="137"/>
        <v>2022</v>
      </c>
      <c r="D810" s="5" t="s">
        <v>788</v>
      </c>
      <c r="E810" s="5" t="str">
        <f>VLOOKUP(F810,'Set up'!$A$2:$C$70,2,FALSE)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up'!$A$2:$C$70,3,FALSE)</f>
        <v>Cash</v>
      </c>
      <c r="J810" s="5">
        <f>VLOOKUP(F810,'Set up'!$A$2:$D$70,4,FALSE)</f>
        <v>0</v>
      </c>
      <c r="K810" s="4">
        <f t="shared" si="138"/>
        <v>44702</v>
      </c>
      <c r="L810" s="5">
        <f t="shared" si="139"/>
        <v>5</v>
      </c>
      <c r="M810" s="5">
        <f t="shared" si="140"/>
        <v>2022</v>
      </c>
      <c r="N810" s="6">
        <v>90</v>
      </c>
      <c r="O810" s="6">
        <f>-N810</f>
        <v>-90</v>
      </c>
      <c r="P810" s="6">
        <f t="shared" si="148"/>
        <v>0</v>
      </c>
      <c r="Q810" s="7">
        <f t="shared" si="141"/>
        <v>1438375.5500000003</v>
      </c>
      <c r="R810" s="44" t="str">
        <f>VLOOKUP(F810,'Set up'!$A$2:$E$70,5,FALSE)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36"/>
        <v>5</v>
      </c>
      <c r="C811" s="5">
        <f t="shared" si="137"/>
        <v>2022</v>
      </c>
      <c r="D811" s="5" t="s">
        <v>788</v>
      </c>
      <c r="E811" s="5" t="str">
        <f>VLOOKUP(F811,'Set up'!$A$2:$C$70,2,FALSE)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up'!$A$2:$C$70,3,FALSE)</f>
        <v>Cash</v>
      </c>
      <c r="J811" s="5">
        <f>VLOOKUP(F811,'Set up'!$A$2:$D$70,4,FALSE)</f>
        <v>0</v>
      </c>
      <c r="K811" s="4">
        <f t="shared" si="138"/>
        <v>44702</v>
      </c>
      <c r="L811" s="5">
        <f t="shared" si="139"/>
        <v>5</v>
      </c>
      <c r="M811" s="5">
        <f t="shared" si="140"/>
        <v>2022</v>
      </c>
      <c r="N811" s="6">
        <v>450</v>
      </c>
      <c r="O811" s="6">
        <f>-N811</f>
        <v>-450</v>
      </c>
      <c r="P811" s="6">
        <f t="shared" si="148"/>
        <v>0</v>
      </c>
      <c r="Q811" s="7">
        <f t="shared" si="141"/>
        <v>1438825.5500000003</v>
      </c>
      <c r="R811" s="44" t="str">
        <f>VLOOKUP(F811,'Set up'!$A$2:$E$70,5,FALSE)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36"/>
        <v>5</v>
      </c>
      <c r="C812" s="5">
        <f t="shared" si="137"/>
        <v>2022</v>
      </c>
      <c r="D812" s="5" t="s">
        <v>789</v>
      </c>
      <c r="E812" s="5" t="str">
        <f>VLOOKUP(F812,'Set up'!$A$2:$C$70,2,FALSE)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up'!$A$2:$C$70,3,FALSE)</f>
        <v>Cash</v>
      </c>
      <c r="J812" s="5">
        <f>VLOOKUP(F812,'Set up'!$A$2:$D$70,4,FALSE)</f>
        <v>0</v>
      </c>
      <c r="K812" s="4">
        <f t="shared" si="138"/>
        <v>44702</v>
      </c>
      <c r="L812" s="5">
        <f t="shared" si="139"/>
        <v>5</v>
      </c>
      <c r="M812" s="5">
        <f t="shared" si="140"/>
        <v>2022</v>
      </c>
      <c r="N812" s="6">
        <v>8360</v>
      </c>
      <c r="O812" s="6">
        <f t="shared" ref="O812:O815" si="151">-N812</f>
        <v>-8360</v>
      </c>
      <c r="P812" s="6">
        <f t="shared" si="148"/>
        <v>0</v>
      </c>
      <c r="Q812" s="7">
        <f t="shared" si="141"/>
        <v>1447185.5500000003</v>
      </c>
      <c r="R812" s="44" t="str">
        <f>VLOOKUP(F812,'Set up'!$A$2:$E$70,5,FALSE)</f>
        <v>Trsf</v>
      </c>
      <c r="S812" s="1" t="s">
        <v>1155</v>
      </c>
    </row>
    <row r="813" spans="1:19" x14ac:dyDescent="0.35">
      <c r="A813" s="4">
        <v>44702</v>
      </c>
      <c r="B813" s="5">
        <f t="shared" si="136"/>
        <v>5</v>
      </c>
      <c r="C813" s="5">
        <f t="shared" si="137"/>
        <v>2022</v>
      </c>
      <c r="D813" s="5" t="s">
        <v>789</v>
      </c>
      <c r="E813" s="5" t="str">
        <f>VLOOKUP(F813,'Set up'!$A$2:$C$70,2,FALSE)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up'!$A$2:$C$70,3,FALSE)</f>
        <v>Cash</v>
      </c>
      <c r="J813" s="5">
        <f>VLOOKUP(F813,'Set up'!$A$2:$D$70,4,FALSE)</f>
        <v>0</v>
      </c>
      <c r="K813" s="4">
        <f t="shared" si="138"/>
        <v>44702</v>
      </c>
      <c r="L813" s="5">
        <f t="shared" si="139"/>
        <v>5</v>
      </c>
      <c r="M813" s="5">
        <f t="shared" si="140"/>
        <v>2022</v>
      </c>
      <c r="N813" s="6">
        <v>2940</v>
      </c>
      <c r="O813" s="6">
        <f t="shared" si="151"/>
        <v>-2940</v>
      </c>
      <c r="P813" s="6">
        <f t="shared" si="148"/>
        <v>0</v>
      </c>
      <c r="Q813" s="7">
        <f t="shared" si="141"/>
        <v>1450125.5500000003</v>
      </c>
      <c r="R813" s="44" t="str">
        <f>VLOOKUP(F813,'Set up'!$A$2:$E$70,5,FALSE)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36"/>
        <v>5</v>
      </c>
      <c r="C814" s="5">
        <f t="shared" si="137"/>
        <v>2022</v>
      </c>
      <c r="D814" s="5" t="s">
        <v>789</v>
      </c>
      <c r="E814" s="5" t="str">
        <f>VLOOKUP(F814,'Set up'!$A$2:$C$70,2,FALSE)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up'!$A$2:$C$70,3,FALSE)</f>
        <v>Cash</v>
      </c>
      <c r="J814" s="5">
        <f>VLOOKUP(F814,'Set up'!$A$2:$D$70,4,FALSE)</f>
        <v>0</v>
      </c>
      <c r="K814" s="4">
        <f t="shared" si="138"/>
        <v>44702</v>
      </c>
      <c r="L814" s="5">
        <f t="shared" si="139"/>
        <v>5</v>
      </c>
      <c r="M814" s="5">
        <f t="shared" si="140"/>
        <v>2022</v>
      </c>
      <c r="N814" s="6">
        <v>1560</v>
      </c>
      <c r="O814" s="6">
        <f t="shared" si="151"/>
        <v>-1560</v>
      </c>
      <c r="P814" s="6">
        <f t="shared" si="148"/>
        <v>0</v>
      </c>
      <c r="Q814" s="7">
        <f t="shared" si="141"/>
        <v>1451685.5500000003</v>
      </c>
      <c r="R814" s="44" t="str">
        <f>VLOOKUP(F814,'Set up'!$A$2:$E$70,5,FALSE)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36"/>
        <v>5</v>
      </c>
      <c r="C815" s="5">
        <f t="shared" si="137"/>
        <v>2022</v>
      </c>
      <c r="D815" s="5" t="s">
        <v>789</v>
      </c>
      <c r="E815" s="5" t="str">
        <f>VLOOKUP(F815,'Set up'!$A$2:$C$70,2,FALSE)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up'!$A$2:$C$70,3,FALSE)</f>
        <v>Cash</v>
      </c>
      <c r="J815" s="5">
        <f>VLOOKUP(F815,'Set up'!$A$2:$D$70,4,FALSE)</f>
        <v>0</v>
      </c>
      <c r="K815" s="4">
        <f t="shared" si="138"/>
        <v>44702</v>
      </c>
      <c r="L815" s="5">
        <f t="shared" si="139"/>
        <v>5</v>
      </c>
      <c r="M815" s="5">
        <f t="shared" si="140"/>
        <v>2022</v>
      </c>
      <c r="N815" s="6">
        <v>250</v>
      </c>
      <c r="O815" s="6">
        <f t="shared" si="151"/>
        <v>-250</v>
      </c>
      <c r="P815" s="6">
        <f t="shared" si="148"/>
        <v>0</v>
      </c>
      <c r="Q815" s="7">
        <f t="shared" si="141"/>
        <v>1451935.5500000003</v>
      </c>
      <c r="R815" s="44" t="str">
        <f>VLOOKUP(F815,'Set up'!$A$2:$E$70,5,FALSE)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36"/>
        <v>5</v>
      </c>
      <c r="C816" s="5">
        <f t="shared" si="137"/>
        <v>2022</v>
      </c>
      <c r="D816" s="5" t="s">
        <v>790</v>
      </c>
      <c r="E816" s="5" t="str">
        <f>VLOOKUP(F816,'Set up'!$A$2:$C$70,2,FALSE)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up'!$A$2:$C$70,3,FALSE)</f>
        <v>120</v>
      </c>
      <c r="J816" s="5">
        <f>VLOOKUP(F816,'Set up'!$A$2:$D$70,4,FALSE)</f>
        <v>120</v>
      </c>
      <c r="K816" s="4">
        <f t="shared" si="138"/>
        <v>44824</v>
      </c>
      <c r="L816" s="5">
        <f t="shared" si="139"/>
        <v>9</v>
      </c>
      <c r="M816" s="5">
        <f t="shared" si="140"/>
        <v>2022</v>
      </c>
      <c r="N816" s="6">
        <v>11880</v>
      </c>
      <c r="O816" s="6">
        <f t="shared" ref="O816:O825" si="152">-N816</f>
        <v>-11880</v>
      </c>
      <c r="P816" s="6">
        <f t="shared" si="148"/>
        <v>0</v>
      </c>
      <c r="Q816" s="7">
        <f t="shared" si="141"/>
        <v>1463815.5500000003</v>
      </c>
      <c r="R816" s="44" t="str">
        <f>VLOOKUP(F816,'Set up'!$A$2:$E$70,5,FALSE)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36"/>
        <v>5</v>
      </c>
      <c r="C817" s="5">
        <f t="shared" si="137"/>
        <v>2022</v>
      </c>
      <c r="D817" s="5" t="s">
        <v>790</v>
      </c>
      <c r="E817" s="5" t="str">
        <f>VLOOKUP(F817,'Set up'!$A$2:$C$70,2,FALSE)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up'!$A$2:$C$70,3,FALSE)</f>
        <v>120</v>
      </c>
      <c r="J817" s="5">
        <f>VLOOKUP(F817,'Set up'!$A$2:$D$70,4,FALSE)</f>
        <v>120</v>
      </c>
      <c r="K817" s="4">
        <f t="shared" si="138"/>
        <v>44824</v>
      </c>
      <c r="L817" s="5">
        <f t="shared" si="139"/>
        <v>9</v>
      </c>
      <c r="M817" s="5">
        <f t="shared" si="140"/>
        <v>2022</v>
      </c>
      <c r="N817" s="6">
        <v>1425</v>
      </c>
      <c r="O817" s="6">
        <f t="shared" si="152"/>
        <v>-1425</v>
      </c>
      <c r="P817" s="6">
        <f t="shared" si="148"/>
        <v>0</v>
      </c>
      <c r="Q817" s="7">
        <f t="shared" si="141"/>
        <v>1465240.5500000003</v>
      </c>
      <c r="R817" s="44" t="str">
        <f>VLOOKUP(F817,'Set up'!$A$2:$E$70,5,FALSE)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36"/>
        <v>5</v>
      </c>
      <c r="C818" s="5">
        <f t="shared" si="137"/>
        <v>2022</v>
      </c>
      <c r="D818" s="5" t="s">
        <v>790</v>
      </c>
      <c r="E818" s="5" t="str">
        <f>VLOOKUP(F818,'Set up'!$A$2:$C$70,2,FALSE)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up'!$A$2:$C$70,3,FALSE)</f>
        <v>120</v>
      </c>
      <c r="J818" s="5">
        <f>VLOOKUP(F818,'Set up'!$A$2:$D$70,4,FALSE)</f>
        <v>120</v>
      </c>
      <c r="K818" s="4">
        <f t="shared" si="138"/>
        <v>44824</v>
      </c>
      <c r="L818" s="5">
        <f t="shared" si="139"/>
        <v>9</v>
      </c>
      <c r="M818" s="5">
        <f t="shared" si="140"/>
        <v>2022</v>
      </c>
      <c r="N818" s="6">
        <v>550</v>
      </c>
      <c r="O818" s="6">
        <f t="shared" si="152"/>
        <v>-550</v>
      </c>
      <c r="P818" s="6">
        <f t="shared" si="148"/>
        <v>0</v>
      </c>
      <c r="Q818" s="7">
        <f t="shared" si="141"/>
        <v>1465790.5500000003</v>
      </c>
      <c r="R818" s="44" t="str">
        <f>VLOOKUP(F818,'Set up'!$A$2:$E$70,5,FALSE)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36"/>
        <v>5</v>
      </c>
      <c r="C819" s="5">
        <f t="shared" si="137"/>
        <v>2022</v>
      </c>
      <c r="D819" s="5" t="s">
        <v>790</v>
      </c>
      <c r="E819" s="5" t="str">
        <f>VLOOKUP(F819,'Set up'!$A$2:$C$70,2,FALSE)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up'!$A$2:$C$70,3,FALSE)</f>
        <v>120</v>
      </c>
      <c r="J819" s="5">
        <f>VLOOKUP(F819,'Set up'!$A$2:$D$70,4,FALSE)</f>
        <v>120</v>
      </c>
      <c r="K819" s="4">
        <f t="shared" si="138"/>
        <v>44824</v>
      </c>
      <c r="L819" s="5">
        <f t="shared" si="139"/>
        <v>9</v>
      </c>
      <c r="M819" s="5">
        <f t="shared" si="140"/>
        <v>2022</v>
      </c>
      <c r="N819" s="6">
        <v>420</v>
      </c>
      <c r="O819" s="6">
        <f t="shared" si="152"/>
        <v>-420</v>
      </c>
      <c r="P819" s="6">
        <f t="shared" si="148"/>
        <v>0</v>
      </c>
      <c r="Q819" s="7">
        <f t="shared" si="141"/>
        <v>1466210.5500000003</v>
      </c>
      <c r="R819" s="44" t="str">
        <f>VLOOKUP(F819,'Set up'!$A$2:$E$70,5,FALSE)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36"/>
        <v>5</v>
      </c>
      <c r="C820" s="5">
        <f t="shared" si="137"/>
        <v>2022</v>
      </c>
      <c r="D820" s="5" t="s">
        <v>790</v>
      </c>
      <c r="E820" s="5" t="str">
        <f>VLOOKUP(F820,'Set up'!$A$2:$C$70,2,FALSE)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up'!$A$2:$C$70,3,FALSE)</f>
        <v>120</v>
      </c>
      <c r="J820" s="5">
        <f>VLOOKUP(F820,'Set up'!$A$2:$D$70,4,FALSE)</f>
        <v>120</v>
      </c>
      <c r="K820" s="4">
        <f t="shared" si="138"/>
        <v>44824</v>
      </c>
      <c r="L820" s="5">
        <f t="shared" si="139"/>
        <v>9</v>
      </c>
      <c r="M820" s="5">
        <f t="shared" si="140"/>
        <v>2022</v>
      </c>
      <c r="N820" s="6">
        <v>440</v>
      </c>
      <c r="O820" s="6">
        <f t="shared" si="152"/>
        <v>-440</v>
      </c>
      <c r="P820" s="6">
        <f t="shared" si="148"/>
        <v>0</v>
      </c>
      <c r="Q820" s="7">
        <f t="shared" si="141"/>
        <v>1466650.5500000003</v>
      </c>
      <c r="R820" s="44" t="str">
        <f>VLOOKUP(F820,'Set up'!$A$2:$E$70,5,FALSE)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36"/>
        <v>5</v>
      </c>
      <c r="C821" s="5">
        <f t="shared" si="137"/>
        <v>2022</v>
      </c>
      <c r="D821" s="5" t="s">
        <v>793</v>
      </c>
      <c r="E821" s="5" t="str">
        <f>VLOOKUP(F821,'Set up'!$A$2:$C$70,2,FALSE)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up'!$A$2:$C$70,3,FALSE)</f>
        <v>Cash</v>
      </c>
      <c r="J821" s="5">
        <f>VLOOKUP(F821,'Set up'!$A$2:$D$70,4,FALSE)</f>
        <v>0</v>
      </c>
      <c r="K821" s="4">
        <f t="shared" si="138"/>
        <v>44704</v>
      </c>
      <c r="L821" s="5">
        <f t="shared" si="139"/>
        <v>5</v>
      </c>
      <c r="M821" s="5">
        <f t="shared" si="140"/>
        <v>2022</v>
      </c>
      <c r="N821" s="6">
        <v>4180</v>
      </c>
      <c r="O821" s="6">
        <f t="shared" si="152"/>
        <v>-4180</v>
      </c>
      <c r="P821" s="6">
        <f t="shared" si="148"/>
        <v>0</v>
      </c>
      <c r="Q821" s="7">
        <f t="shared" si="141"/>
        <v>1470830.5500000003</v>
      </c>
      <c r="R821" s="44" t="str">
        <f>VLOOKUP(F821,'Set up'!$A$2:$E$70,5,FALSE)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36"/>
        <v>5</v>
      </c>
      <c r="C822" s="5">
        <f t="shared" si="137"/>
        <v>2022</v>
      </c>
      <c r="D822" s="5" t="s">
        <v>793</v>
      </c>
      <c r="E822" s="5" t="str">
        <f>VLOOKUP(F822,'Set up'!$A$2:$C$70,2,FALSE)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up'!$A$2:$C$70,3,FALSE)</f>
        <v>Cash</v>
      </c>
      <c r="J822" s="5">
        <f>VLOOKUP(F822,'Set up'!$A$2:$D$70,4,FALSE)</f>
        <v>0</v>
      </c>
      <c r="K822" s="4">
        <f t="shared" si="138"/>
        <v>44704</v>
      </c>
      <c r="L822" s="5">
        <f t="shared" si="139"/>
        <v>5</v>
      </c>
      <c r="M822" s="5">
        <f t="shared" si="140"/>
        <v>2022</v>
      </c>
      <c r="N822" s="6">
        <v>1470</v>
      </c>
      <c r="O822" s="6">
        <f t="shared" si="152"/>
        <v>-1470</v>
      </c>
      <c r="P822" s="6">
        <f t="shared" si="148"/>
        <v>0</v>
      </c>
      <c r="Q822" s="7">
        <f t="shared" si="141"/>
        <v>1472300.5500000003</v>
      </c>
      <c r="R822" s="44" t="str">
        <f>VLOOKUP(F822,'Set up'!$A$2:$E$70,5,FALSE)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36"/>
        <v>5</v>
      </c>
      <c r="C823" s="5">
        <f t="shared" si="137"/>
        <v>2022</v>
      </c>
      <c r="D823" s="5" t="s">
        <v>793</v>
      </c>
      <c r="E823" s="5" t="str">
        <f>VLOOKUP(F823,'Set up'!$A$2:$C$70,2,FALSE)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up'!$A$2:$C$70,3,FALSE)</f>
        <v>Cash</v>
      </c>
      <c r="J823" s="5">
        <f>VLOOKUP(F823,'Set up'!$A$2:$D$70,4,FALSE)</f>
        <v>0</v>
      </c>
      <c r="K823" s="4">
        <f t="shared" si="138"/>
        <v>44704</v>
      </c>
      <c r="L823" s="5">
        <f t="shared" si="139"/>
        <v>5</v>
      </c>
      <c r="M823" s="5">
        <f t="shared" si="140"/>
        <v>2022</v>
      </c>
      <c r="N823" s="6">
        <v>624</v>
      </c>
      <c r="O823" s="6">
        <f t="shared" si="152"/>
        <v>-624</v>
      </c>
      <c r="P823" s="6">
        <f t="shared" si="148"/>
        <v>0</v>
      </c>
      <c r="Q823" s="7">
        <f t="shared" si="141"/>
        <v>1472924.5500000003</v>
      </c>
      <c r="R823" s="44" t="str">
        <f>VLOOKUP(F823,'Set up'!$A$2:$E$70,5,FALSE)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36"/>
        <v>5</v>
      </c>
      <c r="C824" s="5">
        <f t="shared" si="137"/>
        <v>2022</v>
      </c>
      <c r="D824" s="5" t="s">
        <v>793</v>
      </c>
      <c r="E824" s="5" t="str">
        <f>VLOOKUP(F824,'Set up'!$A$2:$C$70,2,FALSE)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up'!$A$2:$C$70,3,FALSE)</f>
        <v>Cash</v>
      </c>
      <c r="J824" s="5">
        <f>VLOOKUP(F824,'Set up'!$A$2:$D$70,4,FALSE)</f>
        <v>0</v>
      </c>
      <c r="K824" s="4">
        <f t="shared" si="138"/>
        <v>44704</v>
      </c>
      <c r="L824" s="5">
        <f t="shared" si="139"/>
        <v>5</v>
      </c>
      <c r="M824" s="5">
        <f t="shared" si="140"/>
        <v>2022</v>
      </c>
      <c r="N824" s="6">
        <v>351</v>
      </c>
      <c r="O824" s="6">
        <f t="shared" si="152"/>
        <v>-351</v>
      </c>
      <c r="P824" s="6">
        <f t="shared" si="148"/>
        <v>0</v>
      </c>
      <c r="Q824" s="7">
        <f t="shared" si="141"/>
        <v>1473275.5500000003</v>
      </c>
      <c r="R824" s="44" t="str">
        <f>VLOOKUP(F824,'Set up'!$A$2:$E$70,5,FALSE)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36"/>
        <v>5</v>
      </c>
      <c r="C825" s="5">
        <f t="shared" si="137"/>
        <v>2022</v>
      </c>
      <c r="D825" s="5" t="s">
        <v>793</v>
      </c>
      <c r="E825" s="5" t="str">
        <f>VLOOKUP(F825,'Set up'!$A$2:$C$70,2,FALSE)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up'!$A$2:$C$70,3,FALSE)</f>
        <v>Cash</v>
      </c>
      <c r="J825" s="5">
        <f>VLOOKUP(F825,'Set up'!$A$2:$D$70,4,FALSE)</f>
        <v>0</v>
      </c>
      <c r="K825" s="4">
        <f t="shared" si="138"/>
        <v>44704</v>
      </c>
      <c r="L825" s="5">
        <f t="shared" si="139"/>
        <v>5</v>
      </c>
      <c r="M825" s="5">
        <f t="shared" si="140"/>
        <v>2022</v>
      </c>
      <c r="N825" s="6">
        <v>125</v>
      </c>
      <c r="O825" s="6">
        <f t="shared" si="152"/>
        <v>-125</v>
      </c>
      <c r="P825" s="6">
        <f t="shared" si="148"/>
        <v>0</v>
      </c>
      <c r="Q825" s="7">
        <f t="shared" si="141"/>
        <v>1473400.5500000003</v>
      </c>
      <c r="R825" s="44" t="str">
        <f>VLOOKUP(F825,'Set up'!$A$2:$E$70,5,FALSE)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36"/>
        <v>5</v>
      </c>
      <c r="C826" s="5">
        <f t="shared" si="137"/>
        <v>2022</v>
      </c>
      <c r="D826" s="5" t="s">
        <v>794</v>
      </c>
      <c r="E826" s="5" t="str">
        <f>VLOOKUP(F826,'Set up'!$A$2:$C$70,2,FALSE)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up'!$A$2:$C$70,3,FALSE)</f>
        <v>Cash</v>
      </c>
      <c r="J826" s="5">
        <f>VLOOKUP(F826,'Set up'!$A$2:$D$70,4,FALSE)</f>
        <v>0</v>
      </c>
      <c r="K826" s="4">
        <f t="shared" si="138"/>
        <v>44704</v>
      </c>
      <c r="L826" s="5">
        <f t="shared" si="139"/>
        <v>5</v>
      </c>
      <c r="M826" s="5">
        <f t="shared" si="140"/>
        <v>2022</v>
      </c>
      <c r="N826" s="6">
        <v>4136</v>
      </c>
      <c r="O826" s="6">
        <f>-N826</f>
        <v>-4136</v>
      </c>
      <c r="P826" s="6">
        <f t="shared" si="148"/>
        <v>0</v>
      </c>
      <c r="Q826" s="7">
        <f t="shared" si="141"/>
        <v>1477536.5500000003</v>
      </c>
      <c r="R826" s="44" t="str">
        <f>VLOOKUP(F826,'Set up'!$A$2:$E$70,5,FALSE)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36"/>
        <v>5</v>
      </c>
      <c r="C827" s="5">
        <f t="shared" si="137"/>
        <v>2022</v>
      </c>
      <c r="D827" s="5" t="s">
        <v>794</v>
      </c>
      <c r="E827" s="5" t="str">
        <f>VLOOKUP(F827,'Set up'!$A$2:$C$70,2,FALSE)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up'!$A$2:$C$70,3,FALSE)</f>
        <v>Cash</v>
      </c>
      <c r="J827" s="5">
        <f>VLOOKUP(F827,'Set up'!$A$2:$D$70,4,FALSE)</f>
        <v>0</v>
      </c>
      <c r="K827" s="4">
        <f t="shared" si="138"/>
        <v>44704</v>
      </c>
      <c r="L827" s="5">
        <f t="shared" si="139"/>
        <v>5</v>
      </c>
      <c r="M827" s="5">
        <f t="shared" si="140"/>
        <v>2022</v>
      </c>
      <c r="N827" s="6">
        <v>1047.5999999999999</v>
      </c>
      <c r="O827" s="6">
        <f>-N827</f>
        <v>-1047.5999999999999</v>
      </c>
      <c r="P827" s="6">
        <f t="shared" si="148"/>
        <v>0</v>
      </c>
      <c r="Q827" s="7">
        <f t="shared" si="141"/>
        <v>1478584.1500000004</v>
      </c>
      <c r="R827" s="44" t="str">
        <f>VLOOKUP(F827,'Set up'!$A$2:$E$70,5,FALSE)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36"/>
        <v>5</v>
      </c>
      <c r="C828" s="5">
        <f t="shared" si="137"/>
        <v>2022</v>
      </c>
      <c r="D828" s="5" t="s">
        <v>794</v>
      </c>
      <c r="E828" s="5" t="str">
        <f>VLOOKUP(F828,'Set up'!$A$2:$C$70,2,FALSE)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up'!$A$2:$C$70,3,FALSE)</f>
        <v>Cash</v>
      </c>
      <c r="J828" s="5">
        <f>VLOOKUP(F828,'Set up'!$A$2:$D$70,4,FALSE)</f>
        <v>0</v>
      </c>
      <c r="K828" s="4">
        <f t="shared" si="138"/>
        <v>44704</v>
      </c>
      <c r="L828" s="5">
        <f t="shared" si="139"/>
        <v>5</v>
      </c>
      <c r="M828" s="5">
        <f t="shared" si="140"/>
        <v>2022</v>
      </c>
      <c r="N828" s="6">
        <v>187.5</v>
      </c>
      <c r="O828" s="6">
        <f>-N828</f>
        <v>-187.5</v>
      </c>
      <c r="P828" s="6">
        <f t="shared" si="148"/>
        <v>0</v>
      </c>
      <c r="Q828" s="7">
        <f t="shared" si="141"/>
        <v>1478771.6500000004</v>
      </c>
      <c r="R828" s="44" t="str">
        <f>VLOOKUP(F828,'Set up'!$A$2:$E$70,5,FALSE)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36"/>
        <v>5</v>
      </c>
      <c r="C829" s="5">
        <f t="shared" si="137"/>
        <v>2022</v>
      </c>
      <c r="D829" s="5" t="s">
        <v>794</v>
      </c>
      <c r="E829" s="5" t="str">
        <f>VLOOKUP(F829,'Set up'!$A$2:$C$70,2,FALSE)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up'!$A$2:$C$70,3,FALSE)</f>
        <v>Cash</v>
      </c>
      <c r="J829" s="5">
        <f>VLOOKUP(F829,'Set up'!$A$2:$D$70,4,FALSE)</f>
        <v>0</v>
      </c>
      <c r="K829" s="4">
        <f t="shared" si="138"/>
        <v>44704</v>
      </c>
      <c r="L829" s="5">
        <f t="shared" si="139"/>
        <v>5</v>
      </c>
      <c r="M829" s="5">
        <f t="shared" si="140"/>
        <v>2022</v>
      </c>
      <c r="N829" s="6">
        <v>390</v>
      </c>
      <c r="O829" s="6">
        <f>-N829</f>
        <v>-390</v>
      </c>
      <c r="P829" s="6">
        <f t="shared" si="148"/>
        <v>0</v>
      </c>
      <c r="Q829" s="7">
        <f t="shared" si="141"/>
        <v>1479161.6500000004</v>
      </c>
      <c r="R829" s="44" t="str">
        <f>VLOOKUP(F829,'Set up'!$A$2:$E$70,5,FALSE)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36"/>
        <v>5</v>
      </c>
      <c r="C830" s="5">
        <f t="shared" si="137"/>
        <v>2022</v>
      </c>
      <c r="D830" s="5" t="s">
        <v>794</v>
      </c>
      <c r="E830" s="5" t="str">
        <f>VLOOKUP(F830,'Set up'!$A$2:$C$70,2,FALSE)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up'!$A$2:$C$70,3,FALSE)</f>
        <v>Cash</v>
      </c>
      <c r="J830" s="5">
        <f>VLOOKUP(F830,'Set up'!$A$2:$D$70,4,FALSE)</f>
        <v>0</v>
      </c>
      <c r="K830" s="4">
        <f t="shared" si="138"/>
        <v>44704</v>
      </c>
      <c r="L830" s="5">
        <f t="shared" si="139"/>
        <v>5</v>
      </c>
      <c r="M830" s="5">
        <f t="shared" si="140"/>
        <v>2022</v>
      </c>
      <c r="N830" s="6">
        <v>440</v>
      </c>
      <c r="O830" s="6">
        <f>-N830</f>
        <v>-440</v>
      </c>
      <c r="P830" s="6">
        <f t="shared" si="148"/>
        <v>0</v>
      </c>
      <c r="Q830" s="7">
        <f t="shared" si="141"/>
        <v>1479601.6500000004</v>
      </c>
      <c r="R830" s="44" t="str">
        <f>VLOOKUP(F830,'Set up'!$A$2:$E$70,5,FALSE)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36"/>
        <v>5</v>
      </c>
      <c r="C831" s="5">
        <f t="shared" si="137"/>
        <v>2022</v>
      </c>
      <c r="D831" s="5" t="s">
        <v>795</v>
      </c>
      <c r="E831" s="5" t="str">
        <f>VLOOKUP(F831,'Set up'!$A$2:$C$70,2,FALSE)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up'!$A$2:$C$70,3,FALSE)</f>
        <v>120</v>
      </c>
      <c r="J831" s="5">
        <f>VLOOKUP(F831,'Set up'!$A$2:$D$70,4,FALSE)</f>
        <v>120</v>
      </c>
      <c r="K831" s="4">
        <f t="shared" si="138"/>
        <v>44825</v>
      </c>
      <c r="L831" s="5">
        <f t="shared" si="139"/>
        <v>9</v>
      </c>
      <c r="M831" s="5">
        <f t="shared" si="140"/>
        <v>2022</v>
      </c>
      <c r="N831" s="6">
        <v>10120</v>
      </c>
      <c r="O831" s="6">
        <f t="shared" ref="O831:O836" si="153">-N831</f>
        <v>-10120</v>
      </c>
      <c r="P831" s="6">
        <f t="shared" si="148"/>
        <v>0</v>
      </c>
      <c r="Q831" s="7">
        <f t="shared" si="141"/>
        <v>1489721.6500000004</v>
      </c>
      <c r="R831" s="44" t="str">
        <f>VLOOKUP(F831,'Set up'!$A$2:$E$70,5,FALSE)</f>
        <v>Chq</v>
      </c>
      <c r="S831" s="1" t="s">
        <v>976</v>
      </c>
    </row>
    <row r="832" spans="1:19" x14ac:dyDescent="0.35">
      <c r="A832" s="4">
        <v>44706</v>
      </c>
      <c r="B832" s="5">
        <f t="shared" si="136"/>
        <v>5</v>
      </c>
      <c r="C832" s="5">
        <f t="shared" si="137"/>
        <v>2022</v>
      </c>
      <c r="D832" s="5" t="s">
        <v>796</v>
      </c>
      <c r="E832" s="5" t="str">
        <f>VLOOKUP(F832,'Set up'!$A$2:$C$70,2,FALSE)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up'!$A$2:$C$70,3,FALSE)</f>
        <v>Cash</v>
      </c>
      <c r="J832" s="5">
        <f>VLOOKUP(F832,'Set up'!$A$2:$D$70,4,FALSE)</f>
        <v>0</v>
      </c>
      <c r="K832" s="4">
        <f t="shared" si="138"/>
        <v>44706</v>
      </c>
      <c r="L832" s="5">
        <f t="shared" si="139"/>
        <v>5</v>
      </c>
      <c r="M832" s="5">
        <f t="shared" si="140"/>
        <v>2022</v>
      </c>
      <c r="N832" s="6">
        <v>8360</v>
      </c>
      <c r="O832" s="6">
        <f t="shared" si="153"/>
        <v>-8360</v>
      </c>
      <c r="P832" s="6">
        <f t="shared" si="148"/>
        <v>0</v>
      </c>
      <c r="Q832" s="7">
        <f t="shared" si="141"/>
        <v>1498081.6500000004</v>
      </c>
      <c r="R832" s="44" t="str">
        <f>VLOOKUP(F832,'Set up'!$A$2:$E$70,5,FALSE)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36"/>
        <v>5</v>
      </c>
      <c r="C833" s="5">
        <f t="shared" si="137"/>
        <v>2022</v>
      </c>
      <c r="D833" s="5" t="s">
        <v>796</v>
      </c>
      <c r="E833" s="5" t="str">
        <f>VLOOKUP(F833,'Set up'!$A$2:$C$70,2,FALSE)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up'!$A$2:$C$70,3,FALSE)</f>
        <v>Cash</v>
      </c>
      <c r="J833" s="5">
        <f>VLOOKUP(F833,'Set up'!$A$2:$D$70,4,FALSE)</f>
        <v>0</v>
      </c>
      <c r="K833" s="4">
        <f t="shared" si="138"/>
        <v>44706</v>
      </c>
      <c r="L833" s="5">
        <f t="shared" si="139"/>
        <v>5</v>
      </c>
      <c r="M833" s="5">
        <f t="shared" si="140"/>
        <v>2022</v>
      </c>
      <c r="N833" s="6">
        <v>2352</v>
      </c>
      <c r="O833" s="6">
        <f t="shared" si="153"/>
        <v>-2352</v>
      </c>
      <c r="P833" s="6">
        <f t="shared" si="148"/>
        <v>0</v>
      </c>
      <c r="Q833" s="7">
        <f t="shared" si="141"/>
        <v>1500433.6500000004</v>
      </c>
      <c r="R833" s="44" t="str">
        <f>VLOOKUP(F833,'Set up'!$A$2:$E$70,5,FALSE)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36"/>
        <v>5</v>
      </c>
      <c r="C834" s="5">
        <f t="shared" si="137"/>
        <v>2022</v>
      </c>
      <c r="D834" s="5" t="s">
        <v>796</v>
      </c>
      <c r="E834" s="5" t="str">
        <f>VLOOKUP(F834,'Set up'!$A$2:$C$70,2,FALSE)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up'!$A$2:$C$70,3,FALSE)</f>
        <v>Cash</v>
      </c>
      <c r="J834" s="5">
        <f>VLOOKUP(F834,'Set up'!$A$2:$D$70,4,FALSE)</f>
        <v>0</v>
      </c>
      <c r="K834" s="4">
        <f t="shared" si="138"/>
        <v>44706</v>
      </c>
      <c r="L834" s="5">
        <f t="shared" si="139"/>
        <v>5</v>
      </c>
      <c r="M834" s="5">
        <f t="shared" si="140"/>
        <v>2022</v>
      </c>
      <c r="N834" s="6">
        <v>2106</v>
      </c>
      <c r="O834" s="6">
        <f t="shared" si="153"/>
        <v>-2106</v>
      </c>
      <c r="P834" s="6">
        <f t="shared" si="148"/>
        <v>0</v>
      </c>
      <c r="Q834" s="7">
        <f t="shared" si="141"/>
        <v>1502539.6500000004</v>
      </c>
      <c r="R834" s="44" t="str">
        <f>VLOOKUP(F834,'Set up'!$A$2:$E$70,5,FALSE)</f>
        <v>Trsf</v>
      </c>
      <c r="S834" s="1" t="s">
        <v>1155</v>
      </c>
    </row>
    <row r="835" spans="1:19" x14ac:dyDescent="0.35">
      <c r="A835" s="4">
        <v>44706</v>
      </c>
      <c r="B835" s="5">
        <f t="shared" ref="B835:B898" si="154">MONTH(A835)</f>
        <v>5</v>
      </c>
      <c r="C835" s="5">
        <f t="shared" ref="C835:C898" si="155">YEAR(A835)</f>
        <v>2022</v>
      </c>
      <c r="D835" s="5" t="s">
        <v>796</v>
      </c>
      <c r="E835" s="5" t="str">
        <f>VLOOKUP(F835,'Set up'!$A$2:$C$70,2,FALSE)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up'!$A$2:$C$70,3,FALSE)</f>
        <v>Cash</v>
      </c>
      <c r="J835" s="5">
        <f>VLOOKUP(F835,'Set up'!$A$2:$D$70,4,FALSE)</f>
        <v>0</v>
      </c>
      <c r="K835" s="4">
        <f t="shared" ref="K835:K898" si="156">A835+J835</f>
        <v>44706</v>
      </c>
      <c r="L835" s="5">
        <f t="shared" ref="L835:L898" si="157">MONTH(K835)</f>
        <v>5</v>
      </c>
      <c r="M835" s="5">
        <f t="shared" ref="M835:M898" si="158">YEAR(K835)</f>
        <v>2022</v>
      </c>
      <c r="N835" s="6">
        <v>250</v>
      </c>
      <c r="O835" s="6">
        <f t="shared" si="153"/>
        <v>-250</v>
      </c>
      <c r="P835" s="6">
        <f t="shared" si="148"/>
        <v>0</v>
      </c>
      <c r="Q835" s="7">
        <f t="shared" ref="Q835:Q898" si="159">SUM(Q834+N835)</f>
        <v>1502789.6500000004</v>
      </c>
      <c r="R835" s="44" t="str">
        <f>VLOOKUP(F835,'Set up'!$A$2:$E$70,5,FALSE)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4"/>
        <v>5</v>
      </c>
      <c r="C836" s="5">
        <f t="shared" si="155"/>
        <v>2022</v>
      </c>
      <c r="D836" s="5" t="s">
        <v>796</v>
      </c>
      <c r="E836" s="5" t="str">
        <f>VLOOKUP(F836,'Set up'!$A$2:$C$70,2,FALSE)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up'!$A$2:$C$70,3,FALSE)</f>
        <v>Cash</v>
      </c>
      <c r="J836" s="5">
        <f>VLOOKUP(F836,'Set up'!$A$2:$D$70,4,FALSE)</f>
        <v>0</v>
      </c>
      <c r="K836" s="4">
        <f t="shared" si="156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53"/>
        <v>-1000</v>
      </c>
      <c r="P836" s="6">
        <f t="shared" si="148"/>
        <v>0</v>
      </c>
      <c r="Q836" s="7">
        <f t="shared" si="159"/>
        <v>1503789.6500000004</v>
      </c>
      <c r="R836" s="44" t="str">
        <f>VLOOKUP(F836,'Set up'!$A$2:$E$70,5,FALSE)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4"/>
        <v>5</v>
      </c>
      <c r="C837" s="5">
        <f t="shared" si="155"/>
        <v>2022</v>
      </c>
      <c r="D837" s="5" t="s">
        <v>797</v>
      </c>
      <c r="E837" s="5" t="str">
        <f>VLOOKUP(F837,'Set up'!$A$2:$C$70,2,FALSE)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up'!$A$2:$C$70,3,FALSE)</f>
        <v>Cash</v>
      </c>
      <c r="J837" s="5">
        <f>VLOOKUP(F837,'Set up'!$A$2:$D$70,4,FALSE)</f>
        <v>0</v>
      </c>
      <c r="K837" s="4">
        <f t="shared" si="156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0">-N837</f>
        <v>-2068</v>
      </c>
      <c r="P837" s="6">
        <f t="shared" si="148"/>
        <v>0</v>
      </c>
      <c r="Q837" s="7">
        <f t="shared" si="159"/>
        <v>1505857.6500000004</v>
      </c>
      <c r="R837" s="44" t="str">
        <f>VLOOKUP(F837,'Set up'!$A$2:$E$70,5,FALSE)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4"/>
        <v>5</v>
      </c>
      <c r="C838" s="5">
        <f t="shared" si="155"/>
        <v>2022</v>
      </c>
      <c r="D838" s="5" t="s">
        <v>797</v>
      </c>
      <c r="E838" s="5" t="str">
        <f>VLOOKUP(F838,'Set up'!$A$2:$C$70,2,FALSE)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up'!$A$2:$C$70,3,FALSE)</f>
        <v>Cash</v>
      </c>
      <c r="J838" s="5">
        <f>VLOOKUP(F838,'Set up'!$A$2:$D$70,4,FALSE)</f>
        <v>0</v>
      </c>
      <c r="K838" s="4">
        <f t="shared" si="156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0"/>
        <v>-864</v>
      </c>
      <c r="P838" s="6">
        <f t="shared" si="148"/>
        <v>0</v>
      </c>
      <c r="Q838" s="7">
        <f t="shared" si="159"/>
        <v>1506721.6500000004</v>
      </c>
      <c r="R838" s="44" t="str">
        <f>VLOOKUP(F838,'Set up'!$A$2:$E$70,5,FALSE)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4"/>
        <v>5</v>
      </c>
      <c r="C839" s="5">
        <f t="shared" si="155"/>
        <v>2022</v>
      </c>
      <c r="D839" s="5" t="s">
        <v>797</v>
      </c>
      <c r="E839" s="5" t="str">
        <f>VLOOKUP(F839,'Set up'!$A$2:$C$70,2,FALSE)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up'!$A$2:$C$70,3,FALSE)</f>
        <v>Cash</v>
      </c>
      <c r="J839" s="5">
        <f>VLOOKUP(F839,'Set up'!$A$2:$D$70,4,FALSE)</f>
        <v>0</v>
      </c>
      <c r="K839" s="4">
        <f t="shared" si="156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0"/>
        <v>-90</v>
      </c>
      <c r="P839" s="6">
        <f t="shared" si="148"/>
        <v>0</v>
      </c>
      <c r="Q839" s="7">
        <f t="shared" si="159"/>
        <v>1506811.6500000004</v>
      </c>
      <c r="R839" s="44" t="str">
        <f>VLOOKUP(F839,'Set up'!$A$2:$E$70,5,FALSE)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4"/>
        <v>5</v>
      </c>
      <c r="C840" s="5">
        <f t="shared" si="155"/>
        <v>2022</v>
      </c>
      <c r="D840" s="5" t="s">
        <v>797</v>
      </c>
      <c r="E840" s="5" t="str">
        <f>VLOOKUP(F840,'Set up'!$A$2:$C$70,2,FALSE)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up'!$A$2:$C$70,3,FALSE)</f>
        <v>Cash</v>
      </c>
      <c r="J840" s="5">
        <f>VLOOKUP(F840,'Set up'!$A$2:$D$70,4,FALSE)</f>
        <v>0</v>
      </c>
      <c r="K840" s="4">
        <f t="shared" si="156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0"/>
        <v>-219</v>
      </c>
      <c r="P840" s="6">
        <f t="shared" si="148"/>
        <v>0</v>
      </c>
      <c r="Q840" s="7">
        <f t="shared" si="159"/>
        <v>1507030.6500000004</v>
      </c>
      <c r="R840" s="44" t="str">
        <f>VLOOKUP(F840,'Set up'!$A$2:$E$70,5,FALSE)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4"/>
        <v>6</v>
      </c>
      <c r="C841" s="5">
        <f t="shared" si="155"/>
        <v>2022</v>
      </c>
      <c r="D841" s="5" t="s">
        <v>826</v>
      </c>
      <c r="E841" s="5" t="str">
        <f>VLOOKUP(F841,'Set up'!$A$2:$C$70,2,FALSE)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up'!$A$2:$C$70,3,FALSE)</f>
        <v>Cash</v>
      </c>
      <c r="J841" s="5">
        <f>VLOOKUP(F841,'Set up'!$A$2:$D$70,4,FALSE)</f>
        <v>0</v>
      </c>
      <c r="K841" s="4">
        <f t="shared" si="156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48"/>
        <v>0</v>
      </c>
      <c r="Q841" s="7">
        <f t="shared" si="159"/>
        <v>1515390.6500000004</v>
      </c>
      <c r="R841" s="44" t="str">
        <f>VLOOKUP(F841,'Set up'!$A$2:$E$70,5,FALSE)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4"/>
        <v>6</v>
      </c>
      <c r="C842" s="5">
        <f t="shared" si="155"/>
        <v>2022</v>
      </c>
      <c r="D842" s="5" t="s">
        <v>826</v>
      </c>
      <c r="E842" s="5" t="str">
        <f>VLOOKUP(F842,'Set up'!$A$2:$C$70,2,FALSE)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up'!$A$2:$C$70,3,FALSE)</f>
        <v>Cash</v>
      </c>
      <c r="J842" s="5">
        <f>VLOOKUP(F842,'Set up'!$A$2:$D$70,4,FALSE)</f>
        <v>0</v>
      </c>
      <c r="K842" s="4">
        <f t="shared" si="156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1">-N842</f>
        <v>-1764</v>
      </c>
      <c r="P842" s="6">
        <f t="shared" si="148"/>
        <v>0</v>
      </c>
      <c r="Q842" s="7">
        <f t="shared" si="159"/>
        <v>1517154.6500000004</v>
      </c>
      <c r="R842" s="44" t="str">
        <f>VLOOKUP(F842,'Set up'!$A$2:$E$70,5,FALSE)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4"/>
        <v>6</v>
      </c>
      <c r="C843" s="5">
        <f t="shared" si="155"/>
        <v>2022</v>
      </c>
      <c r="D843" s="5" t="s">
        <v>826</v>
      </c>
      <c r="E843" s="5" t="str">
        <f>VLOOKUP(F843,'Set up'!$A$2:$C$70,2,FALSE)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up'!$A$2:$C$70,3,FALSE)</f>
        <v>Cash</v>
      </c>
      <c r="J843" s="5">
        <f>VLOOKUP(F843,'Set up'!$A$2:$D$70,4,FALSE)</f>
        <v>0</v>
      </c>
      <c r="K843" s="4">
        <f t="shared" si="156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1"/>
        <v>-1053</v>
      </c>
      <c r="P843" s="6">
        <f t="shared" si="148"/>
        <v>0</v>
      </c>
      <c r="Q843" s="7">
        <f t="shared" si="159"/>
        <v>1518207.6500000004</v>
      </c>
      <c r="R843" s="44" t="str">
        <f>VLOOKUP(F843,'Set up'!$A$2:$E$70,5,FALSE)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4"/>
        <v>6</v>
      </c>
      <c r="C844" s="5">
        <f t="shared" si="155"/>
        <v>2022</v>
      </c>
      <c r="D844" s="5" t="s">
        <v>826</v>
      </c>
      <c r="E844" s="5" t="str">
        <f>VLOOKUP(F844,'Set up'!$A$2:$C$70,2,FALSE)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up'!$A$2:$C$70,3,FALSE)</f>
        <v>Cash</v>
      </c>
      <c r="J844" s="5">
        <f>VLOOKUP(F844,'Set up'!$A$2:$D$70,4,FALSE)</f>
        <v>0</v>
      </c>
      <c r="K844" s="4">
        <f t="shared" si="156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48"/>
        <v>0</v>
      </c>
      <c r="Q844" s="7">
        <f t="shared" si="159"/>
        <v>1518457.6500000004</v>
      </c>
      <c r="R844" s="44" t="str">
        <f>VLOOKUP(F844,'Set up'!$A$2:$E$70,5,FALSE)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4"/>
        <v>6</v>
      </c>
      <c r="C845" s="5">
        <f t="shared" si="155"/>
        <v>2022</v>
      </c>
      <c r="D845" s="5" t="s">
        <v>826</v>
      </c>
      <c r="E845" s="5" t="str">
        <f>VLOOKUP(F845,'Set up'!$A$2:$C$70,2,FALSE)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up'!$A$2:$C$70,3,FALSE)</f>
        <v>Cash</v>
      </c>
      <c r="J845" s="5">
        <f>VLOOKUP(F845,'Set up'!$A$2:$D$70,4,FALSE)</f>
        <v>0</v>
      </c>
      <c r="K845" s="4">
        <f t="shared" si="156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1"/>
        <v>-1000</v>
      </c>
      <c r="P845" s="6">
        <f t="shared" si="148"/>
        <v>0</v>
      </c>
      <c r="Q845" s="7">
        <f t="shared" si="159"/>
        <v>1519457.6500000004</v>
      </c>
      <c r="R845" s="44" t="str">
        <f>VLOOKUP(F845,'Set up'!$A$2:$E$70,5,FALSE)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4"/>
        <v>6</v>
      </c>
      <c r="C846" s="5">
        <f t="shared" si="155"/>
        <v>2022</v>
      </c>
      <c r="D846" s="5" t="s">
        <v>827</v>
      </c>
      <c r="E846" s="5" t="str">
        <f>VLOOKUP(F846,'Set up'!$A$2:$C$70,2,FALSE)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up'!$A$2:$C$70,3,FALSE)</f>
        <v>Cash</v>
      </c>
      <c r="J846" s="5">
        <f>VLOOKUP(F846,'Set up'!$A$2:$D$70,4,FALSE)</f>
        <v>0</v>
      </c>
      <c r="K846" s="4">
        <f t="shared" si="156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48"/>
        <v>0</v>
      </c>
      <c r="Q846" s="7">
        <f t="shared" si="159"/>
        <v>1521569.6500000004</v>
      </c>
      <c r="R846" s="44" t="str">
        <f>VLOOKUP(F846,'Set up'!$A$2:$E$70,5,FALSE)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4"/>
        <v>6</v>
      </c>
      <c r="C847" s="5">
        <f t="shared" si="155"/>
        <v>2022</v>
      </c>
      <c r="D847" s="5" t="s">
        <v>828</v>
      </c>
      <c r="E847" s="5" t="str">
        <f>VLOOKUP(F847,'Set up'!$A$2:$C$70,2,FALSE)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up'!$A$2:$C$70,3,FALSE)</f>
        <v>Cash</v>
      </c>
      <c r="J847" s="5">
        <f>VLOOKUP(F847,'Set up'!$A$2:$D$70,4,FALSE)</f>
        <v>0</v>
      </c>
      <c r="K847" s="4">
        <f t="shared" si="156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1"/>
        <v>-4180</v>
      </c>
      <c r="P847" s="6">
        <f t="shared" si="148"/>
        <v>0</v>
      </c>
      <c r="Q847" s="7">
        <f t="shared" si="159"/>
        <v>1525749.6500000004</v>
      </c>
      <c r="R847" s="44" t="str">
        <f>VLOOKUP(F847,'Set up'!$A$2:$E$70,5,FALSE)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4"/>
        <v>6</v>
      </c>
      <c r="C848" s="5">
        <f t="shared" si="155"/>
        <v>2022</v>
      </c>
      <c r="D848" s="5" t="s">
        <v>828</v>
      </c>
      <c r="E848" s="5" t="str">
        <f>VLOOKUP(F848,'Set up'!$A$2:$C$70,2,FALSE)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up'!$A$2:$C$70,3,FALSE)</f>
        <v>Cash</v>
      </c>
      <c r="J848" s="5">
        <f>VLOOKUP(F848,'Set up'!$A$2:$D$70,4,FALSE)</f>
        <v>0</v>
      </c>
      <c r="K848" s="4">
        <f t="shared" si="156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1"/>
        <v>-2940</v>
      </c>
      <c r="P848" s="6">
        <f t="shared" si="148"/>
        <v>0</v>
      </c>
      <c r="Q848" s="7">
        <f t="shared" si="159"/>
        <v>1528689.6500000004</v>
      </c>
      <c r="R848" s="44" t="str">
        <f>VLOOKUP(F848,'Set up'!$A$2:$E$70,5,FALSE)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4"/>
        <v>6</v>
      </c>
      <c r="C849" s="5">
        <f t="shared" si="155"/>
        <v>2022</v>
      </c>
      <c r="D849" s="5" t="s">
        <v>828</v>
      </c>
      <c r="E849" s="5" t="str">
        <f>VLOOKUP(F849,'Set up'!$A$2:$C$70,2,FALSE)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up'!$A$2:$C$70,3,FALSE)</f>
        <v>Cash</v>
      </c>
      <c r="J849" s="5">
        <f>VLOOKUP(F849,'Set up'!$A$2:$D$70,4,FALSE)</f>
        <v>0</v>
      </c>
      <c r="K849" s="4">
        <f t="shared" si="156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48"/>
        <v>0</v>
      </c>
      <c r="Q849" s="7">
        <f t="shared" si="159"/>
        <v>1530444.6500000004</v>
      </c>
      <c r="R849" s="44" t="str">
        <f>VLOOKUP(F849,'Set up'!$A$2:$E$70,5,FALSE)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4"/>
        <v>6</v>
      </c>
      <c r="C850" s="5">
        <f t="shared" si="155"/>
        <v>2022</v>
      </c>
      <c r="D850" s="5" t="s">
        <v>828</v>
      </c>
      <c r="E850" s="5" t="str">
        <f>VLOOKUP(F850,'Set up'!$A$2:$C$70,2,FALSE)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up'!$A$2:$C$70,3,FALSE)</f>
        <v>Cash</v>
      </c>
      <c r="J850" s="5">
        <f>VLOOKUP(F850,'Set up'!$A$2:$D$70,4,FALSE)</f>
        <v>0</v>
      </c>
      <c r="K850" s="4">
        <f t="shared" si="156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1"/>
        <v>-125</v>
      </c>
      <c r="P850" s="6">
        <f t="shared" si="148"/>
        <v>0</v>
      </c>
      <c r="Q850" s="7">
        <f t="shared" si="159"/>
        <v>1530569.6500000004</v>
      </c>
      <c r="R850" s="44" t="str">
        <f>VLOOKUP(F850,'Set up'!$A$2:$E$70,5,FALSE)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4"/>
        <v>6</v>
      </c>
      <c r="C851" s="5">
        <f t="shared" si="155"/>
        <v>2022</v>
      </c>
      <c r="D851" s="5" t="s">
        <v>829</v>
      </c>
      <c r="E851" s="5" t="str">
        <f>VLOOKUP(F851,'Set up'!$A$2:$C$70,2,FALSE)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up'!$A$2:$C$70,3,FALSE)</f>
        <v>Cash</v>
      </c>
      <c r="J851" s="5">
        <f>VLOOKUP(F851,'Set up'!$A$2:$D$70,4,FALSE)</f>
        <v>0</v>
      </c>
      <c r="K851" s="4">
        <f t="shared" si="156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48"/>
        <v>0</v>
      </c>
      <c r="Q851" s="7">
        <f t="shared" si="159"/>
        <v>1532637.6500000004</v>
      </c>
      <c r="R851" s="44" t="str">
        <f>VLOOKUP(F851,'Set up'!$A$2:$E$70,5,FALSE)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4"/>
        <v>6</v>
      </c>
      <c r="C852" s="5">
        <f t="shared" si="155"/>
        <v>2022</v>
      </c>
      <c r="D852" s="5" t="s">
        <v>829</v>
      </c>
      <c r="E852" s="5" t="str">
        <f>VLOOKUP(F852,'Set up'!$A$2:$C$70,2,FALSE)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up'!$A$2:$C$70,3,FALSE)</f>
        <v>Cash</v>
      </c>
      <c r="J852" s="5">
        <f>VLOOKUP(F852,'Set up'!$A$2:$D$70,4,FALSE)</f>
        <v>0</v>
      </c>
      <c r="K852" s="4">
        <f t="shared" si="156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48"/>
        <v>0</v>
      </c>
      <c r="Q852" s="7">
        <f t="shared" si="159"/>
        <v>1532925.6500000004</v>
      </c>
      <c r="R852" s="44" t="str">
        <f>VLOOKUP(F852,'Set up'!$A$2:$E$70,5,FALSE)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4"/>
        <v>6</v>
      </c>
      <c r="C853" s="5">
        <f t="shared" si="155"/>
        <v>2022</v>
      </c>
      <c r="D853" s="5" t="s">
        <v>831</v>
      </c>
      <c r="E853" s="5" t="str">
        <f>VLOOKUP(F853,'Set up'!$A$2:$C$70,2,FALSE)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up'!$A$2:$C$70,3,FALSE)</f>
        <v>120</v>
      </c>
      <c r="J853" s="5">
        <f>VLOOKUP(F853,'Set up'!$A$2:$D$70,4,FALSE)</f>
        <v>120</v>
      </c>
      <c r="K853" s="4">
        <f t="shared" si="156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2">-N853</f>
        <v>-9900</v>
      </c>
      <c r="P853" s="6">
        <f t="shared" ref="P853:P916" si="163">SUM(N853+O853)</f>
        <v>0</v>
      </c>
      <c r="Q853" s="7">
        <f t="shared" si="159"/>
        <v>1542825.6500000004</v>
      </c>
      <c r="R853" s="44" t="str">
        <f>VLOOKUP(F853,'Set up'!$A$2:$E$70,5,FALSE)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4"/>
        <v>6</v>
      </c>
      <c r="C854" s="5">
        <f t="shared" si="155"/>
        <v>2022</v>
      </c>
      <c r="D854" s="5" t="s">
        <v>831</v>
      </c>
      <c r="E854" s="5" t="str">
        <f>VLOOKUP(F854,'Set up'!$A$2:$C$70,2,FALSE)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up'!$A$2:$C$70,3,FALSE)</f>
        <v>120</v>
      </c>
      <c r="J854" s="5">
        <f>VLOOKUP(F854,'Set up'!$A$2:$D$70,4,FALSE)</f>
        <v>120</v>
      </c>
      <c r="K854" s="4">
        <f t="shared" si="156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2"/>
        <v>-1425</v>
      </c>
      <c r="P854" s="6">
        <f t="shared" si="163"/>
        <v>0</v>
      </c>
      <c r="Q854" s="7">
        <f t="shared" si="159"/>
        <v>1544250.6500000004</v>
      </c>
      <c r="R854" s="44" t="str">
        <f>VLOOKUP(F854,'Set up'!$A$2:$E$70,5,FALSE)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4"/>
        <v>6</v>
      </c>
      <c r="C855" s="5">
        <f t="shared" si="155"/>
        <v>2022</v>
      </c>
      <c r="D855" s="5" t="s">
        <v>831</v>
      </c>
      <c r="E855" s="5" t="str">
        <f>VLOOKUP(F855,'Set up'!$A$2:$C$70,2,FALSE)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up'!$A$2:$C$70,3,FALSE)</f>
        <v>120</v>
      </c>
      <c r="J855" s="5">
        <f>VLOOKUP(F855,'Set up'!$A$2:$D$70,4,FALSE)</f>
        <v>120</v>
      </c>
      <c r="K855" s="4">
        <f t="shared" si="156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2"/>
        <v>-550</v>
      </c>
      <c r="P855" s="6">
        <f t="shared" si="163"/>
        <v>0</v>
      </c>
      <c r="Q855" s="7">
        <f t="shared" si="159"/>
        <v>1544800.6500000004</v>
      </c>
      <c r="R855" s="44" t="str">
        <f>VLOOKUP(F855,'Set up'!$A$2:$E$70,5,FALSE)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4"/>
        <v>6</v>
      </c>
      <c r="C856" s="5">
        <f t="shared" si="155"/>
        <v>2022</v>
      </c>
      <c r="D856" s="5" t="s">
        <v>831</v>
      </c>
      <c r="E856" s="5" t="str">
        <f>VLOOKUP(F856,'Set up'!$A$2:$C$70,2,FALSE)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up'!$A$2:$C$70,3,FALSE)</f>
        <v>120</v>
      </c>
      <c r="J856" s="5">
        <f>VLOOKUP(F856,'Set up'!$A$2:$D$70,4,FALSE)</f>
        <v>120</v>
      </c>
      <c r="K856" s="4">
        <f t="shared" si="156"/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2"/>
        <v>-420</v>
      </c>
      <c r="P856" s="6">
        <f t="shared" si="163"/>
        <v>0</v>
      </c>
      <c r="Q856" s="7">
        <f t="shared" si="159"/>
        <v>1545220.6500000004</v>
      </c>
      <c r="R856" s="44" t="str">
        <f>VLOOKUP(F856,'Set up'!$A$2:$E$70,5,FALSE)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4"/>
        <v>6</v>
      </c>
      <c r="C857" s="5">
        <f t="shared" si="155"/>
        <v>2022</v>
      </c>
      <c r="D857" s="5" t="s">
        <v>831</v>
      </c>
      <c r="E857" s="5" t="str">
        <f>VLOOKUP(F857,'Set up'!$A$2:$C$70,2,FALSE)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up'!$A$2:$C$70,3,FALSE)</f>
        <v>120</v>
      </c>
      <c r="J857" s="5">
        <f>VLOOKUP(F857,'Set up'!$A$2:$D$70,4,FALSE)</f>
        <v>120</v>
      </c>
      <c r="K857" s="4">
        <f t="shared" si="156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2"/>
        <v>-395</v>
      </c>
      <c r="P857" s="6">
        <f t="shared" si="163"/>
        <v>0</v>
      </c>
      <c r="Q857" s="7">
        <f t="shared" si="159"/>
        <v>1545615.6500000004</v>
      </c>
      <c r="R857" s="44" t="str">
        <f>VLOOKUP(F857,'Set up'!$A$2:$E$70,5,FALSE)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4"/>
        <v>6</v>
      </c>
      <c r="C858" s="5">
        <f t="shared" si="155"/>
        <v>2022</v>
      </c>
      <c r="D858" s="5" t="s">
        <v>832</v>
      </c>
      <c r="E858" s="5" t="str">
        <f>VLOOKUP(F858,'Set up'!$A$2:$C$70,2,FALSE)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up'!$A$2:$C$70,3,FALSE)</f>
        <v>Cash</v>
      </c>
      <c r="J858" s="5">
        <f>VLOOKUP(F858,'Set up'!$A$2:$D$70,4,FALSE)</f>
        <v>0</v>
      </c>
      <c r="K858" s="4">
        <f t="shared" si="156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3"/>
        <v>0</v>
      </c>
      <c r="Q858" s="7">
        <f t="shared" si="159"/>
        <v>1547727.6500000004</v>
      </c>
      <c r="R858" s="44" t="str">
        <f>VLOOKUP(F858,'Set up'!$A$2:$E$70,5,FALSE)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4"/>
        <v>6</v>
      </c>
      <c r="C859" s="5">
        <f t="shared" si="155"/>
        <v>2022</v>
      </c>
      <c r="D859" s="5" t="s">
        <v>833</v>
      </c>
      <c r="E859" s="5" t="str">
        <f>VLOOKUP(F859,'Set up'!$A$2:$C$70,2,FALSE)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up'!$A$2:$C$70,3,FALSE)</f>
        <v>Cash</v>
      </c>
      <c r="J859" s="5">
        <f>VLOOKUP(F859,'Set up'!$A$2:$D$70,4,FALSE)</f>
        <v>0</v>
      </c>
      <c r="K859" s="4">
        <f t="shared" si="156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64">-N859</f>
        <v>-2068</v>
      </c>
      <c r="P859" s="6">
        <f t="shared" si="163"/>
        <v>0</v>
      </c>
      <c r="Q859" s="7">
        <f t="shared" si="159"/>
        <v>1549795.6500000004</v>
      </c>
      <c r="R859" s="44" t="str">
        <f>VLOOKUP(F859,'Set up'!$A$2:$E$70,5,FALSE)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4"/>
        <v>6</v>
      </c>
      <c r="C860" s="5">
        <f t="shared" si="155"/>
        <v>2022</v>
      </c>
      <c r="D860" s="5" t="s">
        <v>833</v>
      </c>
      <c r="E860" s="5" t="str">
        <f>VLOOKUP(F860,'Set up'!$A$2:$C$70,2,FALSE)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up'!$A$2:$C$70,3,FALSE)</f>
        <v>Cash</v>
      </c>
      <c r="J860" s="5">
        <f>VLOOKUP(F860,'Set up'!$A$2:$D$70,4,FALSE)</f>
        <v>0</v>
      </c>
      <c r="K860" s="4">
        <f t="shared" si="156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64"/>
        <v>-588</v>
      </c>
      <c r="P860" s="6">
        <f t="shared" si="163"/>
        <v>0</v>
      </c>
      <c r="Q860" s="7">
        <f t="shared" si="159"/>
        <v>1550383.6500000004</v>
      </c>
      <c r="R860" s="44" t="str">
        <f>VLOOKUP(F860,'Set up'!$A$2:$E$70,5,FALSE)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4"/>
        <v>6</v>
      </c>
      <c r="C861" s="5">
        <f t="shared" si="155"/>
        <v>2022</v>
      </c>
      <c r="D861" s="5" t="s">
        <v>833</v>
      </c>
      <c r="E861" s="5" t="str">
        <f>VLOOKUP(F861,'Set up'!$A$2:$C$70,2,FALSE)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up'!$A$2:$C$70,3,FALSE)</f>
        <v>Cash</v>
      </c>
      <c r="J861" s="5">
        <f>VLOOKUP(F861,'Set up'!$A$2:$D$70,4,FALSE)</f>
        <v>0</v>
      </c>
      <c r="K861" s="4">
        <f t="shared" si="156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64"/>
        <v>-90</v>
      </c>
      <c r="P861" s="6">
        <f t="shared" si="163"/>
        <v>0</v>
      </c>
      <c r="Q861" s="7">
        <f t="shared" si="159"/>
        <v>1550473.6500000004</v>
      </c>
      <c r="R861" s="44" t="str">
        <f>VLOOKUP(F861,'Set up'!$A$2:$E$70,5,FALSE)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4"/>
        <v>6</v>
      </c>
      <c r="C862" s="5">
        <f t="shared" si="155"/>
        <v>2022</v>
      </c>
      <c r="D862" s="5" t="s">
        <v>834</v>
      </c>
      <c r="E862" s="5" t="str">
        <f>VLOOKUP(F862,'Set up'!$A$2:$C$70,2,FALSE)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up'!$A$2:$C$70,3,FALSE)</f>
        <v>Cash</v>
      </c>
      <c r="J862" s="5">
        <f>VLOOKUP(F862,'Set up'!$A$2:$D$70,4,FALSE)</f>
        <v>0</v>
      </c>
      <c r="K862" s="4">
        <f t="shared" si="156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64"/>
        <v>-4180</v>
      </c>
      <c r="P862" s="6">
        <f t="shared" si="163"/>
        <v>0</v>
      </c>
      <c r="Q862" s="7">
        <f t="shared" si="159"/>
        <v>1554653.6500000004</v>
      </c>
      <c r="R862" s="44" t="str">
        <f>VLOOKUP(F862,'Set up'!$A$2:$E$70,5,FALSE)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4"/>
        <v>6</v>
      </c>
      <c r="C863" s="5">
        <f t="shared" si="155"/>
        <v>2022</v>
      </c>
      <c r="D863" s="5" t="s">
        <v>834</v>
      </c>
      <c r="E863" s="5" t="str">
        <f>VLOOKUP(F863,'Set up'!$A$2:$C$70,2,FALSE)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up'!$A$2:$C$70,3,FALSE)</f>
        <v>Cash</v>
      </c>
      <c r="J863" s="5">
        <f>VLOOKUP(F863,'Set up'!$A$2:$D$70,4,FALSE)</f>
        <v>0</v>
      </c>
      <c r="K863" s="4">
        <f t="shared" si="156"/>
        <v>44723</v>
      </c>
      <c r="L863" s="5">
        <f t="shared" si="157"/>
        <v>6</v>
      </c>
      <c r="M863" s="5">
        <f t="shared" si="158"/>
        <v>2022</v>
      </c>
      <c r="N863" s="6">
        <v>294</v>
      </c>
      <c r="O863" s="6">
        <f t="shared" si="164"/>
        <v>-294</v>
      </c>
      <c r="P863" s="6">
        <f t="shared" si="163"/>
        <v>0</v>
      </c>
      <c r="Q863" s="7">
        <f t="shared" si="159"/>
        <v>1554947.6500000004</v>
      </c>
      <c r="R863" s="44" t="str">
        <f>VLOOKUP(F863,'Set up'!$A$2:$E$70,5,FALSE)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4"/>
        <v>6</v>
      </c>
      <c r="C864" s="5">
        <f t="shared" si="155"/>
        <v>2022</v>
      </c>
      <c r="D864" s="5" t="s">
        <v>834</v>
      </c>
      <c r="E864" s="5" t="str">
        <f>VLOOKUP(F864,'Set up'!$A$2:$C$70,2,FALSE)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up'!$A$2:$C$70,3,FALSE)</f>
        <v>Cash</v>
      </c>
      <c r="J864" s="5">
        <f>VLOOKUP(F864,'Set up'!$A$2:$D$70,4,FALSE)</f>
        <v>0</v>
      </c>
      <c r="K864" s="4">
        <f t="shared" si="156"/>
        <v>44723</v>
      </c>
      <c r="L864" s="5">
        <f t="shared" si="157"/>
        <v>6</v>
      </c>
      <c r="M864" s="5">
        <f t="shared" si="158"/>
        <v>2022</v>
      </c>
      <c r="N864" s="6">
        <v>351</v>
      </c>
      <c r="O864" s="6">
        <f t="shared" si="164"/>
        <v>-351</v>
      </c>
      <c r="P864" s="6">
        <f t="shared" si="163"/>
        <v>0</v>
      </c>
      <c r="Q864" s="7">
        <f t="shared" si="159"/>
        <v>1555298.6500000004</v>
      </c>
      <c r="R864" s="44" t="str">
        <f>VLOOKUP(F864,'Set up'!$A$2:$E$70,5,FALSE)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4"/>
        <v>6</v>
      </c>
      <c r="C865" s="5">
        <f t="shared" si="155"/>
        <v>2022</v>
      </c>
      <c r="D865" s="5" t="s">
        <v>834</v>
      </c>
      <c r="E865" s="5" t="str">
        <f>VLOOKUP(F865,'Set up'!$A$2:$C$70,2,FALSE)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up'!$A$2:$C$70,3,FALSE)</f>
        <v>Cash</v>
      </c>
      <c r="J865" s="5">
        <f>VLOOKUP(F865,'Set up'!$A$2:$D$70,4,FALSE)</f>
        <v>0</v>
      </c>
      <c r="K865" s="4">
        <f t="shared" si="156"/>
        <v>44723</v>
      </c>
      <c r="L865" s="5">
        <f t="shared" si="157"/>
        <v>6</v>
      </c>
      <c r="M865" s="5">
        <f t="shared" si="158"/>
        <v>2022</v>
      </c>
      <c r="N865" s="6">
        <v>125</v>
      </c>
      <c r="O865" s="6">
        <f>-49.8-75.2</f>
        <v>-125</v>
      </c>
      <c r="P865" s="6">
        <f t="shared" si="163"/>
        <v>0</v>
      </c>
      <c r="Q865" s="7">
        <f t="shared" si="159"/>
        <v>1555423.6500000004</v>
      </c>
      <c r="R865" s="44" t="str">
        <f>VLOOKUP(F865,'Set up'!$A$2:$E$70,5,FALSE)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4"/>
        <v>6</v>
      </c>
      <c r="C866" s="5">
        <f t="shared" si="155"/>
        <v>2022</v>
      </c>
      <c r="D866" s="5" t="s">
        <v>835</v>
      </c>
      <c r="E866" s="5" t="str">
        <f>VLOOKUP(F866,'Set up'!$A$2:$C$70,2,FALSE)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up'!$A$2:$C$70,3,FALSE)</f>
        <v>Cash</v>
      </c>
      <c r="J866" s="5">
        <f>VLOOKUP(F866,'Set up'!$A$2:$D$70,4,FALSE)</f>
        <v>0</v>
      </c>
      <c r="K866" s="4">
        <f t="shared" si="156"/>
        <v>44725</v>
      </c>
      <c r="L866" s="5">
        <f t="shared" si="157"/>
        <v>6</v>
      </c>
      <c r="M866" s="5">
        <f t="shared" si="158"/>
        <v>2022</v>
      </c>
      <c r="N866" s="6">
        <v>1400</v>
      </c>
      <c r="O866" s="6">
        <f t="shared" ref="O866:O877" si="165">-N866</f>
        <v>-1400</v>
      </c>
      <c r="P866" s="6">
        <f t="shared" si="163"/>
        <v>0</v>
      </c>
      <c r="Q866" s="7">
        <f t="shared" si="159"/>
        <v>1556823.6500000004</v>
      </c>
      <c r="R866" s="44" t="str">
        <f>VLOOKUP(F866,'Set up'!$A$2:$E$70,5,FALSE)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4"/>
        <v>6</v>
      </c>
      <c r="C867" s="5">
        <f t="shared" si="155"/>
        <v>2022</v>
      </c>
      <c r="D867" s="5" t="s">
        <v>835</v>
      </c>
      <c r="E867" s="5" t="str">
        <f>VLOOKUP(F867,'Set up'!$A$2:$C$70,2,FALSE)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up'!$A$2:$C$70,3,FALSE)</f>
        <v>Cash</v>
      </c>
      <c r="J867" s="5">
        <f>VLOOKUP(F867,'Set up'!$A$2:$D$70,4,FALSE)</f>
        <v>0</v>
      </c>
      <c r="K867" s="4">
        <f t="shared" si="156"/>
        <v>44725</v>
      </c>
      <c r="L867" s="5">
        <f t="shared" si="157"/>
        <v>6</v>
      </c>
      <c r="M867" s="5">
        <f t="shared" si="158"/>
        <v>2022</v>
      </c>
      <c r="N867" s="6">
        <v>588</v>
      </c>
      <c r="O867" s="6">
        <f t="shared" si="165"/>
        <v>-588</v>
      </c>
      <c r="P867" s="6">
        <f t="shared" si="163"/>
        <v>0</v>
      </c>
      <c r="Q867" s="7">
        <f t="shared" si="159"/>
        <v>1557411.6500000004</v>
      </c>
      <c r="R867" s="44" t="str">
        <f>VLOOKUP(F867,'Set up'!$A$2:$E$70,5,FALSE)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4"/>
        <v>6</v>
      </c>
      <c r="C868" s="5">
        <f t="shared" si="155"/>
        <v>2022</v>
      </c>
      <c r="D868" s="5" t="s">
        <v>835</v>
      </c>
      <c r="E868" s="5" t="str">
        <f>VLOOKUP(F868,'Set up'!$A$2:$C$70,2,FALSE)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up'!$A$2:$C$70,3,FALSE)</f>
        <v>Cash</v>
      </c>
      <c r="J868" s="5">
        <f>VLOOKUP(F868,'Set up'!$A$2:$D$70,4,FALSE)</f>
        <v>0</v>
      </c>
      <c r="K868" s="4">
        <f t="shared" si="156"/>
        <v>44725</v>
      </c>
      <c r="L868" s="5">
        <f t="shared" si="157"/>
        <v>6</v>
      </c>
      <c r="M868" s="5">
        <f t="shared" si="158"/>
        <v>2022</v>
      </c>
      <c r="N868" s="6">
        <v>170</v>
      </c>
      <c r="O868" s="6">
        <f t="shared" si="165"/>
        <v>-170</v>
      </c>
      <c r="P868" s="6">
        <f t="shared" si="163"/>
        <v>0</v>
      </c>
      <c r="Q868" s="7">
        <f t="shared" si="159"/>
        <v>1557581.6500000004</v>
      </c>
      <c r="R868" s="44" t="str">
        <f>VLOOKUP(F868,'Set up'!$A$2:$E$70,5,FALSE)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4"/>
        <v>6</v>
      </c>
      <c r="C869" s="5">
        <f t="shared" si="155"/>
        <v>2022</v>
      </c>
      <c r="D869" s="5" t="s">
        <v>836</v>
      </c>
      <c r="E869" s="5" t="str">
        <f>VLOOKUP(F869,'Set up'!$A$2:$C$70,2,FALSE)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up'!$A$2:$C$70,3,FALSE)</f>
        <v>60</v>
      </c>
      <c r="J869" s="5">
        <f>VLOOKUP(F869,'Set up'!$A$2:$D$70,4,FALSE)</f>
        <v>60</v>
      </c>
      <c r="K869" s="4">
        <f t="shared" si="156"/>
        <v>44786</v>
      </c>
      <c r="L869" s="5">
        <f t="shared" si="157"/>
        <v>8</v>
      </c>
      <c r="M869" s="5">
        <f t="shared" si="158"/>
        <v>2022</v>
      </c>
      <c r="N869" s="6">
        <v>3960</v>
      </c>
      <c r="O869" s="6">
        <f t="shared" si="165"/>
        <v>-3960</v>
      </c>
      <c r="P869" s="6">
        <f t="shared" si="163"/>
        <v>0</v>
      </c>
      <c r="Q869" s="7">
        <f t="shared" si="159"/>
        <v>1561541.6500000004</v>
      </c>
      <c r="R869" s="44" t="str">
        <f>VLOOKUP(F869,'Set up'!$A$2:$E$70,5,FALSE)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4"/>
        <v>6</v>
      </c>
      <c r="C870" s="5">
        <f t="shared" si="155"/>
        <v>2022</v>
      </c>
      <c r="D870" s="5" t="s">
        <v>837</v>
      </c>
      <c r="E870" s="5" t="str">
        <f>VLOOKUP(F870,'Set up'!$A$2:$C$70,2,FALSE)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up'!$A$2:$C$70,3,FALSE)</f>
        <v>Cash</v>
      </c>
      <c r="J870" s="5">
        <f>VLOOKUP(F870,'Set up'!$A$2:$D$70,4,FALSE)</f>
        <v>0</v>
      </c>
      <c r="K870" s="4">
        <f t="shared" si="156"/>
        <v>44726</v>
      </c>
      <c r="L870" s="5">
        <f t="shared" si="157"/>
        <v>6</v>
      </c>
      <c r="M870" s="5">
        <f t="shared" si="158"/>
        <v>2022</v>
      </c>
      <c r="N870" s="6">
        <v>2068</v>
      </c>
      <c r="O870" s="6">
        <f t="shared" si="165"/>
        <v>-2068</v>
      </c>
      <c r="P870" s="6">
        <f t="shared" si="163"/>
        <v>0</v>
      </c>
      <c r="Q870" s="7">
        <f t="shared" si="159"/>
        <v>1563609.6500000004</v>
      </c>
      <c r="R870" s="44" t="str">
        <f>VLOOKUP(F870,'Set up'!$A$2:$E$70,5,FALSE)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4"/>
        <v>6</v>
      </c>
      <c r="C871" s="5">
        <f t="shared" si="155"/>
        <v>2022</v>
      </c>
      <c r="D871" s="5" t="s">
        <v>837</v>
      </c>
      <c r="E871" s="5" t="str">
        <f>VLOOKUP(F871,'Set up'!$A$2:$C$70,2,FALSE)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up'!$A$2:$C$70,3,FALSE)</f>
        <v>Cash</v>
      </c>
      <c r="J871" s="5">
        <f>VLOOKUP(F871,'Set up'!$A$2:$D$70,4,FALSE)</f>
        <v>0</v>
      </c>
      <c r="K871" s="4">
        <f t="shared" si="156"/>
        <v>44726</v>
      </c>
      <c r="L871" s="5">
        <f t="shared" si="157"/>
        <v>6</v>
      </c>
      <c r="M871" s="5">
        <f t="shared" si="158"/>
        <v>2022</v>
      </c>
      <c r="N871" s="6">
        <v>1164</v>
      </c>
      <c r="O871" s="6">
        <f t="shared" si="165"/>
        <v>-1164</v>
      </c>
      <c r="P871" s="6">
        <f t="shared" si="163"/>
        <v>0</v>
      </c>
      <c r="Q871" s="7">
        <f t="shared" si="159"/>
        <v>1564773.6500000004</v>
      </c>
      <c r="R871" s="44" t="str">
        <f>VLOOKUP(F871,'Set up'!$A$2:$E$70,5,FALSE)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4"/>
        <v>6</v>
      </c>
      <c r="C872" s="5">
        <f t="shared" si="155"/>
        <v>2022</v>
      </c>
      <c r="D872" s="5" t="s">
        <v>842</v>
      </c>
      <c r="E872" s="5" t="str">
        <f>VLOOKUP(F872,'Set up'!$A$2:$C$70,2,FALSE)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up'!$A$2:$C$70,3,FALSE)</f>
        <v>Cash</v>
      </c>
      <c r="J872" s="5">
        <f>VLOOKUP(F872,'Set up'!$A$2:$D$70,4,FALSE)</f>
        <v>0</v>
      </c>
      <c r="K872" s="4">
        <f t="shared" si="156"/>
        <v>44730</v>
      </c>
      <c r="L872" s="5">
        <f t="shared" si="157"/>
        <v>6</v>
      </c>
      <c r="M872" s="5">
        <f t="shared" si="158"/>
        <v>2022</v>
      </c>
      <c r="N872" s="6">
        <v>2090</v>
      </c>
      <c r="O872" s="6">
        <f t="shared" si="165"/>
        <v>-2090</v>
      </c>
      <c r="P872" s="6">
        <f t="shared" si="163"/>
        <v>0</v>
      </c>
      <c r="Q872" s="7">
        <f t="shared" si="159"/>
        <v>1566863.6500000004</v>
      </c>
      <c r="R872" s="44" t="str">
        <f>VLOOKUP(F872,'Set up'!$A$2:$E$70,5,FALSE)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4"/>
        <v>6</v>
      </c>
      <c r="C873" s="5">
        <f t="shared" si="155"/>
        <v>2022</v>
      </c>
      <c r="D873" s="5" t="s">
        <v>842</v>
      </c>
      <c r="E873" s="5" t="str">
        <f>VLOOKUP(F873,'Set up'!$A$2:$C$70,2,FALSE)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up'!$A$2:$C$70,3,FALSE)</f>
        <v>Cash</v>
      </c>
      <c r="J873" s="5">
        <f>VLOOKUP(F873,'Set up'!$A$2:$D$70,4,FALSE)</f>
        <v>0</v>
      </c>
      <c r="K873" s="4">
        <f t="shared" si="156"/>
        <v>44730</v>
      </c>
      <c r="L873" s="5">
        <f t="shared" si="157"/>
        <v>6</v>
      </c>
      <c r="M873" s="5">
        <f t="shared" si="158"/>
        <v>2022</v>
      </c>
      <c r="N873" s="6">
        <v>588</v>
      </c>
      <c r="O873" s="6">
        <f t="shared" si="165"/>
        <v>-588</v>
      </c>
      <c r="P873" s="6">
        <f t="shared" si="163"/>
        <v>0</v>
      </c>
      <c r="Q873" s="7">
        <f t="shared" si="159"/>
        <v>1567451.6500000004</v>
      </c>
      <c r="R873" s="44" t="str">
        <f>VLOOKUP(F873,'Set up'!$A$2:$E$70,5,FALSE)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4"/>
        <v>6</v>
      </c>
      <c r="C874" s="5">
        <f t="shared" si="155"/>
        <v>2022</v>
      </c>
      <c r="D874" s="5" t="s">
        <v>842</v>
      </c>
      <c r="E874" s="5" t="str">
        <f>VLOOKUP(F874,'Set up'!$A$2:$C$70,2,FALSE)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up'!$A$2:$C$70,3,FALSE)</f>
        <v>Cash</v>
      </c>
      <c r="J874" s="5">
        <f>VLOOKUP(F874,'Set up'!$A$2:$D$70,4,FALSE)</f>
        <v>0</v>
      </c>
      <c r="K874" s="4">
        <f t="shared" si="156"/>
        <v>44730</v>
      </c>
      <c r="L874" s="5">
        <f t="shared" si="157"/>
        <v>6</v>
      </c>
      <c r="M874" s="5">
        <f t="shared" si="158"/>
        <v>2022</v>
      </c>
      <c r="N874" s="6">
        <v>351</v>
      </c>
      <c r="O874" s="6">
        <f t="shared" si="165"/>
        <v>-351</v>
      </c>
      <c r="P874" s="6">
        <f t="shared" si="163"/>
        <v>0</v>
      </c>
      <c r="Q874" s="7">
        <f t="shared" si="159"/>
        <v>1567802.6500000004</v>
      </c>
      <c r="R874" s="44" t="str">
        <f>VLOOKUP(F874,'Set up'!$A$2:$E$70,5,FALSE)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4"/>
        <v>6</v>
      </c>
      <c r="C875" s="5">
        <f t="shared" si="155"/>
        <v>2022</v>
      </c>
      <c r="D875" s="5" t="s">
        <v>842</v>
      </c>
      <c r="E875" s="5" t="str">
        <f>VLOOKUP(F875,'Set up'!$A$2:$C$70,2,FALSE)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up'!$A$2:$C$70,3,FALSE)</f>
        <v>Cash</v>
      </c>
      <c r="J875" s="5">
        <f>VLOOKUP(F875,'Set up'!$A$2:$D$70,4,FALSE)</f>
        <v>0</v>
      </c>
      <c r="K875" s="4">
        <f t="shared" si="156"/>
        <v>44730</v>
      </c>
      <c r="L875" s="5">
        <f t="shared" si="157"/>
        <v>6</v>
      </c>
      <c r="M875" s="5">
        <f t="shared" si="158"/>
        <v>2022</v>
      </c>
      <c r="N875" s="6">
        <v>62.5</v>
      </c>
      <c r="O875" s="6">
        <f t="shared" si="165"/>
        <v>-62.5</v>
      </c>
      <c r="P875" s="6">
        <f t="shared" si="163"/>
        <v>0</v>
      </c>
      <c r="Q875" s="7">
        <f t="shared" si="159"/>
        <v>1567865.1500000004</v>
      </c>
      <c r="R875" s="44" t="str">
        <f>VLOOKUP(F875,'Set up'!$A$2:$E$70,5,FALSE)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4"/>
        <v>6</v>
      </c>
      <c r="C876" s="5">
        <f t="shared" si="155"/>
        <v>2022</v>
      </c>
      <c r="D876" s="5" t="s">
        <v>842</v>
      </c>
      <c r="E876" s="5" t="str">
        <f>VLOOKUP(F876,'Set up'!$A$2:$C$70,2,FALSE)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up'!$A$2:$C$70,3,FALSE)</f>
        <v>Cash</v>
      </c>
      <c r="J876" s="5">
        <f>VLOOKUP(F876,'Set up'!$A$2:$D$70,4,FALSE)</f>
        <v>0</v>
      </c>
      <c r="K876" s="4">
        <f t="shared" si="156"/>
        <v>44730</v>
      </c>
      <c r="L876" s="5">
        <f t="shared" si="157"/>
        <v>6</v>
      </c>
      <c r="M876" s="5">
        <f t="shared" si="158"/>
        <v>2022</v>
      </c>
      <c r="N876" s="6">
        <v>1000</v>
      </c>
      <c r="O876" s="6">
        <f t="shared" si="165"/>
        <v>-1000</v>
      </c>
      <c r="P876" s="6">
        <f t="shared" si="163"/>
        <v>0</v>
      </c>
      <c r="Q876" s="7">
        <f t="shared" si="159"/>
        <v>1568865.1500000004</v>
      </c>
      <c r="R876" s="44" t="str">
        <f>VLOOKUP(F876,'Set up'!$A$2:$E$70,5,FALSE)</f>
        <v>Trsf</v>
      </c>
      <c r="S876" s="1" t="s">
        <v>1163</v>
      </c>
    </row>
    <row r="877" spans="1:19" x14ac:dyDescent="0.35">
      <c r="A877" s="4">
        <v>44730</v>
      </c>
      <c r="B877" s="5">
        <f t="shared" si="154"/>
        <v>6</v>
      </c>
      <c r="C877" s="5">
        <f t="shared" si="155"/>
        <v>2022</v>
      </c>
      <c r="D877" s="5" t="s">
        <v>842</v>
      </c>
      <c r="E877" s="5" t="str">
        <f>VLOOKUP(F877,'Set up'!$A$2:$C$70,2,FALSE)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up'!$A$2:$C$70,3,FALSE)</f>
        <v>Cash</v>
      </c>
      <c r="J877" s="5">
        <f>VLOOKUP(F877,'Set up'!$A$2:$D$70,4,FALSE)</f>
        <v>0</v>
      </c>
      <c r="K877" s="4">
        <f t="shared" si="156"/>
        <v>44730</v>
      </c>
      <c r="L877" s="5">
        <f t="shared" si="157"/>
        <v>6</v>
      </c>
      <c r="M877" s="5">
        <f t="shared" si="158"/>
        <v>2022</v>
      </c>
      <c r="N877" s="6">
        <v>340</v>
      </c>
      <c r="O877" s="6">
        <f t="shared" si="165"/>
        <v>-340</v>
      </c>
      <c r="P877" s="6">
        <f t="shared" si="163"/>
        <v>0</v>
      </c>
      <c r="Q877" s="7">
        <f t="shared" si="159"/>
        <v>1569205.1500000004</v>
      </c>
      <c r="R877" s="44" t="str">
        <f>VLOOKUP(F877,'Set up'!$A$2:$E$70,5,FALSE)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54"/>
        <v>6</v>
      </c>
      <c r="C878" s="5">
        <f t="shared" si="155"/>
        <v>2022</v>
      </c>
      <c r="D878" s="5" t="s">
        <v>843</v>
      </c>
      <c r="E878" s="5" t="str">
        <f>VLOOKUP(F878,'Set up'!$A$2:$C$70,2,FALSE)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up'!$A$2:$C$70,3,FALSE)</f>
        <v>Cash</v>
      </c>
      <c r="J878" s="5">
        <f>VLOOKUP(F878,'Set up'!$A$2:$D$70,4,FALSE)</f>
        <v>0</v>
      </c>
      <c r="K878" s="4">
        <f t="shared" si="156"/>
        <v>44732</v>
      </c>
      <c r="L878" s="5">
        <f t="shared" si="157"/>
        <v>6</v>
      </c>
      <c r="M878" s="5">
        <f t="shared" si="158"/>
        <v>2022</v>
      </c>
      <c r="N878" s="6">
        <v>2068</v>
      </c>
      <c r="O878" s="6">
        <f>-N878</f>
        <v>-2068</v>
      </c>
      <c r="P878" s="6">
        <f t="shared" si="163"/>
        <v>0</v>
      </c>
      <c r="Q878" s="7">
        <f t="shared" si="159"/>
        <v>1571273.1500000004</v>
      </c>
      <c r="R878" s="44" t="str">
        <f>VLOOKUP(F878,'Set up'!$A$2:$E$70,5,FALSE)</f>
        <v>Chq</v>
      </c>
      <c r="S878" s="1" t="s">
        <v>920</v>
      </c>
    </row>
    <row r="879" spans="1:19" x14ac:dyDescent="0.35">
      <c r="A879" s="4">
        <v>44736</v>
      </c>
      <c r="B879" s="5">
        <f t="shared" si="154"/>
        <v>6</v>
      </c>
      <c r="C879" s="5">
        <f t="shared" si="155"/>
        <v>2022</v>
      </c>
      <c r="D879" s="5" t="s">
        <v>844</v>
      </c>
      <c r="E879" s="5" t="str">
        <f>VLOOKUP(F879,'Set up'!$A$2:$C$70,2,FALSE)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up'!$A$2:$C$70,3,FALSE)</f>
        <v>Cash</v>
      </c>
      <c r="J879" s="5">
        <f>VLOOKUP(F879,'Set up'!$A$2:$D$70,4,FALSE)</f>
        <v>0</v>
      </c>
      <c r="K879" s="4">
        <f t="shared" si="156"/>
        <v>44736</v>
      </c>
      <c r="L879" s="5">
        <f t="shared" si="157"/>
        <v>6</v>
      </c>
      <c r="M879" s="5">
        <f t="shared" si="158"/>
        <v>2022</v>
      </c>
      <c r="N879" s="6">
        <v>2090</v>
      </c>
      <c r="O879" s="6">
        <f t="shared" ref="O879:O886" si="166">-N879</f>
        <v>-2090</v>
      </c>
      <c r="P879" s="6">
        <f t="shared" si="163"/>
        <v>0</v>
      </c>
      <c r="Q879" s="7">
        <f t="shared" si="159"/>
        <v>1573363.1500000004</v>
      </c>
      <c r="R879" s="44" t="str">
        <f>VLOOKUP(F879,'Set up'!$A$2:$E$70,5,FALSE)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54"/>
        <v>6</v>
      </c>
      <c r="C880" s="5">
        <f t="shared" si="155"/>
        <v>2022</v>
      </c>
      <c r="D880" s="5" t="s">
        <v>844</v>
      </c>
      <c r="E880" s="5" t="str">
        <f>VLOOKUP(F880,'Set up'!$A$2:$C$70,2,FALSE)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up'!$A$2:$C$70,3,FALSE)</f>
        <v>Cash</v>
      </c>
      <c r="J880" s="5">
        <f>VLOOKUP(F880,'Set up'!$A$2:$D$70,4,FALSE)</f>
        <v>0</v>
      </c>
      <c r="K880" s="4">
        <f t="shared" si="156"/>
        <v>44736</v>
      </c>
      <c r="L880" s="5">
        <f t="shared" si="157"/>
        <v>6</v>
      </c>
      <c r="M880" s="5">
        <f t="shared" si="158"/>
        <v>2022</v>
      </c>
      <c r="N880" s="6">
        <v>882</v>
      </c>
      <c r="O880" s="6">
        <f t="shared" si="166"/>
        <v>-882</v>
      </c>
      <c r="P880" s="6">
        <f t="shared" si="163"/>
        <v>0</v>
      </c>
      <c r="Q880" s="7">
        <f t="shared" si="159"/>
        <v>1574245.1500000004</v>
      </c>
      <c r="R880" s="44" t="str">
        <f>VLOOKUP(F880,'Set up'!$A$2:$E$70,5,FALSE)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54"/>
        <v>6</v>
      </c>
      <c r="C881" s="5">
        <f t="shared" si="155"/>
        <v>2022</v>
      </c>
      <c r="D881" s="5" t="s">
        <v>844</v>
      </c>
      <c r="E881" s="5" t="str">
        <f>VLOOKUP(F881,'Set up'!$A$2:$C$70,2,FALSE)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up'!$A$2:$C$70,3,FALSE)</f>
        <v>Cash</v>
      </c>
      <c r="J881" s="5">
        <f>VLOOKUP(F881,'Set up'!$A$2:$D$70,4,FALSE)</f>
        <v>0</v>
      </c>
      <c r="K881" s="4">
        <f t="shared" si="156"/>
        <v>44736</v>
      </c>
      <c r="L881" s="5">
        <f t="shared" si="157"/>
        <v>6</v>
      </c>
      <c r="M881" s="5">
        <f t="shared" si="158"/>
        <v>2022</v>
      </c>
      <c r="N881" s="6">
        <v>90</v>
      </c>
      <c r="O881" s="6">
        <f t="shared" si="166"/>
        <v>-90</v>
      </c>
      <c r="P881" s="6">
        <f t="shared" si="163"/>
        <v>0</v>
      </c>
      <c r="Q881" s="7">
        <f t="shared" si="159"/>
        <v>1574335.1500000004</v>
      </c>
      <c r="R881" s="44" t="str">
        <f>VLOOKUP(F881,'Set up'!$A$2:$E$70,5,FALSE)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54"/>
        <v>6</v>
      </c>
      <c r="C882" s="5">
        <f t="shared" si="155"/>
        <v>2022</v>
      </c>
      <c r="D882" s="5" t="s">
        <v>844</v>
      </c>
      <c r="E882" s="5" t="str">
        <f>VLOOKUP(F882,'Set up'!$A$2:$C$70,2,FALSE)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up'!$A$2:$C$70,3,FALSE)</f>
        <v>Cash</v>
      </c>
      <c r="J882" s="5">
        <f>VLOOKUP(F882,'Set up'!$A$2:$D$70,4,FALSE)</f>
        <v>0</v>
      </c>
      <c r="K882" s="4">
        <f t="shared" si="156"/>
        <v>44736</v>
      </c>
      <c r="L882" s="5">
        <f t="shared" si="157"/>
        <v>6</v>
      </c>
      <c r="M882" s="5">
        <f t="shared" si="158"/>
        <v>2022</v>
      </c>
      <c r="N882" s="6">
        <v>312.5</v>
      </c>
      <c r="O882" s="6">
        <f t="shared" si="166"/>
        <v>-312.5</v>
      </c>
      <c r="P882" s="6">
        <f t="shared" si="163"/>
        <v>0</v>
      </c>
      <c r="Q882" s="7">
        <f t="shared" si="159"/>
        <v>1574647.6500000004</v>
      </c>
      <c r="R882" s="44" t="str">
        <f>VLOOKUP(F882,'Set up'!$A$2:$E$70,5,FALSE)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54"/>
        <v>6</v>
      </c>
      <c r="C883" s="5">
        <f t="shared" si="155"/>
        <v>2022</v>
      </c>
      <c r="D883" s="5" t="s">
        <v>845</v>
      </c>
      <c r="E883" s="5" t="str">
        <f>VLOOKUP(F883,'Set up'!$A$2:$C$70,2,FALSE)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up'!$A$2:$C$70,3,FALSE)</f>
        <v>Cash</v>
      </c>
      <c r="J883" s="5">
        <f>VLOOKUP(F883,'Set up'!$A$2:$D$70,4,FALSE)</f>
        <v>0</v>
      </c>
      <c r="K883" s="4">
        <f t="shared" si="156"/>
        <v>44736</v>
      </c>
      <c r="L883" s="5">
        <f t="shared" si="157"/>
        <v>6</v>
      </c>
      <c r="M883" s="5">
        <f t="shared" si="158"/>
        <v>2022</v>
      </c>
      <c r="N883" s="6">
        <v>4180</v>
      </c>
      <c r="O883" s="6">
        <f t="shared" si="166"/>
        <v>-4180</v>
      </c>
      <c r="P883" s="6">
        <f t="shared" si="163"/>
        <v>0</v>
      </c>
      <c r="Q883" s="7">
        <f t="shared" si="159"/>
        <v>1578827.6500000004</v>
      </c>
      <c r="R883" s="44" t="str">
        <f>VLOOKUP(F883,'Set up'!$A$2:$E$70,5,FALSE)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54"/>
        <v>6</v>
      </c>
      <c r="C884" s="5">
        <f t="shared" si="155"/>
        <v>2022</v>
      </c>
      <c r="D884" s="5" t="s">
        <v>845</v>
      </c>
      <c r="E884" s="5" t="str">
        <f>VLOOKUP(F884,'Set up'!$A$2:$C$70,2,FALSE)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up'!$A$2:$C$70,3,FALSE)</f>
        <v>Cash</v>
      </c>
      <c r="J884" s="5">
        <f>VLOOKUP(F884,'Set up'!$A$2:$D$70,4,FALSE)</f>
        <v>0</v>
      </c>
      <c r="K884" s="4">
        <f t="shared" si="156"/>
        <v>44736</v>
      </c>
      <c r="L884" s="5">
        <f t="shared" si="157"/>
        <v>6</v>
      </c>
      <c r="M884" s="5">
        <f t="shared" si="158"/>
        <v>2022</v>
      </c>
      <c r="N884" s="6">
        <v>882</v>
      </c>
      <c r="O884" s="6">
        <f t="shared" si="166"/>
        <v>-882</v>
      </c>
      <c r="P884" s="6">
        <f t="shared" si="163"/>
        <v>0</v>
      </c>
      <c r="Q884" s="7">
        <f t="shared" si="159"/>
        <v>1579709.6500000004</v>
      </c>
      <c r="R884" s="44" t="str">
        <f>VLOOKUP(F884,'Set up'!$A$2:$E$70,5,FALSE)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54"/>
        <v>6</v>
      </c>
      <c r="C885" s="5">
        <f t="shared" si="155"/>
        <v>2022</v>
      </c>
      <c r="D885" s="5" t="s">
        <v>845</v>
      </c>
      <c r="E885" s="5" t="str">
        <f>VLOOKUP(F885,'Set up'!$A$2:$C$70,2,FALSE)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up'!$A$2:$C$70,3,FALSE)</f>
        <v>Cash</v>
      </c>
      <c r="J885" s="5">
        <f>VLOOKUP(F885,'Set up'!$A$2:$D$70,4,FALSE)</f>
        <v>0</v>
      </c>
      <c r="K885" s="4">
        <f t="shared" si="156"/>
        <v>44736</v>
      </c>
      <c r="L885" s="5">
        <f t="shared" si="157"/>
        <v>6</v>
      </c>
      <c r="M885" s="5">
        <f t="shared" si="158"/>
        <v>2022</v>
      </c>
      <c r="N885" s="6">
        <v>702</v>
      </c>
      <c r="O885" s="6">
        <f t="shared" si="166"/>
        <v>-702</v>
      </c>
      <c r="P885" s="6">
        <f t="shared" si="163"/>
        <v>0</v>
      </c>
      <c r="Q885" s="7">
        <f t="shared" si="159"/>
        <v>1580411.6500000004</v>
      </c>
      <c r="R885" s="44" t="str">
        <f>VLOOKUP(F885,'Set up'!$A$2:$E$70,5,FALSE)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54"/>
        <v>6</v>
      </c>
      <c r="C886" s="5">
        <f t="shared" si="155"/>
        <v>2022</v>
      </c>
      <c r="D886" s="5" t="s">
        <v>845</v>
      </c>
      <c r="E886" s="5" t="str">
        <f>VLOOKUP(F886,'Set up'!$A$2:$C$70,2,FALSE)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up'!$A$2:$C$70,3,FALSE)</f>
        <v>Cash</v>
      </c>
      <c r="J886" s="5">
        <f>VLOOKUP(F886,'Set up'!$A$2:$D$70,4,FALSE)</f>
        <v>0</v>
      </c>
      <c r="K886" s="4">
        <f t="shared" si="156"/>
        <v>44736</v>
      </c>
      <c r="L886" s="5">
        <f t="shared" si="157"/>
        <v>6</v>
      </c>
      <c r="M886" s="5">
        <f t="shared" si="158"/>
        <v>2022</v>
      </c>
      <c r="N886" s="6">
        <v>125</v>
      </c>
      <c r="O886" s="6">
        <f t="shared" si="166"/>
        <v>-125</v>
      </c>
      <c r="P886" s="6">
        <f t="shared" si="163"/>
        <v>0</v>
      </c>
      <c r="Q886" s="7">
        <f t="shared" si="159"/>
        <v>1580536.6500000004</v>
      </c>
      <c r="R886" s="44" t="str">
        <f>VLOOKUP(F886,'Set up'!$A$2:$E$70,5,FALSE)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54"/>
        <v>6</v>
      </c>
      <c r="C887" s="5">
        <f t="shared" si="155"/>
        <v>2022</v>
      </c>
      <c r="D887" s="5" t="s">
        <v>846</v>
      </c>
      <c r="E887" s="5" t="str">
        <f>VLOOKUP(F887,'Set up'!$A$2:$C$70,2,FALSE)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up'!$A$2:$C$70,3,FALSE)</f>
        <v>Cash</v>
      </c>
      <c r="J887" s="5">
        <f>VLOOKUP(F887,'Set up'!$A$2:$D$70,4,FALSE)</f>
        <v>0</v>
      </c>
      <c r="K887" s="4">
        <f t="shared" si="156"/>
        <v>44740</v>
      </c>
      <c r="L887" s="5">
        <f t="shared" si="157"/>
        <v>6</v>
      </c>
      <c r="M887" s="5">
        <f t="shared" si="158"/>
        <v>2022</v>
      </c>
      <c r="N887" s="6">
        <v>4136</v>
      </c>
      <c r="O887" s="6">
        <f>-N887</f>
        <v>-4136</v>
      </c>
      <c r="P887" s="6">
        <f t="shared" si="163"/>
        <v>0</v>
      </c>
      <c r="Q887" s="7">
        <f t="shared" si="159"/>
        <v>1584672.6500000004</v>
      </c>
      <c r="R887" s="44" t="str">
        <f>VLOOKUP(F887,'Set up'!$A$2:$E$70,5,FALSE)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54"/>
        <v>6</v>
      </c>
      <c r="C888" s="5">
        <f t="shared" si="155"/>
        <v>2022</v>
      </c>
      <c r="D888" s="5" t="s">
        <v>846</v>
      </c>
      <c r="E888" s="5" t="str">
        <f>VLOOKUP(F888,'Set up'!$A$2:$C$70,2,FALSE)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up'!$A$2:$C$70,3,FALSE)</f>
        <v>Cash</v>
      </c>
      <c r="J888" s="5">
        <f>VLOOKUP(F888,'Set up'!$A$2:$D$70,4,FALSE)</f>
        <v>0</v>
      </c>
      <c r="K888" s="4">
        <f t="shared" si="156"/>
        <v>44740</v>
      </c>
      <c r="L888" s="5">
        <f t="shared" si="157"/>
        <v>6</v>
      </c>
      <c r="M888" s="5">
        <f t="shared" si="158"/>
        <v>2022</v>
      </c>
      <c r="N888" s="6">
        <v>1047.5999999999999</v>
      </c>
      <c r="O888" s="6">
        <f>-N888</f>
        <v>-1047.5999999999999</v>
      </c>
      <c r="P888" s="6">
        <f t="shared" si="163"/>
        <v>0</v>
      </c>
      <c r="Q888" s="7">
        <f t="shared" si="159"/>
        <v>1585720.2500000005</v>
      </c>
      <c r="R888" s="44" t="str">
        <f>VLOOKUP(F888,'Set up'!$A$2:$E$70,5,FALSE)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54"/>
        <v>6</v>
      </c>
      <c r="C889" s="5">
        <f t="shared" si="155"/>
        <v>2022</v>
      </c>
      <c r="D889" s="5" t="s">
        <v>846</v>
      </c>
      <c r="E889" s="5" t="str">
        <f>VLOOKUP(F889,'Set up'!$A$2:$C$70,2,FALSE)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up'!$A$2:$C$70,3,FALSE)</f>
        <v>Cash</v>
      </c>
      <c r="J889" s="5">
        <f>VLOOKUP(F889,'Set up'!$A$2:$D$70,4,FALSE)</f>
        <v>0</v>
      </c>
      <c r="K889" s="4">
        <f t="shared" si="156"/>
        <v>44740</v>
      </c>
      <c r="L889" s="5">
        <f t="shared" si="157"/>
        <v>6</v>
      </c>
      <c r="M889" s="5">
        <f t="shared" si="158"/>
        <v>2022</v>
      </c>
      <c r="N889" s="6">
        <v>210</v>
      </c>
      <c r="O889" s="6">
        <f>-N889</f>
        <v>-210</v>
      </c>
      <c r="P889" s="6">
        <f t="shared" si="163"/>
        <v>0</v>
      </c>
      <c r="Q889" s="7">
        <f t="shared" si="159"/>
        <v>1585930.2500000005</v>
      </c>
      <c r="R889" s="44" t="str">
        <f>VLOOKUP(F889,'Set up'!$A$2:$E$70,5,FALSE)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54"/>
        <v>6</v>
      </c>
      <c r="C890" s="5">
        <f t="shared" si="155"/>
        <v>2022</v>
      </c>
      <c r="D890" s="5" t="s">
        <v>846</v>
      </c>
      <c r="E890" s="5" t="str">
        <f>VLOOKUP(F890,'Set up'!$A$2:$C$70,2,FALSE)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up'!$A$2:$C$70,3,FALSE)</f>
        <v>Cash</v>
      </c>
      <c r="J890" s="5">
        <f>VLOOKUP(F890,'Set up'!$A$2:$D$70,4,FALSE)</f>
        <v>0</v>
      </c>
      <c r="K890" s="4">
        <f t="shared" si="156"/>
        <v>44740</v>
      </c>
      <c r="L890" s="5">
        <f t="shared" si="157"/>
        <v>6</v>
      </c>
      <c r="M890" s="5">
        <f t="shared" si="158"/>
        <v>2022</v>
      </c>
      <c r="N890" s="6">
        <v>390</v>
      </c>
      <c r="O890" s="6">
        <f>-N890</f>
        <v>-390</v>
      </c>
      <c r="P890" s="6">
        <f t="shared" si="163"/>
        <v>0</v>
      </c>
      <c r="Q890" s="7">
        <f t="shared" si="159"/>
        <v>1586320.2500000005</v>
      </c>
      <c r="R890" s="44" t="str">
        <f>VLOOKUP(F890,'Set up'!$A$2:$E$70,5,FALSE)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54"/>
        <v>6</v>
      </c>
      <c r="C891" s="5">
        <f t="shared" si="155"/>
        <v>2022</v>
      </c>
      <c r="D891" s="5" t="s">
        <v>846</v>
      </c>
      <c r="E891" s="5" t="str">
        <f>VLOOKUP(F891,'Set up'!$A$2:$C$70,2,FALSE)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up'!$A$2:$C$70,3,FALSE)</f>
        <v>Cash</v>
      </c>
      <c r="J891" s="5">
        <f>VLOOKUP(F891,'Set up'!$A$2:$D$70,4,FALSE)</f>
        <v>0</v>
      </c>
      <c r="K891" s="4">
        <f t="shared" si="156"/>
        <v>44740</v>
      </c>
      <c r="L891" s="5">
        <f t="shared" si="157"/>
        <v>6</v>
      </c>
      <c r="M891" s="5">
        <f t="shared" si="158"/>
        <v>2022</v>
      </c>
      <c r="N891" s="6">
        <v>440</v>
      </c>
      <c r="O891" s="6">
        <f>-N891</f>
        <v>-440</v>
      </c>
      <c r="P891" s="6">
        <f t="shared" si="163"/>
        <v>0</v>
      </c>
      <c r="Q891" s="7">
        <f t="shared" si="159"/>
        <v>1586760.2500000005</v>
      </c>
      <c r="R891" s="44" t="str">
        <f>VLOOKUP(F891,'Set up'!$A$2:$E$70,5,FALSE)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54"/>
        <v>6</v>
      </c>
      <c r="C892" s="5">
        <f t="shared" si="155"/>
        <v>2022</v>
      </c>
      <c r="D892" s="5" t="s">
        <v>847</v>
      </c>
      <c r="E892" s="5" t="str">
        <f>VLOOKUP(F892,'Set up'!$A$2:$C$70,2,FALSE)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up'!$A$2:$C$70,3,FALSE)</f>
        <v>120</v>
      </c>
      <c r="J892" s="5">
        <f>VLOOKUP(F892,'Set up'!$A$2:$D$70,4,FALSE)</f>
        <v>120</v>
      </c>
      <c r="K892" s="4">
        <f t="shared" si="156"/>
        <v>44861</v>
      </c>
      <c r="L892" s="5">
        <f t="shared" si="157"/>
        <v>10</v>
      </c>
      <c r="M892" s="5">
        <f t="shared" si="158"/>
        <v>2022</v>
      </c>
      <c r="N892" s="6">
        <v>13860</v>
      </c>
      <c r="O892" s="6">
        <f t="shared" ref="O892:O897" si="167">-N892</f>
        <v>-13860</v>
      </c>
      <c r="P892" s="6">
        <f t="shared" si="163"/>
        <v>0</v>
      </c>
      <c r="Q892" s="7">
        <f t="shared" si="159"/>
        <v>1600620.2500000005</v>
      </c>
      <c r="R892" s="44" t="str">
        <f>VLOOKUP(F892,'Set up'!$A$2:$E$70,5,FALSE)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54"/>
        <v>6</v>
      </c>
      <c r="C893" s="5">
        <f t="shared" si="155"/>
        <v>2022</v>
      </c>
      <c r="D893" s="5" t="s">
        <v>847</v>
      </c>
      <c r="E893" s="5" t="str">
        <f>VLOOKUP(F893,'Set up'!$A$2:$C$70,2,FALSE)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up'!$A$2:$C$70,3,FALSE)</f>
        <v>120</v>
      </c>
      <c r="J893" s="5">
        <f>VLOOKUP(F893,'Set up'!$A$2:$D$70,4,FALSE)</f>
        <v>120</v>
      </c>
      <c r="K893" s="4">
        <f t="shared" si="156"/>
        <v>44861</v>
      </c>
      <c r="L893" s="5">
        <f t="shared" si="157"/>
        <v>10</v>
      </c>
      <c r="M893" s="5">
        <f t="shared" si="158"/>
        <v>2022</v>
      </c>
      <c r="N893" s="6">
        <v>2850</v>
      </c>
      <c r="O893" s="6">
        <f t="shared" si="167"/>
        <v>-2850</v>
      </c>
      <c r="P893" s="6">
        <f t="shared" si="163"/>
        <v>0</v>
      </c>
      <c r="Q893" s="7">
        <f t="shared" si="159"/>
        <v>1603470.2500000005</v>
      </c>
      <c r="R893" s="44" t="str">
        <f>VLOOKUP(F893,'Set up'!$A$2:$E$70,5,FALSE)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54"/>
        <v>6</v>
      </c>
      <c r="C894" s="5">
        <f t="shared" si="155"/>
        <v>2022</v>
      </c>
      <c r="D894" s="5" t="s">
        <v>847</v>
      </c>
      <c r="E894" s="5" t="str">
        <f>VLOOKUP(F894,'Set up'!$A$2:$C$70,2,FALSE)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up'!$A$2:$C$70,3,FALSE)</f>
        <v>120</v>
      </c>
      <c r="J894" s="5">
        <f>VLOOKUP(F894,'Set up'!$A$2:$D$70,4,FALSE)</f>
        <v>120</v>
      </c>
      <c r="K894" s="4">
        <f t="shared" si="156"/>
        <v>44861</v>
      </c>
      <c r="L894" s="5">
        <f t="shared" si="157"/>
        <v>10</v>
      </c>
      <c r="M894" s="5">
        <f t="shared" si="158"/>
        <v>2022</v>
      </c>
      <c r="N894" s="6">
        <v>550</v>
      </c>
      <c r="O894" s="6">
        <f t="shared" si="167"/>
        <v>-550</v>
      </c>
      <c r="P894" s="6">
        <f t="shared" si="163"/>
        <v>0</v>
      </c>
      <c r="Q894" s="7">
        <f t="shared" si="159"/>
        <v>1604020.2500000005</v>
      </c>
      <c r="R894" s="44" t="str">
        <f>VLOOKUP(F894,'Set up'!$A$2:$E$70,5,FALSE)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54"/>
        <v>6</v>
      </c>
      <c r="C895" s="5">
        <f t="shared" si="155"/>
        <v>2022</v>
      </c>
      <c r="D895" s="5" t="s">
        <v>847</v>
      </c>
      <c r="E895" s="5" t="str">
        <f>VLOOKUP(F895,'Set up'!$A$2:$C$70,2,FALSE)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up'!$A$2:$C$70,3,FALSE)</f>
        <v>120</v>
      </c>
      <c r="J895" s="5">
        <f>VLOOKUP(F895,'Set up'!$A$2:$D$70,4,FALSE)</f>
        <v>120</v>
      </c>
      <c r="K895" s="4">
        <f t="shared" si="156"/>
        <v>44861</v>
      </c>
      <c r="L895" s="5">
        <f t="shared" si="157"/>
        <v>10</v>
      </c>
      <c r="M895" s="5">
        <f t="shared" si="158"/>
        <v>2022</v>
      </c>
      <c r="N895" s="6">
        <v>420</v>
      </c>
      <c r="O895" s="6">
        <f t="shared" si="167"/>
        <v>-420</v>
      </c>
      <c r="P895" s="6">
        <f t="shared" si="163"/>
        <v>0</v>
      </c>
      <c r="Q895" s="7">
        <f t="shared" si="159"/>
        <v>1604440.2500000005</v>
      </c>
      <c r="R895" s="44" t="str">
        <f>VLOOKUP(F895,'Set up'!$A$2:$E$70,5,FALSE)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54"/>
        <v>6</v>
      </c>
      <c r="C896" s="5">
        <f t="shared" si="155"/>
        <v>2022</v>
      </c>
      <c r="D896" s="5" t="s">
        <v>847</v>
      </c>
      <c r="E896" s="5" t="str">
        <f>VLOOKUP(F896,'Set up'!$A$2:$C$70,2,FALSE)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up'!$A$2:$C$70,3,FALSE)</f>
        <v>120</v>
      </c>
      <c r="J896" s="5">
        <f>VLOOKUP(F896,'Set up'!$A$2:$D$70,4,FALSE)</f>
        <v>120</v>
      </c>
      <c r="K896" s="4">
        <f t="shared" si="156"/>
        <v>44861</v>
      </c>
      <c r="L896" s="5">
        <f t="shared" si="157"/>
        <v>10</v>
      </c>
      <c r="M896" s="5">
        <f t="shared" si="158"/>
        <v>2022</v>
      </c>
      <c r="N896" s="6">
        <v>395</v>
      </c>
      <c r="O896" s="6">
        <f t="shared" si="167"/>
        <v>-395</v>
      </c>
      <c r="P896" s="6">
        <f t="shared" si="163"/>
        <v>0</v>
      </c>
      <c r="Q896" s="7">
        <f t="shared" si="159"/>
        <v>1604835.2500000005</v>
      </c>
      <c r="R896" s="44" t="str">
        <f>VLOOKUP(F896,'Set up'!$A$2:$E$70,5,FALSE)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54"/>
        <v>6</v>
      </c>
      <c r="C897" s="5">
        <f t="shared" si="155"/>
        <v>2022</v>
      </c>
      <c r="D897" s="5" t="s">
        <v>847</v>
      </c>
      <c r="E897" s="5" t="str">
        <f>VLOOKUP(F897,'Set up'!$A$2:$C$70,2,FALSE)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up'!$A$2:$C$70,3,FALSE)</f>
        <v>120</v>
      </c>
      <c r="J897" s="5">
        <f>VLOOKUP(F897,'Set up'!$A$2:$D$70,4,FALSE)</f>
        <v>120</v>
      </c>
      <c r="K897" s="4">
        <f t="shared" si="156"/>
        <v>44861</v>
      </c>
      <c r="L897" s="5">
        <f t="shared" si="157"/>
        <v>10</v>
      </c>
      <c r="M897" s="5">
        <f t="shared" si="158"/>
        <v>2022</v>
      </c>
      <c r="N897" s="6">
        <v>440</v>
      </c>
      <c r="O897" s="6">
        <f t="shared" si="167"/>
        <v>-440</v>
      </c>
      <c r="P897" s="6">
        <f t="shared" si="163"/>
        <v>0</v>
      </c>
      <c r="Q897" s="7">
        <f t="shared" si="159"/>
        <v>1605275.2500000005</v>
      </c>
      <c r="R897" s="44" t="str">
        <f>VLOOKUP(F897,'Set up'!$A$2:$E$70,5,FALSE)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54"/>
        <v>7</v>
      </c>
      <c r="C898" s="5">
        <f t="shared" si="155"/>
        <v>2022</v>
      </c>
      <c r="D898" s="5" t="s">
        <v>856</v>
      </c>
      <c r="E898" s="5" t="str">
        <f>VLOOKUP(F898,'Set up'!$A$2:$C$70,2,FALSE)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up'!$A$2:$C$70,3,FALSE)</f>
        <v>60</v>
      </c>
      <c r="J898" s="5">
        <f>VLOOKUP(F898,'Set up'!$A$2:$D$70,4,FALSE)</f>
        <v>60</v>
      </c>
      <c r="K898" s="4">
        <f t="shared" si="156"/>
        <v>44803</v>
      </c>
      <c r="L898" s="5">
        <f t="shared" si="157"/>
        <v>8</v>
      </c>
      <c r="M898" s="5">
        <f t="shared" si="158"/>
        <v>2022</v>
      </c>
      <c r="N898" s="6">
        <v>1539</v>
      </c>
      <c r="O898" s="6">
        <f>-N898</f>
        <v>-1539</v>
      </c>
      <c r="P898" s="6">
        <f t="shared" si="163"/>
        <v>0</v>
      </c>
      <c r="Q898" s="7">
        <f t="shared" si="159"/>
        <v>1606814.2500000005</v>
      </c>
      <c r="R898" s="44" t="str">
        <f>VLOOKUP(F898,'Set up'!$A$2:$E$70,5,FALSE)</f>
        <v>Chq</v>
      </c>
      <c r="S898" s="1" t="s">
        <v>1086</v>
      </c>
    </row>
    <row r="899" spans="1:19" x14ac:dyDescent="0.35">
      <c r="A899" s="4">
        <v>44754</v>
      </c>
      <c r="B899" s="5">
        <f t="shared" ref="B899:B962" si="168">MONTH(A899)</f>
        <v>7</v>
      </c>
      <c r="C899" s="5">
        <f t="shared" ref="C899:C962" si="169">YEAR(A899)</f>
        <v>2022</v>
      </c>
      <c r="D899" s="5" t="s">
        <v>857</v>
      </c>
      <c r="E899" s="5" t="str">
        <f>VLOOKUP(F899,'Set up'!$A$2:$C$70,2,FALSE)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up'!$A$2:$C$70,3,FALSE)</f>
        <v>Cash</v>
      </c>
      <c r="J899" s="5">
        <f>VLOOKUP(F899,'Set up'!$A$2:$D$70,4,FALSE)</f>
        <v>0</v>
      </c>
      <c r="K899" s="4">
        <f t="shared" ref="K899:K962" si="170">A899+J899</f>
        <v>44754</v>
      </c>
      <c r="L899" s="5">
        <f t="shared" ref="L899:L962" si="171">MONTH(K899)</f>
        <v>7</v>
      </c>
      <c r="M899" s="5">
        <f t="shared" ref="M899:M962" si="172">YEAR(K899)</f>
        <v>2022</v>
      </c>
      <c r="N899" s="6">
        <v>4136</v>
      </c>
      <c r="O899" s="6">
        <f>-N899</f>
        <v>-4136</v>
      </c>
      <c r="P899" s="6">
        <f t="shared" si="163"/>
        <v>0</v>
      </c>
      <c r="Q899" s="7">
        <f t="shared" ref="Q899:Q962" si="173">SUM(Q898+N899)</f>
        <v>1610950.2500000005</v>
      </c>
      <c r="R899" s="44" t="str">
        <f>VLOOKUP(F899,'Set up'!$A$2:$E$70,5,FALSE)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68"/>
        <v>7</v>
      </c>
      <c r="C900" s="5">
        <f t="shared" si="169"/>
        <v>2022</v>
      </c>
      <c r="D900" s="5" t="s">
        <v>857</v>
      </c>
      <c r="E900" s="5" t="str">
        <f>VLOOKUP(F900,'Set up'!$A$2:$C$70,2,FALSE)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up'!$A$2:$C$70,3,FALSE)</f>
        <v>Cash</v>
      </c>
      <c r="J900" s="5">
        <f>VLOOKUP(F900,'Set up'!$A$2:$D$70,4,FALSE)</f>
        <v>0</v>
      </c>
      <c r="K900" s="4">
        <f t="shared" si="170"/>
        <v>44754</v>
      </c>
      <c r="L900" s="5">
        <f t="shared" si="171"/>
        <v>7</v>
      </c>
      <c r="M900" s="5">
        <f t="shared" si="172"/>
        <v>2022</v>
      </c>
      <c r="N900" s="6">
        <v>1047.5999999999999</v>
      </c>
      <c r="O900" s="6">
        <f>-N900</f>
        <v>-1047.5999999999999</v>
      </c>
      <c r="P900" s="6">
        <f t="shared" si="163"/>
        <v>0</v>
      </c>
      <c r="Q900" s="7">
        <f t="shared" si="173"/>
        <v>1611997.8500000006</v>
      </c>
      <c r="R900" s="44" t="str">
        <f>VLOOKUP(F900,'Set up'!$A$2:$E$70,5,FALSE)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68"/>
        <v>7</v>
      </c>
      <c r="C901" s="5">
        <f t="shared" si="169"/>
        <v>2022</v>
      </c>
      <c r="D901" s="5" t="s">
        <v>858</v>
      </c>
      <c r="E901" s="5" t="str">
        <f>VLOOKUP(F901,'Set up'!$A$2:$C$70,2,FALSE)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up'!$A$2:$C$70,3,FALSE)</f>
        <v>Cash</v>
      </c>
      <c r="J901" s="5">
        <f>VLOOKUP(F901,'Set up'!$A$2:$D$70,4,FALSE)</f>
        <v>0</v>
      </c>
      <c r="K901" s="4">
        <f t="shared" si="170"/>
        <v>44756</v>
      </c>
      <c r="L901" s="5">
        <f t="shared" si="171"/>
        <v>7</v>
      </c>
      <c r="M901" s="5">
        <f t="shared" si="172"/>
        <v>2022</v>
      </c>
      <c r="N901" s="6">
        <v>8272</v>
      </c>
      <c r="O901" s="6">
        <f t="shared" ref="O901:O904" si="174">-N901</f>
        <v>-8272</v>
      </c>
      <c r="P901" s="6">
        <f t="shared" si="163"/>
        <v>0</v>
      </c>
      <c r="Q901" s="7">
        <f t="shared" si="173"/>
        <v>1620269.8500000006</v>
      </c>
      <c r="R901" s="44" t="str">
        <f>VLOOKUP(F901,'Set up'!$A$2:$E$70,5,FALSE)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68"/>
        <v>7</v>
      </c>
      <c r="C902" s="5">
        <f t="shared" si="169"/>
        <v>2022</v>
      </c>
      <c r="D902" s="5" t="s">
        <v>858</v>
      </c>
      <c r="E902" s="5" t="str">
        <f>VLOOKUP(F902,'Set up'!$A$2:$C$70,2,FALSE)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up'!$A$2:$C$70,3,FALSE)</f>
        <v>Cash</v>
      </c>
      <c r="J902" s="5">
        <f>VLOOKUP(F902,'Set up'!$A$2:$D$70,4,FALSE)</f>
        <v>0</v>
      </c>
      <c r="K902" s="4">
        <f t="shared" si="170"/>
        <v>44756</v>
      </c>
      <c r="L902" s="5">
        <f t="shared" si="171"/>
        <v>7</v>
      </c>
      <c r="M902" s="5">
        <f t="shared" si="172"/>
        <v>2022</v>
      </c>
      <c r="N902" s="6">
        <v>2646</v>
      </c>
      <c r="O902" s="6">
        <f t="shared" si="174"/>
        <v>-2646</v>
      </c>
      <c r="P902" s="6">
        <f t="shared" si="163"/>
        <v>0</v>
      </c>
      <c r="Q902" s="7">
        <f t="shared" si="173"/>
        <v>1622915.8500000006</v>
      </c>
      <c r="R902" s="44" t="str">
        <f>VLOOKUP(F902,'Set up'!$A$2:$E$70,5,FALSE)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68"/>
        <v>7</v>
      </c>
      <c r="C903" s="5">
        <f t="shared" si="169"/>
        <v>2022</v>
      </c>
      <c r="D903" s="5" t="s">
        <v>858</v>
      </c>
      <c r="E903" s="5" t="str">
        <f>VLOOKUP(F903,'Set up'!$A$2:$C$70,2,FALSE)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up'!$A$2:$C$70,3,FALSE)</f>
        <v>Cash</v>
      </c>
      <c r="J903" s="5">
        <f>VLOOKUP(F903,'Set up'!$A$2:$D$70,4,FALSE)</f>
        <v>0</v>
      </c>
      <c r="K903" s="4">
        <f t="shared" si="170"/>
        <v>44756</v>
      </c>
      <c r="L903" s="5">
        <f t="shared" si="171"/>
        <v>7</v>
      </c>
      <c r="M903" s="5">
        <f t="shared" si="172"/>
        <v>2022</v>
      </c>
      <c r="N903" s="6">
        <v>1687.5</v>
      </c>
      <c r="O903" s="6">
        <f t="shared" si="174"/>
        <v>-1687.5</v>
      </c>
      <c r="P903" s="6">
        <f t="shared" si="163"/>
        <v>0</v>
      </c>
      <c r="Q903" s="7">
        <f t="shared" si="173"/>
        <v>1624603.3500000006</v>
      </c>
      <c r="R903" s="44" t="str">
        <f>VLOOKUP(F903,'Set up'!$A$2:$E$70,5,FALSE)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68"/>
        <v>7</v>
      </c>
      <c r="C904" s="5">
        <f t="shared" si="169"/>
        <v>2022</v>
      </c>
      <c r="D904" s="5" t="s">
        <v>858</v>
      </c>
      <c r="E904" s="5" t="str">
        <f>VLOOKUP(F904,'Set up'!$A$2:$C$70,2,FALSE)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up'!$A$2:$C$70,3,FALSE)</f>
        <v>Cash</v>
      </c>
      <c r="J904" s="5">
        <f>VLOOKUP(F904,'Set up'!$A$2:$D$70,4,FALSE)</f>
        <v>0</v>
      </c>
      <c r="K904" s="4">
        <f t="shared" si="170"/>
        <v>44756</v>
      </c>
      <c r="L904" s="5">
        <f t="shared" si="171"/>
        <v>7</v>
      </c>
      <c r="M904" s="5">
        <f t="shared" si="172"/>
        <v>2022</v>
      </c>
      <c r="N904" s="6">
        <v>250</v>
      </c>
      <c r="O904" s="6">
        <f t="shared" si="174"/>
        <v>-250</v>
      </c>
      <c r="P904" s="6">
        <f t="shared" si="163"/>
        <v>0</v>
      </c>
      <c r="Q904" s="7">
        <f t="shared" si="173"/>
        <v>1624853.3500000006</v>
      </c>
      <c r="R904" s="44" t="str">
        <f>VLOOKUP(F904,'Set up'!$A$2:$E$70,5,FALSE)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68"/>
        <v>7</v>
      </c>
      <c r="C905" s="5">
        <f t="shared" si="169"/>
        <v>2022</v>
      </c>
      <c r="D905" s="5" t="s">
        <v>861</v>
      </c>
      <c r="E905" s="5" t="str">
        <f>VLOOKUP(F905,'Set up'!$A$2:$C$70,2,FALSE)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up'!$A$2:$C$70,3,FALSE)</f>
        <v>Cash</v>
      </c>
      <c r="J905" s="5">
        <f>VLOOKUP(F905,'Set up'!$A$2:$D$70,4,FALSE)</f>
        <v>0</v>
      </c>
      <c r="K905" s="4">
        <f t="shared" si="170"/>
        <v>44756</v>
      </c>
      <c r="L905" s="5">
        <f t="shared" si="171"/>
        <v>7</v>
      </c>
      <c r="M905" s="5">
        <f t="shared" si="172"/>
        <v>2022</v>
      </c>
      <c r="N905" s="6">
        <v>4004</v>
      </c>
      <c r="O905" s="6">
        <f t="shared" ref="O905:O924" si="175">-N905</f>
        <v>-4004</v>
      </c>
      <c r="P905" s="6">
        <f t="shared" si="163"/>
        <v>0</v>
      </c>
      <c r="Q905" s="7">
        <f t="shared" si="173"/>
        <v>1628857.3500000006</v>
      </c>
      <c r="R905" s="44" t="str">
        <f>VLOOKUP(F905,'Set up'!$A$2:$E$70,5,FALSE)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68"/>
        <v>7</v>
      </c>
      <c r="C906" s="5">
        <f t="shared" si="169"/>
        <v>2022</v>
      </c>
      <c r="D906" s="5" t="s">
        <v>861</v>
      </c>
      <c r="E906" s="5" t="str">
        <f>VLOOKUP(F906,'Set up'!$A$2:$C$70,2,FALSE)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up'!$A$2:$C$70,3,FALSE)</f>
        <v>Cash</v>
      </c>
      <c r="J906" s="5">
        <f>VLOOKUP(F906,'Set up'!$A$2:$D$70,4,FALSE)</f>
        <v>0</v>
      </c>
      <c r="K906" s="4">
        <f t="shared" si="170"/>
        <v>44756</v>
      </c>
      <c r="L906" s="5">
        <f t="shared" si="171"/>
        <v>7</v>
      </c>
      <c r="M906" s="5">
        <f t="shared" si="172"/>
        <v>2022</v>
      </c>
      <c r="N906" s="6">
        <v>1015.2</v>
      </c>
      <c r="O906" s="6">
        <f t="shared" si="175"/>
        <v>-1015.2</v>
      </c>
      <c r="P906" s="6">
        <f t="shared" si="163"/>
        <v>0</v>
      </c>
      <c r="Q906" s="7">
        <f t="shared" si="173"/>
        <v>1629872.5500000005</v>
      </c>
      <c r="R906" s="44" t="str">
        <f>VLOOKUP(F906,'Set up'!$A$2:$E$70,5,FALSE)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68"/>
        <v>7</v>
      </c>
      <c r="C907" s="5">
        <f t="shared" si="169"/>
        <v>2022</v>
      </c>
      <c r="D907" s="5" t="s">
        <v>861</v>
      </c>
      <c r="E907" s="5" t="str">
        <f>VLOOKUP(F907,'Set up'!$A$2:$C$70,2,FALSE)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up'!$A$2:$C$70,3,FALSE)</f>
        <v>Cash</v>
      </c>
      <c r="J907" s="5">
        <f>VLOOKUP(F907,'Set up'!$A$2:$D$70,4,FALSE)</f>
        <v>0</v>
      </c>
      <c r="K907" s="4">
        <f t="shared" si="170"/>
        <v>44756</v>
      </c>
      <c r="L907" s="5">
        <f t="shared" si="171"/>
        <v>7</v>
      </c>
      <c r="M907" s="5">
        <f t="shared" si="172"/>
        <v>2022</v>
      </c>
      <c r="N907" s="6">
        <v>945</v>
      </c>
      <c r="O907" s="6">
        <f t="shared" si="175"/>
        <v>-945</v>
      </c>
      <c r="P907" s="6">
        <f t="shared" si="163"/>
        <v>0</v>
      </c>
      <c r="Q907" s="7">
        <f t="shared" si="173"/>
        <v>1630817.5500000005</v>
      </c>
      <c r="R907" s="44" t="str">
        <f>VLOOKUP(F907,'Set up'!$A$2:$E$70,5,FALSE)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68"/>
        <v>7</v>
      </c>
      <c r="C908" s="5">
        <f t="shared" si="169"/>
        <v>2022</v>
      </c>
      <c r="D908" s="5" t="s">
        <v>861</v>
      </c>
      <c r="E908" s="5" t="str">
        <f>VLOOKUP(F908,'Set up'!$A$2:$C$70,2,FALSE)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up'!$A$2:$C$70,3,FALSE)</f>
        <v>Cash</v>
      </c>
      <c r="J908" s="5">
        <f>VLOOKUP(F908,'Set up'!$A$2:$D$70,4,FALSE)</f>
        <v>0</v>
      </c>
      <c r="K908" s="4">
        <f t="shared" si="170"/>
        <v>44756</v>
      </c>
      <c r="L908" s="5">
        <f t="shared" si="171"/>
        <v>7</v>
      </c>
      <c r="M908" s="5">
        <f t="shared" si="172"/>
        <v>2022</v>
      </c>
      <c r="N908" s="6">
        <v>320</v>
      </c>
      <c r="O908" s="6">
        <f t="shared" si="175"/>
        <v>-320</v>
      </c>
      <c r="P908" s="6">
        <f t="shared" si="163"/>
        <v>0</v>
      </c>
      <c r="Q908" s="7">
        <f t="shared" si="173"/>
        <v>1631137.5500000005</v>
      </c>
      <c r="R908" s="44" t="str">
        <f>VLOOKUP(F908,'Set up'!$A$2:$E$70,5,FALSE)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68"/>
        <v>7</v>
      </c>
      <c r="C909" s="5">
        <f t="shared" si="169"/>
        <v>2022</v>
      </c>
      <c r="D909" s="5" t="s">
        <v>861</v>
      </c>
      <c r="E909" s="5" t="str">
        <f>VLOOKUP(F909,'Set up'!$A$2:$C$70,2,FALSE)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up'!$A$2:$C$70,3,FALSE)</f>
        <v>Cash</v>
      </c>
      <c r="J909" s="5">
        <f>VLOOKUP(F909,'Set up'!$A$2:$D$70,4,FALSE)</f>
        <v>0</v>
      </c>
      <c r="K909" s="4">
        <f t="shared" si="170"/>
        <v>44756</v>
      </c>
      <c r="L909" s="5">
        <f t="shared" si="171"/>
        <v>7</v>
      </c>
      <c r="M909" s="5">
        <f t="shared" si="172"/>
        <v>2022</v>
      </c>
      <c r="N909" s="6">
        <v>90</v>
      </c>
      <c r="O909" s="6">
        <f t="shared" si="175"/>
        <v>-90</v>
      </c>
      <c r="P909" s="6">
        <f t="shared" si="163"/>
        <v>0</v>
      </c>
      <c r="Q909" s="7">
        <f t="shared" si="173"/>
        <v>1631227.5500000005</v>
      </c>
      <c r="R909" s="44" t="str">
        <f>VLOOKUP(F909,'Set up'!$A$2:$E$70,5,FALSE)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68"/>
        <v>7</v>
      </c>
      <c r="C910" s="5">
        <f t="shared" si="169"/>
        <v>2022</v>
      </c>
      <c r="D910" s="5" t="s">
        <v>861</v>
      </c>
      <c r="E910" s="5" t="str">
        <f>VLOOKUP(F910,'Set up'!$A$2:$C$70,2,FALSE)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up'!$A$2:$C$70,3,FALSE)</f>
        <v>Cash</v>
      </c>
      <c r="J910" s="5">
        <f>VLOOKUP(F910,'Set up'!$A$2:$D$70,4,FALSE)</f>
        <v>0</v>
      </c>
      <c r="K910" s="4">
        <f t="shared" si="170"/>
        <v>44756</v>
      </c>
      <c r="L910" s="5">
        <f t="shared" si="171"/>
        <v>7</v>
      </c>
      <c r="M910" s="5">
        <f t="shared" si="172"/>
        <v>2022</v>
      </c>
      <c r="N910" s="6">
        <v>500</v>
      </c>
      <c r="O910" s="6">
        <f t="shared" si="175"/>
        <v>-500</v>
      </c>
      <c r="P910" s="6">
        <f t="shared" si="163"/>
        <v>0</v>
      </c>
      <c r="Q910" s="7">
        <f t="shared" si="173"/>
        <v>1631727.5500000005</v>
      </c>
      <c r="R910" s="44" t="str">
        <f>VLOOKUP(F910,'Set up'!$A$2:$E$70,5,FALSE)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68"/>
        <v>7</v>
      </c>
      <c r="C911" s="5">
        <f t="shared" si="169"/>
        <v>2022</v>
      </c>
      <c r="D911" s="5" t="s">
        <v>861</v>
      </c>
      <c r="E911" s="5" t="str">
        <f>VLOOKUP(F911,'Set up'!$A$2:$C$70,2,FALSE)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up'!$A$2:$C$70,3,FALSE)</f>
        <v>Cash</v>
      </c>
      <c r="J911" s="5">
        <f>VLOOKUP(F911,'Set up'!$A$2:$D$70,4,FALSE)</f>
        <v>0</v>
      </c>
      <c r="K911" s="4">
        <f t="shared" si="170"/>
        <v>44756</v>
      </c>
      <c r="L911" s="5">
        <f t="shared" si="171"/>
        <v>7</v>
      </c>
      <c r="M911" s="5">
        <f t="shared" si="172"/>
        <v>2022</v>
      </c>
      <c r="N911" s="6">
        <v>170</v>
      </c>
      <c r="O911" s="6">
        <f t="shared" si="175"/>
        <v>-170</v>
      </c>
      <c r="P911" s="6">
        <f t="shared" si="163"/>
        <v>0</v>
      </c>
      <c r="Q911" s="7">
        <f t="shared" si="173"/>
        <v>1631897.5500000005</v>
      </c>
      <c r="R911" s="44" t="str">
        <f>VLOOKUP(F911,'Set up'!$A$2:$E$70,5,FALSE)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68"/>
        <v>7</v>
      </c>
      <c r="C912" s="5">
        <f t="shared" si="169"/>
        <v>2022</v>
      </c>
      <c r="D912" s="5" t="s">
        <v>861</v>
      </c>
      <c r="E912" s="5" t="str">
        <f>VLOOKUP(F912,'Set up'!$A$2:$C$70,2,FALSE)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up'!$A$2:$C$70,3,FALSE)</f>
        <v>Cash</v>
      </c>
      <c r="J912" s="5">
        <f>VLOOKUP(F912,'Set up'!$A$2:$D$70,4,FALSE)</f>
        <v>0</v>
      </c>
      <c r="K912" s="4">
        <f t="shared" si="170"/>
        <v>44756</v>
      </c>
      <c r="L912" s="5">
        <f t="shared" si="171"/>
        <v>7</v>
      </c>
      <c r="M912" s="5">
        <f t="shared" si="172"/>
        <v>2022</v>
      </c>
      <c r="N912" s="6">
        <v>1524</v>
      </c>
      <c r="O912" s="6">
        <f t="shared" si="175"/>
        <v>-1524</v>
      </c>
      <c r="P912" s="6">
        <f t="shared" si="163"/>
        <v>0</v>
      </c>
      <c r="Q912" s="7">
        <f t="shared" si="173"/>
        <v>1633421.5500000005</v>
      </c>
      <c r="R912" s="44" t="str">
        <f>VLOOKUP(F912,'Set up'!$A$2:$E$70,5,FALSE)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68"/>
        <v>7</v>
      </c>
      <c r="C913" s="5">
        <f t="shared" si="169"/>
        <v>2022</v>
      </c>
      <c r="D913" s="5" t="s">
        <v>866</v>
      </c>
      <c r="E913" s="5" t="str">
        <f>VLOOKUP(F913,'Set up'!$A$2:$C$70,2,FALSE)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up'!$A$2:$C$70,3,FALSE)</f>
        <v>Cash</v>
      </c>
      <c r="J913" s="5">
        <f>VLOOKUP(F913,'Set up'!$A$2:$D$70,4,FALSE)</f>
        <v>0</v>
      </c>
      <c r="K913" s="4">
        <f t="shared" si="170"/>
        <v>44760</v>
      </c>
      <c r="L913" s="5">
        <f t="shared" si="171"/>
        <v>7</v>
      </c>
      <c r="M913" s="5">
        <f t="shared" si="172"/>
        <v>2022</v>
      </c>
      <c r="N913" s="6">
        <v>4136</v>
      </c>
      <c r="O913" s="6">
        <f t="shared" si="175"/>
        <v>-4136</v>
      </c>
      <c r="P913" s="6">
        <f t="shared" si="163"/>
        <v>0</v>
      </c>
      <c r="Q913" s="7">
        <f t="shared" si="173"/>
        <v>1637557.5500000005</v>
      </c>
      <c r="R913" s="44" t="str">
        <f>VLOOKUP(F913,'Set up'!$A$2:$E$70,5,FALSE)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68"/>
        <v>7</v>
      </c>
      <c r="C914" s="5">
        <f t="shared" si="169"/>
        <v>2022</v>
      </c>
      <c r="D914" s="5" t="s">
        <v>866</v>
      </c>
      <c r="E914" s="5" t="str">
        <f>VLOOKUP(F914,'Set up'!$A$2:$C$70,2,FALSE)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up'!$A$2:$C$70,3,FALSE)</f>
        <v>Cash</v>
      </c>
      <c r="J914" s="5">
        <f>VLOOKUP(F914,'Set up'!$A$2:$D$70,4,FALSE)</f>
        <v>0</v>
      </c>
      <c r="K914" s="4">
        <f t="shared" si="170"/>
        <v>44760</v>
      </c>
      <c r="L914" s="5">
        <f t="shared" si="171"/>
        <v>7</v>
      </c>
      <c r="M914" s="5">
        <f t="shared" si="172"/>
        <v>2022</v>
      </c>
      <c r="N914" s="6">
        <v>2352</v>
      </c>
      <c r="O914" s="6">
        <f t="shared" si="175"/>
        <v>-2352</v>
      </c>
      <c r="P914" s="6">
        <f t="shared" si="163"/>
        <v>0</v>
      </c>
      <c r="Q914" s="7">
        <f t="shared" si="173"/>
        <v>1639909.5500000005</v>
      </c>
      <c r="R914" s="44" t="str">
        <f>VLOOKUP(F914,'Set up'!$A$2:$E$70,5,FALSE)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68"/>
        <v>7</v>
      </c>
      <c r="C915" s="5">
        <f t="shared" si="169"/>
        <v>2022</v>
      </c>
      <c r="D915" s="5" t="s">
        <v>866</v>
      </c>
      <c r="E915" s="5" t="str">
        <f>VLOOKUP(F915,'Set up'!$A$2:$C$70,2,FALSE)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up'!$A$2:$C$70,3,FALSE)</f>
        <v>Cash</v>
      </c>
      <c r="J915" s="5">
        <f>VLOOKUP(F915,'Set up'!$A$2:$D$70,4,FALSE)</f>
        <v>0</v>
      </c>
      <c r="K915" s="4">
        <f t="shared" si="170"/>
        <v>44760</v>
      </c>
      <c r="L915" s="5">
        <f t="shared" si="171"/>
        <v>7</v>
      </c>
      <c r="M915" s="5">
        <f t="shared" si="172"/>
        <v>2022</v>
      </c>
      <c r="N915" s="6">
        <v>1200</v>
      </c>
      <c r="O915" s="6">
        <f>-260.8-939.2</f>
        <v>-1200</v>
      </c>
      <c r="P915" s="6">
        <f t="shared" si="163"/>
        <v>0</v>
      </c>
      <c r="Q915" s="7">
        <f t="shared" si="173"/>
        <v>1641109.5500000005</v>
      </c>
      <c r="R915" s="44" t="str">
        <f>VLOOKUP(F915,'Set up'!$A$2:$E$70,5,FALSE)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68"/>
        <v>7</v>
      </c>
      <c r="C916" s="5">
        <f t="shared" si="169"/>
        <v>2022</v>
      </c>
      <c r="D916" s="5" t="s">
        <v>866</v>
      </c>
      <c r="E916" s="5" t="str">
        <f>VLOOKUP(F916,'Set up'!$A$2:$C$70,2,FALSE)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up'!$A$2:$C$70,3,FALSE)</f>
        <v>Cash</v>
      </c>
      <c r="J916" s="5">
        <f>VLOOKUP(F916,'Set up'!$A$2:$D$70,4,FALSE)</f>
        <v>0</v>
      </c>
      <c r="K916" s="4">
        <f t="shared" si="170"/>
        <v>44760</v>
      </c>
      <c r="L916" s="5">
        <f t="shared" si="171"/>
        <v>7</v>
      </c>
      <c r="M916" s="5">
        <f t="shared" si="172"/>
        <v>2022</v>
      </c>
      <c r="N916" s="6">
        <v>125</v>
      </c>
      <c r="O916" s="6">
        <f t="shared" si="175"/>
        <v>-125</v>
      </c>
      <c r="P916" s="6">
        <f t="shared" si="163"/>
        <v>0</v>
      </c>
      <c r="Q916" s="7">
        <f t="shared" si="173"/>
        <v>1641234.5500000005</v>
      </c>
      <c r="R916" s="44" t="str">
        <f>VLOOKUP(F916,'Set up'!$A$2:$E$70,5,FALSE)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68"/>
        <v>7</v>
      </c>
      <c r="C917" s="5">
        <f t="shared" si="169"/>
        <v>2022</v>
      </c>
      <c r="D917" s="5" t="s">
        <v>866</v>
      </c>
      <c r="E917" s="5" t="str">
        <f>VLOOKUP(F917,'Set up'!$A$2:$C$70,2,FALSE)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up'!$A$2:$C$70,3,FALSE)</f>
        <v>Cash</v>
      </c>
      <c r="J917" s="5">
        <f>VLOOKUP(F917,'Set up'!$A$2:$D$70,4,FALSE)</f>
        <v>0</v>
      </c>
      <c r="K917" s="4">
        <f t="shared" si="170"/>
        <v>44760</v>
      </c>
      <c r="L917" s="5">
        <f t="shared" si="171"/>
        <v>7</v>
      </c>
      <c r="M917" s="5">
        <f t="shared" si="172"/>
        <v>2022</v>
      </c>
      <c r="N917" s="6">
        <v>1000</v>
      </c>
      <c r="O917" s="6">
        <f t="shared" si="175"/>
        <v>-1000</v>
      </c>
      <c r="P917" s="6">
        <f t="shared" ref="P917:P969" si="176">SUM(N917+O917)</f>
        <v>0</v>
      </c>
      <c r="Q917" s="7">
        <f t="shared" si="173"/>
        <v>1642234.5500000005</v>
      </c>
      <c r="R917" s="44" t="str">
        <f>VLOOKUP(F917,'Set up'!$A$2:$E$70,5,FALSE)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68"/>
        <v>7</v>
      </c>
      <c r="C918" s="5">
        <f t="shared" si="169"/>
        <v>2022</v>
      </c>
      <c r="D918" s="5" t="s">
        <v>866</v>
      </c>
      <c r="E918" s="5" t="str">
        <f>VLOOKUP(F918,'Set up'!$A$2:$C$70,2,FALSE)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up'!$A$2:$C$70,3,FALSE)</f>
        <v>Cash</v>
      </c>
      <c r="J918" s="5">
        <f>VLOOKUP(F918,'Set up'!$A$2:$D$70,4,FALSE)</f>
        <v>0</v>
      </c>
      <c r="K918" s="4">
        <f t="shared" si="170"/>
        <v>44760</v>
      </c>
      <c r="L918" s="5">
        <f t="shared" si="171"/>
        <v>7</v>
      </c>
      <c r="M918" s="5">
        <f t="shared" si="172"/>
        <v>2022</v>
      </c>
      <c r="N918" s="6">
        <v>340</v>
      </c>
      <c r="O918" s="6">
        <f t="shared" si="175"/>
        <v>-340</v>
      </c>
      <c r="P918" s="6">
        <f t="shared" si="176"/>
        <v>0</v>
      </c>
      <c r="Q918" s="7">
        <f t="shared" si="173"/>
        <v>1642574.5500000005</v>
      </c>
      <c r="R918" s="44" t="str">
        <f>VLOOKUP(F918,'Set up'!$A$2:$E$70,5,FALSE)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68"/>
        <v>7</v>
      </c>
      <c r="C919" s="5">
        <f t="shared" si="169"/>
        <v>2022</v>
      </c>
      <c r="D919" s="5" t="s">
        <v>867</v>
      </c>
      <c r="E919" s="5" t="str">
        <f>VLOOKUP(F919,'Set up'!$A$2:$C$70,2,FALSE)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up'!$A$2:$C$70,3,FALSE)</f>
        <v>Cash</v>
      </c>
      <c r="J919" s="5">
        <f>VLOOKUP(F919,'Set up'!$A$2:$D$70,4,FALSE)</f>
        <v>0</v>
      </c>
      <c r="K919" s="4">
        <f t="shared" si="170"/>
        <v>44762</v>
      </c>
      <c r="L919" s="5">
        <f t="shared" si="171"/>
        <v>7</v>
      </c>
      <c r="M919" s="5">
        <f t="shared" si="172"/>
        <v>2022</v>
      </c>
      <c r="N919" s="6">
        <v>588</v>
      </c>
      <c r="O919" s="6">
        <f t="shared" si="175"/>
        <v>-588</v>
      </c>
      <c r="P919" s="6">
        <f t="shared" si="176"/>
        <v>0</v>
      </c>
      <c r="Q919" s="7">
        <f t="shared" si="173"/>
        <v>1643162.5500000005</v>
      </c>
      <c r="R919" s="44" t="str">
        <f>VLOOKUP(F919,'Set up'!$A$2:$E$70,5,FALSE)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68"/>
        <v>7</v>
      </c>
      <c r="C920" s="5">
        <f t="shared" si="169"/>
        <v>2022</v>
      </c>
      <c r="D920" s="5" t="s">
        <v>867</v>
      </c>
      <c r="E920" s="5" t="str">
        <f>VLOOKUP(F920,'Set up'!$A$2:$C$70,2,FALSE)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up'!$A$2:$C$70,3,FALSE)</f>
        <v>Cash</v>
      </c>
      <c r="J920" s="5">
        <f>VLOOKUP(F920,'Set up'!$A$2:$D$70,4,FALSE)</f>
        <v>0</v>
      </c>
      <c r="K920" s="4">
        <f t="shared" si="170"/>
        <v>44762</v>
      </c>
      <c r="L920" s="5">
        <f t="shared" si="171"/>
        <v>7</v>
      </c>
      <c r="M920" s="5">
        <f t="shared" si="172"/>
        <v>2022</v>
      </c>
      <c r="N920" s="6">
        <v>337.5</v>
      </c>
      <c r="O920" s="6">
        <f t="shared" si="175"/>
        <v>-337.5</v>
      </c>
      <c r="P920" s="6">
        <f t="shared" si="176"/>
        <v>0</v>
      </c>
      <c r="Q920" s="7">
        <f t="shared" si="173"/>
        <v>1643500.0500000005</v>
      </c>
      <c r="R920" s="44" t="str">
        <f>VLOOKUP(F920,'Set up'!$A$2:$E$70,5,FALSE)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68"/>
        <v>7</v>
      </c>
      <c r="C921" s="5">
        <f t="shared" si="169"/>
        <v>2022</v>
      </c>
      <c r="D921" s="5" t="s">
        <v>868</v>
      </c>
      <c r="E921" s="5" t="str">
        <f>VLOOKUP(F921,'Set up'!$A$2:$C$70,2,FALSE)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up'!$A$2:$C$70,3,FALSE)</f>
        <v>Cash</v>
      </c>
      <c r="J921" s="5">
        <f>VLOOKUP(F921,'Set up'!$A$2:$D$70,4,FALSE)</f>
        <v>0</v>
      </c>
      <c r="K921" s="4">
        <f t="shared" si="170"/>
        <v>44765</v>
      </c>
      <c r="L921" s="5">
        <f t="shared" si="171"/>
        <v>7</v>
      </c>
      <c r="M921" s="5">
        <f t="shared" si="172"/>
        <v>2022</v>
      </c>
      <c r="N921" s="12">
        <v>4136</v>
      </c>
      <c r="O921" s="12">
        <f>-1670.3-2465.7</f>
        <v>-4136</v>
      </c>
      <c r="P921" s="12">
        <f t="shared" si="176"/>
        <v>0</v>
      </c>
      <c r="Q921" s="7">
        <f t="shared" si="173"/>
        <v>1647636.0500000005</v>
      </c>
      <c r="R921" s="44" t="str">
        <f>VLOOKUP(F921,'Set up'!$A$2:$E$70,5,FALSE)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68"/>
        <v>7</v>
      </c>
      <c r="C922" s="5">
        <f t="shared" si="169"/>
        <v>2022</v>
      </c>
      <c r="D922" s="5" t="s">
        <v>868</v>
      </c>
      <c r="E922" s="5" t="str">
        <f>VLOOKUP(F922,'Set up'!$A$2:$C$70,2,FALSE)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up'!$A$2:$C$70,3,FALSE)</f>
        <v>Cash</v>
      </c>
      <c r="J922" s="5">
        <f>VLOOKUP(F922,'Set up'!$A$2:$D$70,4,FALSE)</f>
        <v>0</v>
      </c>
      <c r="K922" s="4">
        <f t="shared" si="170"/>
        <v>44765</v>
      </c>
      <c r="L922" s="5">
        <f t="shared" si="171"/>
        <v>7</v>
      </c>
      <c r="M922" s="5">
        <f t="shared" si="172"/>
        <v>2022</v>
      </c>
      <c r="N922" s="6">
        <v>1764</v>
      </c>
      <c r="O922" s="6">
        <f t="shared" si="175"/>
        <v>-1764</v>
      </c>
      <c r="P922" s="6">
        <f t="shared" si="176"/>
        <v>0</v>
      </c>
      <c r="Q922" s="7">
        <f t="shared" si="173"/>
        <v>1649400.0500000005</v>
      </c>
      <c r="R922" s="44" t="str">
        <f>VLOOKUP(F922,'Set up'!$A$2:$E$70,5,FALSE)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68"/>
        <v>7</v>
      </c>
      <c r="C923" s="5">
        <f t="shared" si="169"/>
        <v>2022</v>
      </c>
      <c r="D923" s="5" t="s">
        <v>868</v>
      </c>
      <c r="E923" s="5" t="str">
        <f>VLOOKUP(F923,'Set up'!$A$2:$C$70,2,FALSE)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up'!$A$2:$C$70,3,FALSE)</f>
        <v>Cash</v>
      </c>
      <c r="J923" s="5">
        <f>VLOOKUP(F923,'Set up'!$A$2:$D$70,4,FALSE)</f>
        <v>0</v>
      </c>
      <c r="K923" s="4">
        <f t="shared" si="170"/>
        <v>44765</v>
      </c>
      <c r="L923" s="5">
        <f t="shared" si="171"/>
        <v>7</v>
      </c>
      <c r="M923" s="5">
        <f t="shared" si="172"/>
        <v>2022</v>
      </c>
      <c r="N923" s="6">
        <v>600</v>
      </c>
      <c r="O923" s="6">
        <f t="shared" si="175"/>
        <v>-600</v>
      </c>
      <c r="P923" s="6">
        <f t="shared" si="176"/>
        <v>0</v>
      </c>
      <c r="Q923" s="7">
        <f t="shared" si="173"/>
        <v>1650000.0500000005</v>
      </c>
      <c r="R923" s="44" t="str">
        <f>VLOOKUP(F923,'Set up'!$A$2:$E$70,5,FALSE)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68"/>
        <v>7</v>
      </c>
      <c r="C924" s="5">
        <f t="shared" si="169"/>
        <v>2022</v>
      </c>
      <c r="D924" s="5" t="s">
        <v>868</v>
      </c>
      <c r="E924" s="5" t="str">
        <f>VLOOKUP(F924,'Set up'!$A$2:$C$70,2,FALSE)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up'!$A$2:$C$70,3,FALSE)</f>
        <v>Cash</v>
      </c>
      <c r="J924" s="5">
        <f>VLOOKUP(F924,'Set up'!$A$2:$D$70,4,FALSE)</f>
        <v>0</v>
      </c>
      <c r="K924" s="4">
        <f t="shared" si="170"/>
        <v>44765</v>
      </c>
      <c r="L924" s="5">
        <f t="shared" si="171"/>
        <v>7</v>
      </c>
      <c r="M924" s="5">
        <f t="shared" si="172"/>
        <v>2022</v>
      </c>
      <c r="N924" s="6">
        <v>125</v>
      </c>
      <c r="O924" s="6">
        <f t="shared" si="175"/>
        <v>-125</v>
      </c>
      <c r="P924" s="6">
        <f t="shared" si="176"/>
        <v>0</v>
      </c>
      <c r="Q924" s="7">
        <f t="shared" si="173"/>
        <v>1650125.0500000005</v>
      </c>
      <c r="R924" s="44" t="str">
        <f>VLOOKUP(F924,'Set up'!$A$2:$E$70,5,FALSE)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68"/>
        <v>7</v>
      </c>
      <c r="C925" s="5">
        <f t="shared" si="169"/>
        <v>2022</v>
      </c>
      <c r="D925" s="5" t="s">
        <v>869</v>
      </c>
      <c r="E925" s="5" t="str">
        <f>VLOOKUP(F925,'Set up'!$A$2:$C$70,2,FALSE)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up'!$A$2:$C$70,3,FALSE)</f>
        <v>Cash</v>
      </c>
      <c r="J925" s="5">
        <f>VLOOKUP(F925,'Set up'!$A$2:$D$70,4,FALSE)</f>
        <v>0</v>
      </c>
      <c r="K925" s="4">
        <f t="shared" si="170"/>
        <v>44765</v>
      </c>
      <c r="L925" s="5">
        <f t="shared" si="171"/>
        <v>7</v>
      </c>
      <c r="M925" s="5">
        <f t="shared" si="172"/>
        <v>2022</v>
      </c>
      <c r="N925" s="96">
        <v>4092</v>
      </c>
      <c r="O925" s="6">
        <f>-N925</f>
        <v>-4092</v>
      </c>
      <c r="P925" s="6">
        <f t="shared" si="176"/>
        <v>0</v>
      </c>
      <c r="Q925" s="7">
        <f t="shared" si="173"/>
        <v>1654217.0500000005</v>
      </c>
      <c r="R925" s="44" t="str">
        <f>VLOOKUP(F925,'Set up'!$A$2:$E$70,5,FALSE)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68"/>
        <v>7</v>
      </c>
      <c r="C926" s="5">
        <f t="shared" si="169"/>
        <v>2022</v>
      </c>
      <c r="D926" s="5" t="s">
        <v>870</v>
      </c>
      <c r="E926" s="5" t="str">
        <f>VLOOKUP(F926,'Set up'!$A$2:$C$70,2,FALSE)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up'!$A$2:$C$70,3,FALSE)</f>
        <v>120</v>
      </c>
      <c r="J926" s="5">
        <f>VLOOKUP(F926,'Set up'!$A$2:$D$70,4,FALSE)</f>
        <v>120</v>
      </c>
      <c r="K926" s="4">
        <f t="shared" si="170"/>
        <v>44888</v>
      </c>
      <c r="L926" s="5">
        <f t="shared" si="171"/>
        <v>11</v>
      </c>
      <c r="M926" s="5">
        <f t="shared" si="172"/>
        <v>2022</v>
      </c>
      <c r="N926" s="6">
        <v>9900</v>
      </c>
      <c r="O926" s="6">
        <f t="shared" ref="O926:O929" si="177">-N926</f>
        <v>-9900</v>
      </c>
      <c r="P926" s="6">
        <f t="shared" si="176"/>
        <v>0</v>
      </c>
      <c r="Q926" s="7">
        <f t="shared" si="173"/>
        <v>1664117.0500000005</v>
      </c>
      <c r="R926" s="44" t="str">
        <f>VLOOKUP(F926,'Set up'!$A$2:$E$70,5,FALSE)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68"/>
        <v>7</v>
      </c>
      <c r="C927" s="5">
        <f t="shared" si="169"/>
        <v>2022</v>
      </c>
      <c r="D927" s="5" t="s">
        <v>870</v>
      </c>
      <c r="E927" s="5" t="str">
        <f>VLOOKUP(F927,'Set up'!$A$2:$C$70,2,FALSE)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up'!$A$2:$C$70,3,FALSE)</f>
        <v>120</v>
      </c>
      <c r="J927" s="5">
        <f>VLOOKUP(F927,'Set up'!$A$2:$D$70,4,FALSE)</f>
        <v>120</v>
      </c>
      <c r="K927" s="4">
        <f t="shared" si="170"/>
        <v>44888</v>
      </c>
      <c r="L927" s="5">
        <f t="shared" si="171"/>
        <v>11</v>
      </c>
      <c r="M927" s="5">
        <f t="shared" si="172"/>
        <v>2022</v>
      </c>
      <c r="N927" s="6">
        <v>2850</v>
      </c>
      <c r="O927" s="6">
        <f t="shared" si="177"/>
        <v>-2850</v>
      </c>
      <c r="P927" s="6">
        <f t="shared" si="176"/>
        <v>0</v>
      </c>
      <c r="Q927" s="7">
        <f t="shared" si="173"/>
        <v>1666967.0500000005</v>
      </c>
      <c r="R927" s="44" t="str">
        <f>VLOOKUP(F927,'Set up'!$A$2:$E$70,5,FALSE)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68"/>
        <v>7</v>
      </c>
      <c r="C928" s="5">
        <f t="shared" si="169"/>
        <v>2022</v>
      </c>
      <c r="D928" s="5" t="s">
        <v>870</v>
      </c>
      <c r="E928" s="5" t="str">
        <f>VLOOKUP(F928,'Set up'!$A$2:$C$70,2,FALSE)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up'!$A$2:$C$70,3,FALSE)</f>
        <v>120</v>
      </c>
      <c r="J928" s="5">
        <f>VLOOKUP(F928,'Set up'!$A$2:$D$70,4,FALSE)</f>
        <v>120</v>
      </c>
      <c r="K928" s="4">
        <f t="shared" si="170"/>
        <v>44888</v>
      </c>
      <c r="L928" s="5">
        <f t="shared" si="171"/>
        <v>11</v>
      </c>
      <c r="M928" s="5">
        <f t="shared" si="172"/>
        <v>2022</v>
      </c>
      <c r="N928" s="6">
        <v>275</v>
      </c>
      <c r="O928" s="6">
        <f t="shared" si="177"/>
        <v>-275</v>
      </c>
      <c r="P928" s="6">
        <f t="shared" si="176"/>
        <v>0</v>
      </c>
      <c r="Q928" s="7">
        <f t="shared" si="173"/>
        <v>1667242.0500000005</v>
      </c>
      <c r="R928" s="44" t="str">
        <f>VLOOKUP(F928,'Set up'!$A$2:$E$70,5,FALSE)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68"/>
        <v>7</v>
      </c>
      <c r="C929" s="5">
        <f t="shared" si="169"/>
        <v>2022</v>
      </c>
      <c r="D929" s="5" t="s">
        <v>870</v>
      </c>
      <c r="E929" s="5" t="str">
        <f>VLOOKUP(F929,'Set up'!$A$2:$C$70,2,FALSE)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up'!$A$2:$C$70,3,FALSE)</f>
        <v>120</v>
      </c>
      <c r="J929" s="5">
        <f>VLOOKUP(F929,'Set up'!$A$2:$D$70,4,FALSE)</f>
        <v>120</v>
      </c>
      <c r="K929" s="4">
        <f t="shared" si="170"/>
        <v>44888</v>
      </c>
      <c r="L929" s="5">
        <f t="shared" si="171"/>
        <v>11</v>
      </c>
      <c r="M929" s="5">
        <f t="shared" si="172"/>
        <v>2022</v>
      </c>
      <c r="N929" s="6">
        <v>420</v>
      </c>
      <c r="O929" s="6">
        <f t="shared" si="177"/>
        <v>-420</v>
      </c>
      <c r="P929" s="6">
        <f t="shared" si="176"/>
        <v>0</v>
      </c>
      <c r="Q929" s="7">
        <f t="shared" si="173"/>
        <v>1667662.0500000005</v>
      </c>
      <c r="R929" s="44" t="str">
        <f>VLOOKUP(F929,'Set up'!$A$2:$E$70,5,FALSE)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68"/>
        <v>7</v>
      </c>
      <c r="C930" s="5">
        <f t="shared" si="169"/>
        <v>2022</v>
      </c>
      <c r="D930" s="5" t="s">
        <v>871</v>
      </c>
      <c r="E930" s="5" t="str">
        <f>VLOOKUP(F930,'Set up'!$A$2:$C$70,2,FALSE)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up'!$A$2:$C$70,3,FALSE)</f>
        <v>Cash</v>
      </c>
      <c r="J930" s="5">
        <f>VLOOKUP(F930,'Set up'!$A$2:$D$70,4,FALSE)</f>
        <v>0</v>
      </c>
      <c r="K930" s="4">
        <f t="shared" si="170"/>
        <v>44771</v>
      </c>
      <c r="L930" s="5">
        <f t="shared" si="171"/>
        <v>7</v>
      </c>
      <c r="M930" s="5">
        <f t="shared" si="172"/>
        <v>2022</v>
      </c>
      <c r="N930" s="6">
        <v>2090</v>
      </c>
      <c r="O930" s="6">
        <f t="shared" ref="O930:O931" si="178">-N930</f>
        <v>-2090</v>
      </c>
      <c r="P930" s="6">
        <f t="shared" si="176"/>
        <v>0</v>
      </c>
      <c r="Q930" s="7">
        <f t="shared" si="173"/>
        <v>1669752.0500000005</v>
      </c>
      <c r="R930" s="44" t="str">
        <f>VLOOKUP(F930,'Set up'!$A$2:$E$70,5,FALSE)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68"/>
        <v>7</v>
      </c>
      <c r="C931" s="5">
        <f t="shared" si="169"/>
        <v>2022</v>
      </c>
      <c r="D931" s="5" t="s">
        <v>871</v>
      </c>
      <c r="E931" s="5" t="str">
        <f>VLOOKUP(F931,'Set up'!$A$2:$C$70,2,FALSE)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up'!$A$2:$C$70,3,FALSE)</f>
        <v>Cash</v>
      </c>
      <c r="J931" s="5">
        <f>VLOOKUP(F931,'Set up'!$A$2:$D$70,4,FALSE)</f>
        <v>0</v>
      </c>
      <c r="K931" s="4">
        <f t="shared" si="170"/>
        <v>44771</v>
      </c>
      <c r="L931" s="5">
        <f t="shared" si="171"/>
        <v>7</v>
      </c>
      <c r="M931" s="5">
        <f t="shared" si="172"/>
        <v>2022</v>
      </c>
      <c r="N931" s="6">
        <v>90</v>
      </c>
      <c r="O931" s="6">
        <f t="shared" si="178"/>
        <v>-90</v>
      </c>
      <c r="P931" s="6">
        <f t="shared" si="176"/>
        <v>0</v>
      </c>
      <c r="Q931" s="7">
        <f t="shared" si="173"/>
        <v>1669842.0500000005</v>
      </c>
      <c r="R931" s="44" t="str">
        <f>VLOOKUP(F931,'Set up'!$A$2:$E$70,5,FALSE)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68"/>
        <v>7</v>
      </c>
      <c r="C932" s="5">
        <f t="shared" si="169"/>
        <v>2022</v>
      </c>
      <c r="D932" s="5" t="s">
        <v>873</v>
      </c>
      <c r="E932" s="5" t="str">
        <f>VLOOKUP(F932,'Set up'!$A$2:$C$70,2,FALSE)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up'!$A$2:$C$70,3,FALSE)</f>
        <v>60</v>
      </c>
      <c r="J932" s="5">
        <f>VLOOKUP(F932,'Set up'!$A$2:$D$70,4,FALSE)</f>
        <v>60</v>
      </c>
      <c r="K932" s="4">
        <f t="shared" si="170"/>
        <v>44831</v>
      </c>
      <c r="L932" s="5">
        <f t="shared" si="171"/>
        <v>9</v>
      </c>
      <c r="M932" s="5">
        <f t="shared" si="172"/>
        <v>2022</v>
      </c>
      <c r="N932" s="6">
        <v>3960</v>
      </c>
      <c r="O932" s="6">
        <f>-N932</f>
        <v>-3960</v>
      </c>
      <c r="P932" s="6">
        <f t="shared" si="176"/>
        <v>0</v>
      </c>
      <c r="Q932" s="7">
        <f t="shared" si="173"/>
        <v>1673802.0500000005</v>
      </c>
      <c r="R932" s="44" t="str">
        <f>VLOOKUP(F932,'Set up'!$A$2:$E$70,5,FALSE)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68"/>
        <v>7</v>
      </c>
      <c r="C933" s="5">
        <f t="shared" si="169"/>
        <v>2022</v>
      </c>
      <c r="D933" s="5" t="s">
        <v>873</v>
      </c>
      <c r="E933" s="5" t="str">
        <f>VLOOKUP(F933,'Set up'!$A$2:$C$70,2,FALSE)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up'!$A$2:$C$70,3,FALSE)</f>
        <v>60</v>
      </c>
      <c r="J933" s="5">
        <f>VLOOKUP(F933,'Set up'!$A$2:$D$70,4,FALSE)</f>
        <v>60</v>
      </c>
      <c r="K933" s="4">
        <f t="shared" si="170"/>
        <v>44831</v>
      </c>
      <c r="L933" s="5">
        <f t="shared" si="171"/>
        <v>9</v>
      </c>
      <c r="M933" s="5">
        <f t="shared" si="172"/>
        <v>2022</v>
      </c>
      <c r="N933" s="6">
        <v>636.5</v>
      </c>
      <c r="O933" s="6">
        <f>-N933</f>
        <v>-636.5</v>
      </c>
      <c r="P933" s="6">
        <f t="shared" si="176"/>
        <v>0</v>
      </c>
      <c r="Q933" s="7">
        <f t="shared" si="173"/>
        <v>1674438.5500000005</v>
      </c>
      <c r="R933" s="44" t="str">
        <f>VLOOKUP(F933,'Set up'!$A$2:$E$70,5,FALSE)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68"/>
        <v>8</v>
      </c>
      <c r="C934" s="5">
        <f t="shared" si="169"/>
        <v>2022</v>
      </c>
      <c r="D934" s="5" t="s">
        <v>891</v>
      </c>
      <c r="E934" s="5" t="str">
        <f>VLOOKUP(F934,'Set up'!$A$2:$C$70,2,FALSE)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up'!$A$2:$C$70,3,FALSE)</f>
        <v>Cash</v>
      </c>
      <c r="J934" s="5">
        <f>VLOOKUP(F934,'Set up'!$A$2:$D$70,4,FALSE)</f>
        <v>0</v>
      </c>
      <c r="K934" s="4">
        <f t="shared" si="170"/>
        <v>44777</v>
      </c>
      <c r="L934" s="5">
        <f t="shared" si="171"/>
        <v>8</v>
      </c>
      <c r="M934" s="5">
        <f t="shared" si="172"/>
        <v>2022</v>
      </c>
      <c r="N934" s="6">
        <v>6006</v>
      </c>
      <c r="O934" s="6">
        <f t="shared" ref="O934:O941" si="179">-N934</f>
        <v>-6006</v>
      </c>
      <c r="P934" s="6">
        <f t="shared" si="176"/>
        <v>0</v>
      </c>
      <c r="Q934" s="7">
        <f t="shared" si="173"/>
        <v>1680444.5500000005</v>
      </c>
      <c r="R934" s="44" t="str">
        <f>VLOOKUP(F934,'Set up'!$A$2:$E$70,5,FALSE)</f>
        <v>Trsf</v>
      </c>
      <c r="S934" s="1" t="s">
        <v>1031</v>
      </c>
    </row>
    <row r="935" spans="1:19" x14ac:dyDescent="0.35">
      <c r="A935" s="4">
        <v>44777</v>
      </c>
      <c r="B935" s="5">
        <f t="shared" si="168"/>
        <v>8</v>
      </c>
      <c r="C935" s="5">
        <f t="shared" si="169"/>
        <v>2022</v>
      </c>
      <c r="D935" s="5" t="s">
        <v>891</v>
      </c>
      <c r="E935" s="5" t="str">
        <f>VLOOKUP(F935,'Set up'!$A$2:$C$70,2,FALSE)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up'!$A$2:$C$70,3,FALSE)</f>
        <v>Cash</v>
      </c>
      <c r="J935" s="5">
        <f>VLOOKUP(F935,'Set up'!$A$2:$D$70,4,FALSE)</f>
        <v>0</v>
      </c>
      <c r="K935" s="4">
        <f t="shared" si="170"/>
        <v>44777</v>
      </c>
      <c r="L935" s="5">
        <f t="shared" si="171"/>
        <v>8</v>
      </c>
      <c r="M935" s="5">
        <f t="shared" si="172"/>
        <v>2022</v>
      </c>
      <c r="N935" s="6">
        <v>1259.5999999999999</v>
      </c>
      <c r="O935" s="6">
        <f t="shared" si="179"/>
        <v>-1259.5999999999999</v>
      </c>
      <c r="P935" s="6">
        <f t="shared" si="176"/>
        <v>0</v>
      </c>
      <c r="Q935" s="7">
        <f t="shared" si="173"/>
        <v>1681704.1500000006</v>
      </c>
      <c r="R935" s="44" t="str">
        <f>VLOOKUP(F935,'Set up'!$A$2:$E$70,5,FALSE)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68"/>
        <v>8</v>
      </c>
      <c r="C936" s="5">
        <f t="shared" si="169"/>
        <v>2022</v>
      </c>
      <c r="D936" s="5" t="s">
        <v>891</v>
      </c>
      <c r="E936" s="5" t="str">
        <f>VLOOKUP(F936,'Set up'!$A$2:$C$70,2,FALSE)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up'!$A$2:$C$70,3,FALSE)</f>
        <v>Cash</v>
      </c>
      <c r="J936" s="5">
        <f>VLOOKUP(F936,'Set up'!$A$2:$D$70,4,FALSE)</f>
        <v>0</v>
      </c>
      <c r="K936" s="4">
        <f t="shared" si="170"/>
        <v>44777</v>
      </c>
      <c r="L936" s="5">
        <f t="shared" si="171"/>
        <v>8</v>
      </c>
      <c r="M936" s="5">
        <f t="shared" si="172"/>
        <v>2022</v>
      </c>
      <c r="N936" s="6">
        <v>1015.2</v>
      </c>
      <c r="O936" s="6">
        <f t="shared" si="179"/>
        <v>-1015.2</v>
      </c>
      <c r="P936" s="6">
        <f t="shared" si="176"/>
        <v>0</v>
      </c>
      <c r="Q936" s="7">
        <f t="shared" si="173"/>
        <v>1682719.3500000006</v>
      </c>
      <c r="R936" s="44" t="str">
        <f>VLOOKUP(F936,'Set up'!$A$2:$E$70,5,FALSE)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68"/>
        <v>8</v>
      </c>
      <c r="C937" s="5">
        <f t="shared" si="169"/>
        <v>2022</v>
      </c>
      <c r="D937" s="5" t="s">
        <v>891</v>
      </c>
      <c r="E937" s="5" t="str">
        <f>VLOOKUP(F937,'Set up'!$A$2:$C$70,2,FALSE)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up'!$A$2:$C$70,3,FALSE)</f>
        <v>Cash</v>
      </c>
      <c r="J937" s="5">
        <f>VLOOKUP(F937,'Set up'!$A$2:$D$70,4,FALSE)</f>
        <v>0</v>
      </c>
      <c r="K937" s="4">
        <f t="shared" si="170"/>
        <v>44777</v>
      </c>
      <c r="L937" s="5">
        <f t="shared" si="171"/>
        <v>8</v>
      </c>
      <c r="M937" s="5">
        <f t="shared" si="172"/>
        <v>2022</v>
      </c>
      <c r="N937" s="6">
        <v>560</v>
      </c>
      <c r="O937" s="6">
        <f t="shared" si="179"/>
        <v>-560</v>
      </c>
      <c r="P937" s="6">
        <f t="shared" si="176"/>
        <v>0</v>
      </c>
      <c r="Q937" s="7">
        <f t="shared" si="173"/>
        <v>1683279.3500000006</v>
      </c>
      <c r="R937" s="44" t="str">
        <f>VLOOKUP(F937,'Set up'!$A$2:$E$70,5,FALSE)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68"/>
        <v>8</v>
      </c>
      <c r="C938" s="5">
        <f t="shared" si="169"/>
        <v>2022</v>
      </c>
      <c r="D938" s="5" t="s">
        <v>891</v>
      </c>
      <c r="E938" s="5" t="str">
        <f>VLOOKUP(F938,'Set up'!$A$2:$C$70,2,FALSE)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up'!$A$2:$C$70,3,FALSE)</f>
        <v>Cash</v>
      </c>
      <c r="J938" s="5">
        <f>VLOOKUP(F938,'Set up'!$A$2:$D$70,4,FALSE)</f>
        <v>0</v>
      </c>
      <c r="K938" s="4">
        <f t="shared" si="170"/>
        <v>44777</v>
      </c>
      <c r="L938" s="5">
        <f t="shared" si="171"/>
        <v>8</v>
      </c>
      <c r="M938" s="5">
        <f t="shared" si="172"/>
        <v>2022</v>
      </c>
      <c r="N938" s="6">
        <v>640</v>
      </c>
      <c r="O938" s="6">
        <f t="shared" si="179"/>
        <v>-640</v>
      </c>
      <c r="P938" s="6">
        <f t="shared" si="176"/>
        <v>0</v>
      </c>
      <c r="Q938" s="7">
        <f t="shared" si="173"/>
        <v>1683919.3500000006</v>
      </c>
      <c r="R938" s="44" t="str">
        <f>VLOOKUP(F938,'Set up'!$A$2:$E$70,5,FALSE)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68"/>
        <v>8</v>
      </c>
      <c r="C939" s="5">
        <f t="shared" si="169"/>
        <v>2022</v>
      </c>
      <c r="D939" s="5" t="s">
        <v>891</v>
      </c>
      <c r="E939" s="5" t="str">
        <f>VLOOKUP(F939,'Set up'!$A$2:$C$70,2,FALSE)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up'!$A$2:$C$70,3,FALSE)</f>
        <v>Cash</v>
      </c>
      <c r="J939" s="5">
        <f>VLOOKUP(F939,'Set up'!$A$2:$D$70,4,FALSE)</f>
        <v>0</v>
      </c>
      <c r="K939" s="4">
        <f t="shared" si="170"/>
        <v>44777</v>
      </c>
      <c r="L939" s="5">
        <f t="shared" si="171"/>
        <v>8</v>
      </c>
      <c r="M939" s="5">
        <f t="shared" si="172"/>
        <v>2022</v>
      </c>
      <c r="N939" s="6">
        <v>90</v>
      </c>
      <c r="O939" s="6">
        <f t="shared" si="179"/>
        <v>-90</v>
      </c>
      <c r="P939" s="6">
        <f t="shared" si="176"/>
        <v>0</v>
      </c>
      <c r="Q939" s="7">
        <f t="shared" si="173"/>
        <v>1684009.3500000006</v>
      </c>
      <c r="R939" s="44" t="str">
        <f>VLOOKUP(F939,'Set up'!$A$2:$E$70,5,FALSE)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68"/>
        <v>8</v>
      </c>
      <c r="C940" s="5">
        <f t="shared" si="169"/>
        <v>2022</v>
      </c>
      <c r="D940" s="5" t="s">
        <v>891</v>
      </c>
      <c r="E940" s="5" t="str">
        <f>VLOOKUP(F940,'Set up'!$A$2:$C$70,2,FALSE)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up'!$A$2:$C$70,3,FALSE)</f>
        <v>Cash</v>
      </c>
      <c r="J940" s="5">
        <f>VLOOKUP(F940,'Set up'!$A$2:$D$70,4,FALSE)</f>
        <v>0</v>
      </c>
      <c r="K940" s="4">
        <f t="shared" si="170"/>
        <v>44777</v>
      </c>
      <c r="L940" s="5">
        <f t="shared" si="171"/>
        <v>8</v>
      </c>
      <c r="M940" s="5">
        <f t="shared" si="172"/>
        <v>2022</v>
      </c>
      <c r="N940" s="6">
        <v>1108.4000000000001</v>
      </c>
      <c r="O940" s="6">
        <f t="shared" si="179"/>
        <v>-1108.4000000000001</v>
      </c>
      <c r="P940" s="6">
        <f t="shared" si="176"/>
        <v>0</v>
      </c>
      <c r="Q940" s="7">
        <f t="shared" si="173"/>
        <v>1685117.7500000005</v>
      </c>
      <c r="R940" s="44" t="str">
        <f>VLOOKUP(F940,'Set up'!$A$2:$E$70,5,FALSE)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68"/>
        <v>8</v>
      </c>
      <c r="C941" s="5">
        <f t="shared" si="169"/>
        <v>2022</v>
      </c>
      <c r="D941" s="5" t="s">
        <v>891</v>
      </c>
      <c r="E941" s="5" t="str">
        <f>VLOOKUP(F941,'Set up'!$A$2:$C$70,2,FALSE)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up'!$A$2:$C$70,3,FALSE)</f>
        <v>Cash</v>
      </c>
      <c r="J941" s="5">
        <f>VLOOKUP(F941,'Set up'!$A$2:$D$70,4,FALSE)</f>
        <v>0</v>
      </c>
      <c r="K941" s="4">
        <f t="shared" si="170"/>
        <v>44777</v>
      </c>
      <c r="L941" s="5">
        <f t="shared" si="171"/>
        <v>8</v>
      </c>
      <c r="M941" s="5">
        <f t="shared" si="172"/>
        <v>2022</v>
      </c>
      <c r="N941" s="6">
        <v>440</v>
      </c>
      <c r="O941" s="6">
        <f t="shared" si="179"/>
        <v>-440</v>
      </c>
      <c r="P941" s="6">
        <f t="shared" si="176"/>
        <v>0</v>
      </c>
      <c r="Q941" s="7">
        <f t="shared" si="173"/>
        <v>1685557.7500000005</v>
      </c>
      <c r="R941" s="44" t="str">
        <f>VLOOKUP(F941,'Set up'!$A$2:$E$70,5,FALSE)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68"/>
        <v>8</v>
      </c>
      <c r="C942" s="5">
        <f t="shared" si="169"/>
        <v>2022</v>
      </c>
      <c r="D942" s="5" t="s">
        <v>891</v>
      </c>
      <c r="E942" s="5" t="str">
        <f>VLOOKUP(F942,'Set up'!$A$2:$C$70,2,FALSE)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up'!$A$2:$C$70,3,FALSE)</f>
        <v>Cash</v>
      </c>
      <c r="J942" s="5">
        <f>VLOOKUP(F942,'Set up'!$A$2:$D$70,4,FALSE)</f>
        <v>0</v>
      </c>
      <c r="K942" s="4">
        <f t="shared" si="170"/>
        <v>44777</v>
      </c>
      <c r="L942" s="5">
        <f t="shared" si="171"/>
        <v>8</v>
      </c>
      <c r="M942" s="5">
        <f t="shared" si="172"/>
        <v>2022</v>
      </c>
      <c r="N942" s="6">
        <v>1524</v>
      </c>
      <c r="O942" s="6">
        <f>-1523.8</f>
        <v>-1523.8</v>
      </c>
      <c r="P942" s="6">
        <f t="shared" si="176"/>
        <v>0.20000000000004547</v>
      </c>
      <c r="Q942" s="7">
        <f t="shared" si="173"/>
        <v>1687081.7500000005</v>
      </c>
      <c r="R942" s="44" t="str">
        <f>VLOOKUP(F942,'Set up'!$A$2:$E$70,5,FALSE)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68"/>
        <v>8</v>
      </c>
      <c r="C943" s="5">
        <f t="shared" si="169"/>
        <v>2022</v>
      </c>
      <c r="D943" s="5" t="s">
        <v>895</v>
      </c>
      <c r="E943" s="5" t="str">
        <f>VLOOKUP(F943,'Set up'!$A$2:$C$70,2,FALSE)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up'!$A$2:$C$70,3,FALSE)</f>
        <v>Cash</v>
      </c>
      <c r="J943" s="5">
        <f>VLOOKUP(F943,'Set up'!$A$2:$D$70,4,FALSE)</f>
        <v>0</v>
      </c>
      <c r="K943" s="4">
        <f t="shared" si="170"/>
        <v>44779</v>
      </c>
      <c r="L943" s="5">
        <f t="shared" si="171"/>
        <v>8</v>
      </c>
      <c r="M943" s="5">
        <f t="shared" si="172"/>
        <v>2022</v>
      </c>
      <c r="N943" s="6">
        <v>2068</v>
      </c>
      <c r="O943" s="6">
        <f t="shared" ref="O943:O946" si="180">-N943</f>
        <v>-2068</v>
      </c>
      <c r="P943" s="6">
        <f t="shared" si="176"/>
        <v>0</v>
      </c>
      <c r="Q943" s="7">
        <f t="shared" si="173"/>
        <v>1689149.7500000005</v>
      </c>
      <c r="R943" s="44" t="str">
        <f>VLOOKUP(F943,'Set up'!$A$2:$E$70,5,FALSE)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68"/>
        <v>8</v>
      </c>
      <c r="C944" s="5">
        <f t="shared" si="169"/>
        <v>2022</v>
      </c>
      <c r="D944" s="5" t="s">
        <v>895</v>
      </c>
      <c r="E944" s="5" t="str">
        <f>VLOOKUP(F944,'Set up'!$A$2:$C$70,2,FALSE)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up'!$A$2:$C$70,3,FALSE)</f>
        <v>Cash</v>
      </c>
      <c r="J944" s="5">
        <f>VLOOKUP(F944,'Set up'!$A$2:$D$70,4,FALSE)</f>
        <v>0</v>
      </c>
      <c r="K944" s="4">
        <f t="shared" si="170"/>
        <v>44779</v>
      </c>
      <c r="L944" s="5">
        <f t="shared" si="171"/>
        <v>8</v>
      </c>
      <c r="M944" s="5">
        <f t="shared" si="172"/>
        <v>2022</v>
      </c>
      <c r="N944" s="6">
        <v>2175.6000000000004</v>
      </c>
      <c r="O944" s="6">
        <f t="shared" si="180"/>
        <v>-2175.6000000000004</v>
      </c>
      <c r="P944" s="6">
        <f t="shared" si="176"/>
        <v>0</v>
      </c>
      <c r="Q944" s="7">
        <f t="shared" si="173"/>
        <v>1691325.3500000006</v>
      </c>
      <c r="R944" s="44" t="str">
        <f>VLOOKUP(F944,'Set up'!$A$2:$E$70,5,FALSE)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68"/>
        <v>8</v>
      </c>
      <c r="C945" s="5">
        <f t="shared" si="169"/>
        <v>2022</v>
      </c>
      <c r="D945" s="5" t="s">
        <v>895</v>
      </c>
      <c r="E945" s="5" t="str">
        <f>VLOOKUP(F945,'Set up'!$A$2:$C$70,2,FALSE)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up'!$A$2:$C$70,3,FALSE)</f>
        <v>Cash</v>
      </c>
      <c r="J945" s="5">
        <f>VLOOKUP(F945,'Set up'!$A$2:$D$70,4,FALSE)</f>
        <v>0</v>
      </c>
      <c r="K945" s="4">
        <f t="shared" si="170"/>
        <v>44779</v>
      </c>
      <c r="L945" s="5">
        <f t="shared" si="171"/>
        <v>8</v>
      </c>
      <c r="M945" s="5">
        <f t="shared" si="172"/>
        <v>2022</v>
      </c>
      <c r="N945" s="6">
        <v>900</v>
      </c>
      <c r="O945" s="6">
        <f t="shared" si="180"/>
        <v>-900</v>
      </c>
      <c r="P945" s="6">
        <f t="shared" si="176"/>
        <v>0</v>
      </c>
      <c r="Q945" s="7">
        <f t="shared" si="173"/>
        <v>1692225.3500000006</v>
      </c>
      <c r="R945" s="44" t="str">
        <f>VLOOKUP(F945,'Set up'!$A$2:$E$70,5,FALSE)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68"/>
        <v>8</v>
      </c>
      <c r="C946" s="5">
        <f t="shared" si="169"/>
        <v>2022</v>
      </c>
      <c r="D946" s="5" t="s">
        <v>895</v>
      </c>
      <c r="E946" s="5" t="str">
        <f>VLOOKUP(F946,'Set up'!$A$2:$C$70,2,FALSE)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up'!$A$2:$C$70,3,FALSE)</f>
        <v>Cash</v>
      </c>
      <c r="J946" s="5">
        <f>VLOOKUP(F946,'Set up'!$A$2:$D$70,4,FALSE)</f>
        <v>0</v>
      </c>
      <c r="K946" s="4">
        <f t="shared" si="170"/>
        <v>44779</v>
      </c>
      <c r="L946" s="5">
        <f t="shared" si="171"/>
        <v>8</v>
      </c>
      <c r="M946" s="5">
        <f t="shared" si="172"/>
        <v>2022</v>
      </c>
      <c r="N946" s="6">
        <v>125</v>
      </c>
      <c r="O946" s="6">
        <f t="shared" si="180"/>
        <v>-125</v>
      </c>
      <c r="P946" s="6">
        <f t="shared" si="176"/>
        <v>0</v>
      </c>
      <c r="Q946" s="7">
        <f t="shared" si="173"/>
        <v>1692350.3500000006</v>
      </c>
      <c r="R946" s="44" t="str">
        <f>VLOOKUP(F946,'Set up'!$A$2:$E$70,5,FALSE)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68"/>
        <v>8</v>
      </c>
      <c r="C947" s="5">
        <f t="shared" si="169"/>
        <v>2022</v>
      </c>
      <c r="D947" s="5" t="s">
        <v>897</v>
      </c>
      <c r="E947" s="5" t="str">
        <f>VLOOKUP(F947,'Set up'!$A$2:$C$70,2,FALSE)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up'!$A$2:$C$70,3,FALSE)</f>
        <v>Cash</v>
      </c>
      <c r="J947" s="5">
        <f>VLOOKUP(F947,'Set up'!$A$2:$D$70,4,FALSE)</f>
        <v>0</v>
      </c>
      <c r="K947" s="4">
        <f t="shared" si="170"/>
        <v>44779</v>
      </c>
      <c r="L947" s="5">
        <f t="shared" si="171"/>
        <v>8</v>
      </c>
      <c r="M947" s="5">
        <f t="shared" si="172"/>
        <v>2022</v>
      </c>
      <c r="N947" s="6">
        <v>864</v>
      </c>
      <c r="O947" s="6">
        <f>-N947</f>
        <v>-864</v>
      </c>
      <c r="P947" s="6">
        <f t="shared" si="176"/>
        <v>0</v>
      </c>
      <c r="Q947" s="7">
        <f t="shared" si="173"/>
        <v>1693214.3500000006</v>
      </c>
      <c r="R947" s="44" t="str">
        <f>VLOOKUP(F947,'Set up'!$A$2:$E$70,5,FALSE)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68"/>
        <v>8</v>
      </c>
      <c r="C948" s="5">
        <f t="shared" si="169"/>
        <v>2022</v>
      </c>
      <c r="D948" s="5" t="s">
        <v>898</v>
      </c>
      <c r="E948" s="5" t="str">
        <f>VLOOKUP(F948,'Set up'!$A$2:$C$70,2,FALSE)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up'!$A$2:$C$70,3,FALSE)</f>
        <v>Cash</v>
      </c>
      <c r="J948" s="5">
        <f>VLOOKUP(F948,'Set up'!$A$2:$D$70,4,FALSE)</f>
        <v>0</v>
      </c>
      <c r="K948" s="4">
        <f t="shared" si="170"/>
        <v>44782</v>
      </c>
      <c r="L948" s="5">
        <f t="shared" si="171"/>
        <v>8</v>
      </c>
      <c r="M948" s="5">
        <f t="shared" si="172"/>
        <v>2022</v>
      </c>
      <c r="N948" s="6">
        <v>2068</v>
      </c>
      <c r="O948" s="6">
        <f>-N948</f>
        <v>-2068</v>
      </c>
      <c r="P948" s="6">
        <f t="shared" si="176"/>
        <v>0</v>
      </c>
      <c r="Q948" s="7">
        <f t="shared" si="173"/>
        <v>1695282.3500000006</v>
      </c>
      <c r="R948" s="44" t="str">
        <f>VLOOKUP(F948,'Set up'!$A$2:$E$70,5,FALSE)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68"/>
        <v>8</v>
      </c>
      <c r="C949" s="5">
        <f t="shared" si="169"/>
        <v>2022</v>
      </c>
      <c r="D949" s="5" t="s">
        <v>899</v>
      </c>
      <c r="E949" s="5" t="str">
        <f>VLOOKUP(F949,'Set up'!$A$2:$C$70,2,FALSE)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up'!$A$2:$C$70,3,FALSE)</f>
        <v>Cash</v>
      </c>
      <c r="J949" s="5">
        <f>VLOOKUP(F949,'Set up'!$A$2:$D$70,4,FALSE)</f>
        <v>0</v>
      </c>
      <c r="K949" s="4">
        <f t="shared" si="170"/>
        <v>44785</v>
      </c>
      <c r="L949" s="5">
        <f t="shared" si="171"/>
        <v>8</v>
      </c>
      <c r="M949" s="5">
        <f t="shared" si="172"/>
        <v>2022</v>
      </c>
      <c r="N949" s="6">
        <v>2068</v>
      </c>
      <c r="O949" s="6">
        <f t="shared" ref="O949:O953" si="181">-N949</f>
        <v>-2068</v>
      </c>
      <c r="P949" s="6">
        <f t="shared" si="176"/>
        <v>0</v>
      </c>
      <c r="Q949" s="7">
        <f t="shared" si="173"/>
        <v>1697350.3500000006</v>
      </c>
      <c r="R949" s="44" t="str">
        <f>VLOOKUP(F949,'Set up'!$A$2:$E$70,5,FALSE)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68"/>
        <v>8</v>
      </c>
      <c r="C950" s="5">
        <f t="shared" si="169"/>
        <v>2022</v>
      </c>
      <c r="D950" s="5" t="s">
        <v>899</v>
      </c>
      <c r="E950" s="5" t="str">
        <f>VLOOKUP(F950,'Set up'!$A$2:$C$70,2,FALSE)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up'!$A$2:$C$70,3,FALSE)</f>
        <v>Cash</v>
      </c>
      <c r="J950" s="5">
        <f>VLOOKUP(F950,'Set up'!$A$2:$D$70,4,FALSE)</f>
        <v>0</v>
      </c>
      <c r="K950" s="4">
        <f t="shared" si="170"/>
        <v>44785</v>
      </c>
      <c r="L950" s="5">
        <f t="shared" si="171"/>
        <v>8</v>
      </c>
      <c r="M950" s="5">
        <f t="shared" si="172"/>
        <v>2022</v>
      </c>
      <c r="N950" s="6">
        <v>882</v>
      </c>
      <c r="O950" s="6">
        <f t="shared" si="181"/>
        <v>-882</v>
      </c>
      <c r="P950" s="6">
        <f t="shared" si="176"/>
        <v>0</v>
      </c>
      <c r="Q950" s="7">
        <f t="shared" si="173"/>
        <v>1698232.3500000006</v>
      </c>
      <c r="R950" s="44" t="str">
        <f>VLOOKUP(F950,'Set up'!$A$2:$E$70,5,FALSE)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68"/>
        <v>8</v>
      </c>
      <c r="C951" s="5">
        <f t="shared" si="169"/>
        <v>2022</v>
      </c>
      <c r="D951" s="5" t="s">
        <v>899</v>
      </c>
      <c r="E951" s="5" t="str">
        <f>VLOOKUP(F951,'Set up'!$A$2:$C$70,2,FALSE)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up'!$A$2:$C$70,3,FALSE)</f>
        <v>Cash</v>
      </c>
      <c r="J951" s="5">
        <f>VLOOKUP(F951,'Set up'!$A$2:$D$70,4,FALSE)</f>
        <v>0</v>
      </c>
      <c r="K951" s="4">
        <f t="shared" si="170"/>
        <v>44785</v>
      </c>
      <c r="L951" s="5">
        <f t="shared" si="171"/>
        <v>8</v>
      </c>
      <c r="M951" s="5">
        <f t="shared" si="172"/>
        <v>2022</v>
      </c>
      <c r="N951" s="6">
        <v>300</v>
      </c>
      <c r="O951" s="6">
        <f t="shared" si="181"/>
        <v>-300</v>
      </c>
      <c r="P951" s="6">
        <f t="shared" si="176"/>
        <v>0</v>
      </c>
      <c r="Q951" s="7">
        <f t="shared" si="173"/>
        <v>1698532.3500000006</v>
      </c>
      <c r="R951" s="44" t="str">
        <f>VLOOKUP(F951,'Set up'!$A$2:$E$70,5,FALSE)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68"/>
        <v>8</v>
      </c>
      <c r="C952" s="5">
        <f t="shared" si="169"/>
        <v>2022</v>
      </c>
      <c r="D952" s="5" t="s">
        <v>899</v>
      </c>
      <c r="E952" s="5" t="str">
        <f>VLOOKUP(F952,'Set up'!$A$2:$C$70,2,FALSE)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up'!$A$2:$C$70,3,FALSE)</f>
        <v>Cash</v>
      </c>
      <c r="J952" s="5">
        <f>VLOOKUP(F952,'Set up'!$A$2:$D$70,4,FALSE)</f>
        <v>0</v>
      </c>
      <c r="K952" s="4">
        <f t="shared" si="170"/>
        <v>44785</v>
      </c>
      <c r="L952" s="5">
        <f t="shared" si="171"/>
        <v>8</v>
      </c>
      <c r="M952" s="5">
        <f t="shared" si="172"/>
        <v>2022</v>
      </c>
      <c r="N952" s="6">
        <v>62.5</v>
      </c>
      <c r="O952" s="6">
        <f t="shared" si="181"/>
        <v>-62.5</v>
      </c>
      <c r="P952" s="6">
        <f t="shared" si="176"/>
        <v>0</v>
      </c>
      <c r="Q952" s="7">
        <f t="shared" si="173"/>
        <v>1698594.8500000006</v>
      </c>
      <c r="R952" s="44" t="str">
        <f>VLOOKUP(F952,'Set up'!$A$2:$E$70,5,FALSE)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68"/>
        <v>8</v>
      </c>
      <c r="C953" s="5">
        <f t="shared" si="169"/>
        <v>2022</v>
      </c>
      <c r="D953" s="5" t="s">
        <v>899</v>
      </c>
      <c r="E953" s="5" t="str">
        <f>VLOOKUP(F953,'Set up'!$A$2:$C$70,2,FALSE)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up'!$A$2:$C$70,3,FALSE)</f>
        <v>Cash</v>
      </c>
      <c r="J953" s="5">
        <f>VLOOKUP(F953,'Set up'!$A$2:$D$70,4,FALSE)</f>
        <v>0</v>
      </c>
      <c r="K953" s="4">
        <f t="shared" si="170"/>
        <v>44785</v>
      </c>
      <c r="L953" s="5">
        <f t="shared" si="171"/>
        <v>8</v>
      </c>
      <c r="M953" s="5">
        <f t="shared" si="172"/>
        <v>2022</v>
      </c>
      <c r="N953" s="6">
        <v>1000</v>
      </c>
      <c r="O953" s="6">
        <f t="shared" si="181"/>
        <v>-1000</v>
      </c>
      <c r="P953" s="6">
        <f t="shared" si="176"/>
        <v>0</v>
      </c>
      <c r="Q953" s="7">
        <f t="shared" si="173"/>
        <v>1699594.8500000006</v>
      </c>
      <c r="R953" s="44" t="str">
        <f>VLOOKUP(F953,'Set up'!$A$2:$E$70,5,FALSE)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68"/>
        <v>8</v>
      </c>
      <c r="C954" s="5">
        <f t="shared" si="169"/>
        <v>2022</v>
      </c>
      <c r="D954" s="5" t="s">
        <v>900</v>
      </c>
      <c r="E954" s="5" t="e">
        <f>VLOOKUP(F954,'Set up'!$A$2:$C$70,2,FALSE)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up'!$A$2:$C$70,3,FALSE)</f>
        <v>#N/A</v>
      </c>
      <c r="J954" s="5" t="e">
        <f>VLOOKUP(F954,'Set up'!$A$2:$D$70,4,FALSE)</f>
        <v>#N/A</v>
      </c>
      <c r="K954" s="4" t="e">
        <f t="shared" si="170"/>
        <v>#N/A</v>
      </c>
      <c r="L954" s="5" t="e">
        <f t="shared" si="171"/>
        <v>#N/A</v>
      </c>
      <c r="M954" s="5" t="e">
        <f t="shared" si="172"/>
        <v>#N/A</v>
      </c>
      <c r="N954" s="6">
        <v>0</v>
      </c>
      <c r="P954" s="6">
        <f t="shared" si="176"/>
        <v>0</v>
      </c>
      <c r="Q954" s="7">
        <f t="shared" si="173"/>
        <v>1699594.8500000006</v>
      </c>
      <c r="R954" s="44" t="e">
        <f>VLOOKUP(F954,'Set up'!$A$2:$E$70,5,FALSE)</f>
        <v>#N/A</v>
      </c>
    </row>
    <row r="955" spans="1:19" x14ac:dyDescent="0.35">
      <c r="A955" s="4">
        <v>44788</v>
      </c>
      <c r="B955" s="5">
        <f t="shared" si="168"/>
        <v>8</v>
      </c>
      <c r="C955" s="5">
        <f t="shared" si="169"/>
        <v>2022</v>
      </c>
      <c r="D955" s="5" t="s">
        <v>902</v>
      </c>
      <c r="E955" s="5" t="str">
        <f>VLOOKUP(F955,'Set up'!$A$2:$C$70,2,FALSE)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up'!$A$2:$C$70,3,FALSE)</f>
        <v>120</v>
      </c>
      <c r="J955" s="5">
        <f>VLOOKUP(F955,'Set up'!$A$2:$D$70,4,FALSE)</f>
        <v>120</v>
      </c>
      <c r="K955" s="4">
        <f t="shared" si="170"/>
        <v>44908</v>
      </c>
      <c r="L955" s="5">
        <f t="shared" si="171"/>
        <v>12</v>
      </c>
      <c r="M955" s="5">
        <f t="shared" si="172"/>
        <v>2022</v>
      </c>
      <c r="N955" s="6">
        <v>9570</v>
      </c>
      <c r="O955" s="6">
        <f t="shared" ref="O955:O960" si="182">-N955</f>
        <v>-9570</v>
      </c>
      <c r="P955" s="6">
        <f t="shared" si="176"/>
        <v>0</v>
      </c>
      <c r="Q955" s="7">
        <f t="shared" si="173"/>
        <v>1709164.8500000006</v>
      </c>
      <c r="R955" s="44" t="str">
        <f>VLOOKUP(F955,'Set up'!$A$2:$E$70,5,FALSE)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68"/>
        <v>8</v>
      </c>
      <c r="C956" s="5">
        <f t="shared" si="169"/>
        <v>2022</v>
      </c>
      <c r="D956" s="5" t="s">
        <v>902</v>
      </c>
      <c r="E956" s="5" t="str">
        <f>VLOOKUP(F956,'Set up'!$A$2:$C$70,2,FALSE)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up'!$A$2:$C$70,3,FALSE)</f>
        <v>120</v>
      </c>
      <c r="J956" s="5">
        <f>VLOOKUP(F956,'Set up'!$A$2:$D$70,4,FALSE)</f>
        <v>120</v>
      </c>
      <c r="K956" s="4">
        <f t="shared" si="170"/>
        <v>44908</v>
      </c>
      <c r="L956" s="5">
        <f t="shared" si="171"/>
        <v>12</v>
      </c>
      <c r="M956" s="5">
        <f t="shared" si="172"/>
        <v>2022</v>
      </c>
      <c r="N956" s="6">
        <v>1957.5</v>
      </c>
      <c r="O956" s="6">
        <f t="shared" si="182"/>
        <v>-1957.5</v>
      </c>
      <c r="P956" s="6">
        <f t="shared" si="176"/>
        <v>0</v>
      </c>
      <c r="Q956" s="7">
        <f t="shared" si="173"/>
        <v>1711122.3500000006</v>
      </c>
      <c r="R956" s="44" t="str">
        <f>VLOOKUP(F956,'Set up'!$A$2:$E$70,5,FALSE)</f>
        <v>Chq</v>
      </c>
      <c r="S956" s="1" t="s">
        <v>1087</v>
      </c>
    </row>
    <row r="957" spans="1:19" x14ac:dyDescent="0.35">
      <c r="A957" s="4">
        <v>44788</v>
      </c>
      <c r="B957" s="5">
        <f t="shared" si="168"/>
        <v>8</v>
      </c>
      <c r="C957" s="5">
        <f t="shared" si="169"/>
        <v>2022</v>
      </c>
      <c r="D957" s="5" t="s">
        <v>902</v>
      </c>
      <c r="E957" s="5" t="str">
        <f>VLOOKUP(F957,'Set up'!$A$2:$C$70,2,FALSE)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up'!$A$2:$C$70,3,FALSE)</f>
        <v>120</v>
      </c>
      <c r="J957" s="5">
        <f>VLOOKUP(F957,'Set up'!$A$2:$D$70,4,FALSE)</f>
        <v>120</v>
      </c>
      <c r="K957" s="4">
        <f t="shared" si="170"/>
        <v>44908</v>
      </c>
      <c r="L957" s="5">
        <f t="shared" si="171"/>
        <v>12</v>
      </c>
      <c r="M957" s="5">
        <f t="shared" si="172"/>
        <v>2022</v>
      </c>
      <c r="N957" s="6">
        <v>2358.4</v>
      </c>
      <c r="O957" s="6">
        <f t="shared" si="182"/>
        <v>-2358.4</v>
      </c>
      <c r="P957" s="6">
        <f t="shared" si="176"/>
        <v>0</v>
      </c>
      <c r="Q957" s="7">
        <f t="shared" si="173"/>
        <v>1713480.7500000005</v>
      </c>
      <c r="R957" s="44" t="str">
        <f>VLOOKUP(F957,'Set up'!$A$2:$E$70,5,FALSE)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68"/>
        <v>8</v>
      </c>
      <c r="C958" s="5">
        <f t="shared" si="169"/>
        <v>2022</v>
      </c>
      <c r="D958" s="5" t="s">
        <v>902</v>
      </c>
      <c r="E958" s="5" t="str">
        <f>VLOOKUP(F958,'Set up'!$A$2:$C$70,2,FALSE)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up'!$A$2:$C$70,3,FALSE)</f>
        <v>120</v>
      </c>
      <c r="J958" s="5">
        <f>VLOOKUP(F958,'Set up'!$A$2:$D$70,4,FALSE)</f>
        <v>120</v>
      </c>
      <c r="K958" s="4">
        <f t="shared" si="170"/>
        <v>44908</v>
      </c>
      <c r="L958" s="5">
        <f t="shared" si="171"/>
        <v>12</v>
      </c>
      <c r="M958" s="5">
        <f t="shared" si="172"/>
        <v>2022</v>
      </c>
      <c r="N958" s="6">
        <v>1900.8</v>
      </c>
      <c r="O958" s="6">
        <f t="shared" si="182"/>
        <v>-1900.8</v>
      </c>
      <c r="P958" s="6">
        <f t="shared" si="176"/>
        <v>0</v>
      </c>
      <c r="Q958" s="7">
        <f t="shared" si="173"/>
        <v>1715381.5500000005</v>
      </c>
      <c r="R958" s="44" t="str">
        <f>VLOOKUP(F958,'Set up'!$A$2:$E$70,5,FALSE)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68"/>
        <v>8</v>
      </c>
      <c r="C959" s="5">
        <f t="shared" si="169"/>
        <v>2022</v>
      </c>
      <c r="D959" s="5" t="s">
        <v>902</v>
      </c>
      <c r="E959" s="5" t="str">
        <f>VLOOKUP(F959,'Set up'!$A$2:$C$70,2,FALSE)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up'!$A$2:$C$70,3,FALSE)</f>
        <v>120</v>
      </c>
      <c r="J959" s="5">
        <f>VLOOKUP(F959,'Set up'!$A$2:$D$70,4,FALSE)</f>
        <v>120</v>
      </c>
      <c r="K959" s="4">
        <f t="shared" si="170"/>
        <v>44908</v>
      </c>
      <c r="L959" s="5">
        <f t="shared" si="171"/>
        <v>12</v>
      </c>
      <c r="M959" s="5">
        <f t="shared" si="172"/>
        <v>2022</v>
      </c>
      <c r="N959" s="6">
        <v>360</v>
      </c>
      <c r="O959" s="6">
        <f t="shared" si="182"/>
        <v>-360</v>
      </c>
      <c r="P959" s="6">
        <f t="shared" si="176"/>
        <v>0</v>
      </c>
      <c r="Q959" s="7">
        <f t="shared" si="173"/>
        <v>1715741.5500000005</v>
      </c>
      <c r="R959" s="44" t="str">
        <f>VLOOKUP(F959,'Set up'!$A$2:$E$70,5,FALSE)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68"/>
        <v>8</v>
      </c>
      <c r="C960" s="5">
        <f t="shared" si="169"/>
        <v>2022</v>
      </c>
      <c r="D960" s="5" t="s">
        <v>902</v>
      </c>
      <c r="E960" s="5" t="str">
        <f>VLOOKUP(F960,'Set up'!$A$2:$C$70,2,FALSE)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up'!$A$2:$C$70,3,FALSE)</f>
        <v>120</v>
      </c>
      <c r="J960" s="5">
        <f>VLOOKUP(F960,'Set up'!$A$2:$D$70,4,FALSE)</f>
        <v>120</v>
      </c>
      <c r="K960" s="4">
        <f t="shared" si="170"/>
        <v>44908</v>
      </c>
      <c r="L960" s="5">
        <f t="shared" si="171"/>
        <v>12</v>
      </c>
      <c r="M960" s="5">
        <f t="shared" si="172"/>
        <v>2022</v>
      </c>
      <c r="N960" s="6">
        <v>390</v>
      </c>
      <c r="O960" s="6">
        <f t="shared" si="182"/>
        <v>-390</v>
      </c>
      <c r="P960" s="6">
        <f t="shared" si="176"/>
        <v>0</v>
      </c>
      <c r="Q960" s="7">
        <f t="shared" si="173"/>
        <v>1716131.5500000005</v>
      </c>
      <c r="R960" s="44" t="str">
        <f>VLOOKUP(F960,'Set up'!$A$2:$E$70,5,FALSE)</f>
        <v>Chq</v>
      </c>
      <c r="S960" s="1" t="s">
        <v>1087</v>
      </c>
    </row>
    <row r="961" spans="1:21" ht="108.5" x14ac:dyDescent="0.35">
      <c r="A961" s="4">
        <v>44788</v>
      </c>
      <c r="B961" s="5">
        <f t="shared" si="168"/>
        <v>8</v>
      </c>
      <c r="C961" s="5">
        <f t="shared" si="169"/>
        <v>2022</v>
      </c>
      <c r="D961" s="5" t="s">
        <v>906</v>
      </c>
      <c r="E961" s="5" t="str">
        <f>VLOOKUP(F961,'Set up'!$A$2:$C$70,2,FALSE)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up'!$A$2:$C$70,3,FALSE)</f>
        <v>45</v>
      </c>
      <c r="J961" s="5">
        <f>VLOOKUP(F961,'Set up'!$A$2:$D$70,4,FALSE)</f>
        <v>45</v>
      </c>
      <c r="K961" s="4">
        <f t="shared" si="170"/>
        <v>44833</v>
      </c>
      <c r="L961" s="5">
        <f t="shared" si="171"/>
        <v>9</v>
      </c>
      <c r="M961" s="5">
        <f t="shared" si="172"/>
        <v>2022</v>
      </c>
      <c r="N961" s="6">
        <v>6336</v>
      </c>
      <c r="O961" s="6">
        <f>-2000-2000-2000-336</f>
        <v>-6336</v>
      </c>
      <c r="P961" s="6">
        <f t="shared" si="176"/>
        <v>0</v>
      </c>
      <c r="Q961" s="7">
        <f t="shared" si="173"/>
        <v>1722467.5500000005</v>
      </c>
      <c r="R961" s="44" t="str">
        <f>VLOOKUP(F961,'Set up'!$A$2:$E$70,5,FALSE)</f>
        <v>PD Chq</v>
      </c>
      <c r="S961" s="40" t="s">
        <v>1028</v>
      </c>
      <c r="U961" s="1" t="s">
        <v>3603</v>
      </c>
    </row>
    <row r="962" spans="1:21" x14ac:dyDescent="0.35">
      <c r="A962" s="4">
        <v>44788</v>
      </c>
      <c r="B962" s="5">
        <f t="shared" si="168"/>
        <v>8</v>
      </c>
      <c r="C962" s="5">
        <f t="shared" si="169"/>
        <v>2022</v>
      </c>
      <c r="D962" s="5" t="s">
        <v>906</v>
      </c>
      <c r="E962" s="5" t="str">
        <f>VLOOKUP(F962,'Set up'!$A$2:$C$70,2,FALSE)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up'!$A$2:$C$70,3,FALSE)</f>
        <v>45</v>
      </c>
      <c r="J962" s="5">
        <f>VLOOKUP(F962,'Set up'!$A$2:$D$70,4,FALSE)</f>
        <v>45</v>
      </c>
      <c r="K962" s="4">
        <f t="shared" si="170"/>
        <v>44833</v>
      </c>
      <c r="L962" s="5">
        <f t="shared" si="171"/>
        <v>9</v>
      </c>
      <c r="M962" s="5">
        <f t="shared" si="172"/>
        <v>2022</v>
      </c>
      <c r="N962" s="6">
        <v>195</v>
      </c>
      <c r="O962" s="6">
        <f>-N962</f>
        <v>-195</v>
      </c>
      <c r="P962" s="6">
        <f t="shared" si="176"/>
        <v>0</v>
      </c>
      <c r="Q962" s="7">
        <f t="shared" si="173"/>
        <v>1722662.5500000005</v>
      </c>
      <c r="R962" s="44" t="str">
        <f>VLOOKUP(F962,'Set up'!$A$2:$E$70,5,FALSE)</f>
        <v>PD Chq</v>
      </c>
      <c r="S962" s="1" t="s">
        <v>1029</v>
      </c>
      <c r="U962" s="1" t="s">
        <v>3603</v>
      </c>
    </row>
    <row r="963" spans="1:21" x14ac:dyDescent="0.35">
      <c r="A963" s="4">
        <v>44788</v>
      </c>
      <c r="B963" s="5">
        <f t="shared" ref="B963:B1026" si="183">MONTH(A963)</f>
        <v>8</v>
      </c>
      <c r="C963" s="5">
        <f t="shared" ref="C963:C1026" si="184">YEAR(A963)</f>
        <v>2022</v>
      </c>
      <c r="D963" s="5" t="s">
        <v>906</v>
      </c>
      <c r="E963" s="5" t="str">
        <f>VLOOKUP(F963,'Set up'!$A$2:$C$70,2,FALSE)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up'!$A$2:$C$70,3,FALSE)</f>
        <v>45</v>
      </c>
      <c r="J963" s="5">
        <f>VLOOKUP(F963,'Set up'!$A$2:$D$70,4,FALSE)</f>
        <v>45</v>
      </c>
      <c r="K963" s="4">
        <f t="shared" ref="K963:K1026" si="185">A963+J963</f>
        <v>44833</v>
      </c>
      <c r="L963" s="5">
        <f t="shared" ref="L963:L1026" si="186">MONTH(K963)</f>
        <v>9</v>
      </c>
      <c r="M963" s="5">
        <f t="shared" ref="M963:M1026" si="187">YEAR(K963)</f>
        <v>2022</v>
      </c>
      <c r="N963" s="6">
        <v>630</v>
      </c>
      <c r="O963" s="6">
        <f>-N963</f>
        <v>-630</v>
      </c>
      <c r="P963" s="6">
        <f t="shared" si="176"/>
        <v>0</v>
      </c>
      <c r="Q963" s="7">
        <f t="shared" ref="Q963:Q969" si="188">SUM(Q962+N963)</f>
        <v>1723292.5500000005</v>
      </c>
      <c r="R963" s="44" t="str">
        <f>VLOOKUP(F963,'Set up'!$A$2:$E$70,5,FALSE)</f>
        <v>PD Chq</v>
      </c>
      <c r="S963" s="1" t="s">
        <v>1029</v>
      </c>
      <c r="U963" s="1" t="s">
        <v>3603</v>
      </c>
    </row>
    <row r="964" spans="1:21" x14ac:dyDescent="0.35">
      <c r="A964" s="4">
        <v>44788</v>
      </c>
      <c r="B964" s="5">
        <f t="shared" si="183"/>
        <v>8</v>
      </c>
      <c r="C964" s="5">
        <f t="shared" si="184"/>
        <v>2022</v>
      </c>
      <c r="D964" s="5" t="s">
        <v>906</v>
      </c>
      <c r="E964" s="5" t="str">
        <f>VLOOKUP(F964,'Set up'!$A$2:$C$70,2,FALSE)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up'!$A$2:$C$70,3,FALSE)</f>
        <v>45</v>
      </c>
      <c r="J964" s="5">
        <f>VLOOKUP(F964,'Set up'!$A$2:$D$70,4,FALSE)</f>
        <v>45</v>
      </c>
      <c r="K964" s="4">
        <f t="shared" si="185"/>
        <v>44833</v>
      </c>
      <c r="L964" s="5">
        <f t="shared" si="186"/>
        <v>9</v>
      </c>
      <c r="M964" s="5">
        <f t="shared" si="187"/>
        <v>2022</v>
      </c>
      <c r="N964" s="6">
        <v>45</v>
      </c>
      <c r="O964" s="6">
        <f>-N964</f>
        <v>-45</v>
      </c>
      <c r="P964" s="6">
        <f t="shared" si="176"/>
        <v>0</v>
      </c>
      <c r="Q964" s="7">
        <f t="shared" si="188"/>
        <v>1723337.5500000005</v>
      </c>
      <c r="R964" s="44" t="str">
        <f>VLOOKUP(F964,'Set up'!$A$2:$E$70,5,FALSE)</f>
        <v>PD Chq</v>
      </c>
      <c r="S964" s="1" t="s">
        <v>1029</v>
      </c>
      <c r="U964" s="1" t="s">
        <v>3603</v>
      </c>
    </row>
    <row r="965" spans="1:21" x14ac:dyDescent="0.35">
      <c r="A965" s="4">
        <v>44788</v>
      </c>
      <c r="B965" s="5">
        <f t="shared" si="183"/>
        <v>8</v>
      </c>
      <c r="C965" s="5">
        <f t="shared" si="184"/>
        <v>2022</v>
      </c>
      <c r="D965" s="5" t="s">
        <v>906</v>
      </c>
      <c r="E965" s="5" t="str">
        <f>VLOOKUP(F965,'Set up'!$A$2:$C$70,2,FALSE)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up'!$A$2:$C$70,3,FALSE)</f>
        <v>45</v>
      </c>
      <c r="J965" s="5">
        <f>VLOOKUP(F965,'Set up'!$A$2:$D$70,4,FALSE)</f>
        <v>45</v>
      </c>
      <c r="K965" s="4">
        <f t="shared" si="185"/>
        <v>44833</v>
      </c>
      <c r="L965" s="5">
        <f t="shared" si="186"/>
        <v>9</v>
      </c>
      <c r="M965" s="5">
        <f t="shared" si="187"/>
        <v>2022</v>
      </c>
      <c r="N965" s="6">
        <v>315</v>
      </c>
      <c r="O965" s="6">
        <f>-N965</f>
        <v>-315</v>
      </c>
      <c r="P965" s="6">
        <f t="shared" si="176"/>
        <v>0</v>
      </c>
      <c r="Q965" s="7">
        <f t="shared" si="188"/>
        <v>1723652.5500000005</v>
      </c>
      <c r="R965" s="44" t="str">
        <f>VLOOKUP(F965,'Set up'!$A$2:$E$70,5,FALSE)</f>
        <v>PD Chq</v>
      </c>
      <c r="S965" s="1" t="s">
        <v>1029</v>
      </c>
      <c r="U965" s="1" t="s">
        <v>3603</v>
      </c>
    </row>
    <row r="966" spans="1:21" x14ac:dyDescent="0.35">
      <c r="A966" s="4">
        <v>44789</v>
      </c>
      <c r="B966" s="5">
        <f t="shared" si="183"/>
        <v>8</v>
      </c>
      <c r="C966" s="5">
        <f t="shared" si="184"/>
        <v>2022</v>
      </c>
      <c r="D966" s="5" t="s">
        <v>907</v>
      </c>
      <c r="E966" s="5" t="str">
        <f>VLOOKUP(F966,'Set up'!$A$2:$C$70,2,FALSE)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up'!$A$2:$C$70,3,FALSE)</f>
        <v>Cash</v>
      </c>
      <c r="J966" s="5">
        <f>VLOOKUP(F966,'Set up'!$A$2:$D$70,4,FALSE)</f>
        <v>0</v>
      </c>
      <c r="K966" s="4">
        <f t="shared" si="185"/>
        <v>44789</v>
      </c>
      <c r="L966" s="5">
        <f t="shared" si="186"/>
        <v>8</v>
      </c>
      <c r="M966" s="5">
        <f t="shared" si="187"/>
        <v>2022</v>
      </c>
      <c r="N966" s="6">
        <v>2002</v>
      </c>
      <c r="O966" s="6">
        <f t="shared" ref="O966:O977" si="189">-N966</f>
        <v>-2002</v>
      </c>
      <c r="P966" s="6">
        <f t="shared" si="176"/>
        <v>0</v>
      </c>
      <c r="Q966" s="7">
        <f t="shared" si="188"/>
        <v>1725654.5500000005</v>
      </c>
      <c r="R966" s="44" t="str">
        <f>VLOOKUP(F966,'Set up'!$A$2:$E$70,5,FALSE)</f>
        <v>PD Chq</v>
      </c>
      <c r="S966" s="1" t="s">
        <v>1025</v>
      </c>
    </row>
    <row r="967" spans="1:21" x14ac:dyDescent="0.35">
      <c r="A967" s="4">
        <v>44789</v>
      </c>
      <c r="B967" s="5">
        <f t="shared" si="183"/>
        <v>8</v>
      </c>
      <c r="C967" s="5">
        <f t="shared" si="184"/>
        <v>2022</v>
      </c>
      <c r="D967" s="5" t="s">
        <v>907</v>
      </c>
      <c r="E967" s="5" t="str">
        <f>VLOOKUP(F967,'Set up'!$A$2:$C$70,2,FALSE)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up'!$A$2:$C$70,3,FALSE)</f>
        <v>Cash</v>
      </c>
      <c r="J967" s="5">
        <f>VLOOKUP(F967,'Set up'!$A$2:$D$70,4,FALSE)</f>
        <v>0</v>
      </c>
      <c r="K967" s="4">
        <f t="shared" si="185"/>
        <v>44789</v>
      </c>
      <c r="L967" s="5">
        <f t="shared" si="186"/>
        <v>8</v>
      </c>
      <c r="M967" s="5">
        <f t="shared" si="187"/>
        <v>2022</v>
      </c>
      <c r="N967" s="6">
        <v>1054.5</v>
      </c>
      <c r="O967" s="6">
        <f t="shared" si="189"/>
        <v>-1054.5</v>
      </c>
      <c r="P967" s="6">
        <f t="shared" si="176"/>
        <v>0</v>
      </c>
      <c r="Q967" s="7">
        <f t="shared" si="188"/>
        <v>1726709.0500000005</v>
      </c>
      <c r="R967" s="44" t="str">
        <f>VLOOKUP(F967,'Set up'!$A$2:$E$70,5,FALSE)</f>
        <v>PD Chq</v>
      </c>
      <c r="S967" s="1" t="s">
        <v>1025</v>
      </c>
    </row>
    <row r="968" spans="1:21" x14ac:dyDescent="0.35">
      <c r="A968" s="4">
        <v>44789</v>
      </c>
      <c r="B968" s="5">
        <f t="shared" si="183"/>
        <v>8</v>
      </c>
      <c r="C968" s="5">
        <f t="shared" si="184"/>
        <v>2022</v>
      </c>
      <c r="D968" s="5" t="s">
        <v>907</v>
      </c>
      <c r="E968" s="5" t="str">
        <f>VLOOKUP(F968,'Set up'!$A$2:$C$70,2,FALSE)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up'!$A$2:$C$70,3,FALSE)</f>
        <v>Cash</v>
      </c>
      <c r="J968" s="5">
        <f>VLOOKUP(F968,'Set up'!$A$2:$D$70,4,FALSE)</f>
        <v>0</v>
      </c>
      <c r="K968" s="4">
        <f t="shared" si="185"/>
        <v>44789</v>
      </c>
      <c r="L968" s="5">
        <f t="shared" si="186"/>
        <v>8</v>
      </c>
      <c r="M968" s="5">
        <f t="shared" si="187"/>
        <v>2022</v>
      </c>
      <c r="N968" s="6">
        <v>90</v>
      </c>
      <c r="O968" s="6">
        <f t="shared" si="189"/>
        <v>-90</v>
      </c>
      <c r="P968" s="6">
        <f t="shared" si="176"/>
        <v>0</v>
      </c>
      <c r="Q968" s="7">
        <f t="shared" si="188"/>
        <v>1726799.0500000005</v>
      </c>
      <c r="R968" s="44" t="str">
        <f>VLOOKUP(F968,'Set up'!$A$2:$E$70,5,FALSE)</f>
        <v>PD Chq</v>
      </c>
      <c r="S968" s="1" t="s">
        <v>1025</v>
      </c>
    </row>
    <row r="969" spans="1:21" x14ac:dyDescent="0.35">
      <c r="A969" s="4">
        <v>44789</v>
      </c>
      <c r="B969" s="5">
        <f t="shared" si="183"/>
        <v>8</v>
      </c>
      <c r="C969" s="5">
        <f t="shared" si="184"/>
        <v>2022</v>
      </c>
      <c r="D969" s="5" t="s">
        <v>907</v>
      </c>
      <c r="E969" s="5" t="str">
        <f>VLOOKUP(F969,'Set up'!$A$2:$C$70,2,FALSE)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up'!$A$2:$C$70,3,FALSE)</f>
        <v>Cash</v>
      </c>
      <c r="J969" s="5">
        <f>VLOOKUP(F969,'Set up'!$A$2:$D$70,4,FALSE)</f>
        <v>0</v>
      </c>
      <c r="K969" s="4">
        <f t="shared" si="185"/>
        <v>44789</v>
      </c>
      <c r="L969" s="5">
        <f t="shared" si="186"/>
        <v>8</v>
      </c>
      <c r="M969" s="5">
        <f t="shared" si="187"/>
        <v>2022</v>
      </c>
      <c r="N969" s="6">
        <v>312.5</v>
      </c>
      <c r="O969" s="6">
        <f t="shared" si="189"/>
        <v>-312.5</v>
      </c>
      <c r="P969" s="6">
        <f t="shared" si="176"/>
        <v>0</v>
      </c>
      <c r="Q969" s="7">
        <f t="shared" si="188"/>
        <v>1727111.5500000005</v>
      </c>
      <c r="R969" s="44" t="str">
        <f>VLOOKUP(F969,'Set up'!$A$2:$E$70,5,FALSE)</f>
        <v>PD Chq</v>
      </c>
      <c r="S969" s="1" t="s">
        <v>1025</v>
      </c>
    </row>
    <row r="970" spans="1:21" x14ac:dyDescent="0.35">
      <c r="A970" s="4">
        <v>44796</v>
      </c>
      <c r="B970" s="5">
        <f t="shared" si="183"/>
        <v>8</v>
      </c>
      <c r="C970" s="5">
        <f t="shared" si="184"/>
        <v>2022</v>
      </c>
      <c r="D970" s="5" t="s">
        <v>909</v>
      </c>
      <c r="E970" s="5" t="str">
        <f>VLOOKUP(F970,'Set up'!$A$2:$C$70,2,FALSE)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up'!$A$2:$C$70,3,FALSE)</f>
        <v>Cash</v>
      </c>
      <c r="J970" s="5">
        <f>VLOOKUP(F970,'Set up'!$A$2:$D$70,4,FALSE)</f>
        <v>0</v>
      </c>
      <c r="K970" s="4">
        <f t="shared" si="185"/>
        <v>44796</v>
      </c>
      <c r="L970" s="5">
        <f t="shared" si="186"/>
        <v>8</v>
      </c>
      <c r="M970" s="5">
        <f t="shared" si="187"/>
        <v>2022</v>
      </c>
      <c r="N970" s="6">
        <v>4004</v>
      </c>
      <c r="O970" s="6">
        <f t="shared" si="189"/>
        <v>-4004</v>
      </c>
      <c r="P970" s="6">
        <f t="shared" ref="P970:P977" si="190">SUM(N970+O970)</f>
        <v>0</v>
      </c>
      <c r="Q970" s="7">
        <f t="shared" ref="Q970:Q977" si="191">SUM(Q969+N970)</f>
        <v>1731115.5500000005</v>
      </c>
      <c r="R970" s="44" t="str">
        <f>VLOOKUP(F970,'Set up'!$A$2:$E$70,5,FALSE)</f>
        <v>Trsf</v>
      </c>
      <c r="S970" s="1" t="s">
        <v>1033</v>
      </c>
    </row>
    <row r="971" spans="1:21" x14ac:dyDescent="0.35">
      <c r="A971" s="4">
        <v>44796</v>
      </c>
      <c r="B971" s="5">
        <f t="shared" si="183"/>
        <v>8</v>
      </c>
      <c r="C971" s="5">
        <f t="shared" si="184"/>
        <v>2022</v>
      </c>
      <c r="D971" s="5" t="s">
        <v>909</v>
      </c>
      <c r="E971" s="5" t="str">
        <f>VLOOKUP(F971,'Set up'!$A$2:$C$70,2,FALSE)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up'!$A$2:$C$70,3,FALSE)</f>
        <v>Cash</v>
      </c>
      <c r="J971" s="5">
        <f>VLOOKUP(F971,'Set up'!$A$2:$D$70,4,FALSE)</f>
        <v>0</v>
      </c>
      <c r="K971" s="4">
        <f t="shared" si="185"/>
        <v>44796</v>
      </c>
      <c r="L971" s="5">
        <f t="shared" si="186"/>
        <v>8</v>
      </c>
      <c r="M971" s="5">
        <f t="shared" si="187"/>
        <v>2022</v>
      </c>
      <c r="N971" s="6">
        <v>640</v>
      </c>
      <c r="O971" s="6">
        <f t="shared" si="189"/>
        <v>-640</v>
      </c>
      <c r="P971" s="6">
        <f t="shared" si="190"/>
        <v>0</v>
      </c>
      <c r="Q971" s="7">
        <f t="shared" si="191"/>
        <v>1731755.5500000005</v>
      </c>
      <c r="R971" s="44" t="str">
        <f>VLOOKUP(F971,'Set up'!$A$2:$E$70,5,FALSE)</f>
        <v>Trsf</v>
      </c>
      <c r="S971" s="1" t="s">
        <v>1033</v>
      </c>
    </row>
    <row r="972" spans="1:21" x14ac:dyDescent="0.35">
      <c r="A972" s="4">
        <v>44796</v>
      </c>
      <c r="B972" s="5">
        <f t="shared" si="183"/>
        <v>8</v>
      </c>
      <c r="C972" s="5">
        <f t="shared" si="184"/>
        <v>2022</v>
      </c>
      <c r="D972" s="5" t="s">
        <v>909</v>
      </c>
      <c r="E972" s="5" t="str">
        <f>VLOOKUP(F972,'Set up'!$A$2:$C$70,2,FALSE)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up'!$A$2:$C$70,3,FALSE)</f>
        <v>Cash</v>
      </c>
      <c r="J972" s="5">
        <f>VLOOKUP(F972,'Set up'!$A$2:$D$70,4,FALSE)</f>
        <v>0</v>
      </c>
      <c r="K972" s="4">
        <f t="shared" si="185"/>
        <v>44796</v>
      </c>
      <c r="L972" s="5">
        <f t="shared" si="186"/>
        <v>8</v>
      </c>
      <c r="M972" s="5">
        <f t="shared" si="187"/>
        <v>2022</v>
      </c>
      <c r="N972" s="6">
        <v>180</v>
      </c>
      <c r="O972" s="6">
        <f t="shared" si="189"/>
        <v>-180</v>
      </c>
      <c r="P972" s="6">
        <f t="shared" si="190"/>
        <v>0</v>
      </c>
      <c r="Q972" s="7">
        <f t="shared" si="191"/>
        <v>1731935.5500000005</v>
      </c>
      <c r="R972" s="44" t="str">
        <f>VLOOKUP(F972,'Set up'!$A$2:$E$70,5,FALSE)</f>
        <v>Trsf</v>
      </c>
      <c r="S972" s="1" t="s">
        <v>1033</v>
      </c>
    </row>
    <row r="973" spans="1:21" x14ac:dyDescent="0.35">
      <c r="A973" s="4">
        <v>44796</v>
      </c>
      <c r="B973" s="5">
        <f t="shared" si="183"/>
        <v>8</v>
      </c>
      <c r="C973" s="5">
        <f t="shared" si="184"/>
        <v>2022</v>
      </c>
      <c r="D973" s="5" t="s">
        <v>909</v>
      </c>
      <c r="E973" s="5" t="str">
        <f>VLOOKUP(F973,'Set up'!$A$2:$C$70,2,FALSE)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up'!$A$2:$C$70,3,FALSE)</f>
        <v>Cash</v>
      </c>
      <c r="J973" s="5">
        <f>VLOOKUP(F973,'Set up'!$A$2:$D$70,4,FALSE)</f>
        <v>0</v>
      </c>
      <c r="K973" s="4">
        <f t="shared" si="185"/>
        <v>44796</v>
      </c>
      <c r="L973" s="5">
        <f t="shared" si="186"/>
        <v>8</v>
      </c>
      <c r="M973" s="5">
        <f t="shared" si="187"/>
        <v>2022</v>
      </c>
      <c r="N973" s="6">
        <v>1016</v>
      </c>
      <c r="O973" s="6">
        <f t="shared" si="189"/>
        <v>-1016</v>
      </c>
      <c r="P973" s="6">
        <f t="shared" si="190"/>
        <v>0</v>
      </c>
      <c r="Q973" s="7">
        <f t="shared" si="191"/>
        <v>1732951.5500000005</v>
      </c>
      <c r="R973" s="44" t="str">
        <f>VLOOKUP(F973,'Set up'!$A$2:$E$70,5,FALSE)</f>
        <v>Trsf</v>
      </c>
      <c r="S973" s="1" t="s">
        <v>1033</v>
      </c>
    </row>
    <row r="974" spans="1:21" x14ac:dyDescent="0.35">
      <c r="A974" s="4">
        <v>44796</v>
      </c>
      <c r="B974" s="5">
        <f t="shared" si="183"/>
        <v>8</v>
      </c>
      <c r="C974" s="5">
        <f t="shared" si="184"/>
        <v>2022</v>
      </c>
      <c r="D974" s="5" t="s">
        <v>910</v>
      </c>
      <c r="E974" s="5" t="str">
        <f>VLOOKUP(F974,'Set up'!$A$2:$C$70,2,FALSE)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up'!$A$2:$C$70,3,FALSE)</f>
        <v>Cash</v>
      </c>
      <c r="J974" s="5">
        <f>VLOOKUP(F974,'Set up'!$A$2:$D$70,4,FALSE)</f>
        <v>0</v>
      </c>
      <c r="K974" s="4">
        <f t="shared" si="185"/>
        <v>44796</v>
      </c>
      <c r="L974" s="5">
        <f t="shared" si="186"/>
        <v>8</v>
      </c>
      <c r="M974" s="5">
        <f t="shared" si="187"/>
        <v>2022</v>
      </c>
      <c r="N974" s="6">
        <v>4092</v>
      </c>
      <c r="O974" s="6">
        <f t="shared" si="189"/>
        <v>-4092</v>
      </c>
      <c r="P974" s="6">
        <f t="shared" si="190"/>
        <v>0</v>
      </c>
      <c r="Q974" s="7">
        <f t="shared" si="191"/>
        <v>1737043.5500000005</v>
      </c>
      <c r="R974" s="44" t="str">
        <f>VLOOKUP(F974,'Set up'!$A$2:$E$70,5,FALSE)</f>
        <v>Trsf</v>
      </c>
      <c r="S974" s="1" t="s">
        <v>1208</v>
      </c>
    </row>
    <row r="975" spans="1:21" x14ac:dyDescent="0.35">
      <c r="A975" s="4">
        <v>44796</v>
      </c>
      <c r="B975" s="5">
        <f t="shared" si="183"/>
        <v>8</v>
      </c>
      <c r="C975" s="5">
        <f t="shared" si="184"/>
        <v>2022</v>
      </c>
      <c r="D975" s="5" t="s">
        <v>910</v>
      </c>
      <c r="E975" s="5" t="str">
        <f>VLOOKUP(F975,'Set up'!$A$2:$C$70,2,FALSE)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up'!$A$2:$C$70,3,FALSE)</f>
        <v>Cash</v>
      </c>
      <c r="J975" s="5">
        <f>VLOOKUP(F975,'Set up'!$A$2:$D$70,4,FALSE)</f>
        <v>0</v>
      </c>
      <c r="K975" s="4">
        <f t="shared" si="185"/>
        <v>44796</v>
      </c>
      <c r="L975" s="5">
        <f t="shared" si="186"/>
        <v>8</v>
      </c>
      <c r="M975" s="5">
        <f t="shared" si="187"/>
        <v>2022</v>
      </c>
      <c r="N975" s="6">
        <v>1757.5</v>
      </c>
      <c r="O975" s="6">
        <f t="shared" si="189"/>
        <v>-1757.5</v>
      </c>
      <c r="P975" s="6">
        <f t="shared" si="190"/>
        <v>0</v>
      </c>
      <c r="Q975" s="7">
        <f t="shared" si="191"/>
        <v>1738801.0500000005</v>
      </c>
      <c r="R975" s="44" t="str">
        <f>VLOOKUP(F975,'Set up'!$A$2:$E$70,5,FALSE)</f>
        <v>Trsf</v>
      </c>
      <c r="S975" s="1" t="s">
        <v>1208</v>
      </c>
    </row>
    <row r="976" spans="1:21" x14ac:dyDescent="0.35">
      <c r="A976" s="4">
        <v>44796</v>
      </c>
      <c r="B976" s="5">
        <f t="shared" si="183"/>
        <v>8</v>
      </c>
      <c r="C976" s="5">
        <f t="shared" si="184"/>
        <v>2022</v>
      </c>
      <c r="D976" s="5" t="s">
        <v>910</v>
      </c>
      <c r="E976" s="5" t="str">
        <f>VLOOKUP(F976,'Set up'!$A$2:$C$70,2,FALSE)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up'!$A$2:$C$70,3,FALSE)</f>
        <v>Cash</v>
      </c>
      <c r="J976" s="5">
        <f>VLOOKUP(F976,'Set up'!$A$2:$D$70,4,FALSE)</f>
        <v>0</v>
      </c>
      <c r="K976" s="4">
        <f t="shared" si="185"/>
        <v>44796</v>
      </c>
      <c r="L976" s="5">
        <f t="shared" si="186"/>
        <v>8</v>
      </c>
      <c r="M976" s="5">
        <f t="shared" si="187"/>
        <v>2022</v>
      </c>
      <c r="N976" s="6">
        <v>864</v>
      </c>
      <c r="O976" s="6">
        <f t="shared" si="189"/>
        <v>-864</v>
      </c>
      <c r="P976" s="6">
        <f t="shared" si="190"/>
        <v>0</v>
      </c>
      <c r="Q976" s="7">
        <f t="shared" si="191"/>
        <v>1739665.0500000005</v>
      </c>
      <c r="R976" s="44" t="str">
        <f>VLOOKUP(F976,'Set up'!$A$2:$E$70,5,FALSE)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183"/>
        <v>8</v>
      </c>
      <c r="C977" s="5">
        <f t="shared" si="184"/>
        <v>2022</v>
      </c>
      <c r="D977" s="5" t="s">
        <v>910</v>
      </c>
      <c r="E977" s="5" t="str">
        <f>VLOOKUP(F977,'Set up'!$A$2:$C$70,2,FALSE)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up'!$A$2:$C$70,3,FALSE)</f>
        <v>Cash</v>
      </c>
      <c r="J977" s="5">
        <f>VLOOKUP(F977,'Set up'!$A$2:$D$70,4,FALSE)</f>
        <v>0</v>
      </c>
      <c r="K977" s="4">
        <f t="shared" si="185"/>
        <v>44796</v>
      </c>
      <c r="L977" s="5">
        <f t="shared" si="186"/>
        <v>8</v>
      </c>
      <c r="M977" s="5">
        <f t="shared" si="187"/>
        <v>2022</v>
      </c>
      <c r="N977" s="6">
        <v>125</v>
      </c>
      <c r="O977" s="6">
        <f t="shared" si="189"/>
        <v>-125</v>
      </c>
      <c r="P977" s="6">
        <f t="shared" si="190"/>
        <v>0</v>
      </c>
      <c r="Q977" s="7">
        <f t="shared" si="191"/>
        <v>1739790.0500000005</v>
      </c>
      <c r="R977" s="44" t="str">
        <f>VLOOKUP(F977,'Set up'!$A$2:$E$70,5,FALSE)</f>
        <v>Trsf</v>
      </c>
      <c r="S977" s="1" t="s">
        <v>1208</v>
      </c>
    </row>
    <row r="978" spans="1:19" x14ac:dyDescent="0.35">
      <c r="A978" s="4">
        <v>44796</v>
      </c>
      <c r="B978" s="5">
        <f t="shared" si="183"/>
        <v>8</v>
      </c>
      <c r="C978" s="5">
        <f t="shared" si="184"/>
        <v>2022</v>
      </c>
      <c r="D978" s="5" t="s">
        <v>911</v>
      </c>
      <c r="E978" s="5" t="str">
        <f>VLOOKUP(F978,'Set up'!$A$2:$C$70,2,FALSE)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up'!$A$2:$C$70,3,FALSE)</f>
        <v>60</v>
      </c>
      <c r="J978" s="5">
        <f>VLOOKUP(F978,'Set up'!$A$2:$D$70,4,FALSE)</f>
        <v>60</v>
      </c>
      <c r="K978" s="4">
        <f t="shared" si="185"/>
        <v>44856</v>
      </c>
      <c r="L978" s="5">
        <f t="shared" si="186"/>
        <v>10</v>
      </c>
      <c r="M978" s="5">
        <f t="shared" si="187"/>
        <v>2022</v>
      </c>
      <c r="N978" s="6">
        <v>762</v>
      </c>
      <c r="O978" s="6">
        <f>-N978</f>
        <v>-762</v>
      </c>
      <c r="P978" s="6">
        <f t="shared" ref="P978:P987" si="192">SUM(N978+O978)</f>
        <v>0</v>
      </c>
      <c r="Q978" s="7">
        <f t="shared" ref="Q978:Q987" si="193">SUM(Q977+N978)</f>
        <v>1740552.0500000005</v>
      </c>
      <c r="R978" s="44" t="str">
        <f>VLOOKUP(F978,'Set up'!$A$2:$E$70,5,FALSE)</f>
        <v>Chq</v>
      </c>
      <c r="S978" s="1" t="s">
        <v>1222</v>
      </c>
    </row>
    <row r="979" spans="1:19" x14ac:dyDescent="0.35">
      <c r="A979" s="4">
        <v>44798</v>
      </c>
      <c r="B979" s="5">
        <f t="shared" si="183"/>
        <v>8</v>
      </c>
      <c r="C979" s="5">
        <f t="shared" si="184"/>
        <v>2022</v>
      </c>
      <c r="D979" s="5" t="s">
        <v>912</v>
      </c>
      <c r="E979" s="5" t="str">
        <f>VLOOKUP(F979,'Set up'!$A$2:$C$70,2,FALSE)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up'!$A$2:$C$70,3,FALSE)</f>
        <v>120</v>
      </c>
      <c r="J979" s="5">
        <f>VLOOKUP(F979,'Set up'!$A$2:$D$70,4,FALSE)</f>
        <v>120</v>
      </c>
      <c r="K979" s="4">
        <f t="shared" si="185"/>
        <v>44918</v>
      </c>
      <c r="L979" s="5">
        <f t="shared" si="186"/>
        <v>12</v>
      </c>
      <c r="M979" s="5">
        <f t="shared" si="187"/>
        <v>2022</v>
      </c>
      <c r="N979" s="6">
        <v>11616</v>
      </c>
      <c r="O979" s="6">
        <f t="shared" ref="O979:O983" si="194">-N979</f>
        <v>-11616</v>
      </c>
      <c r="P979" s="6">
        <f t="shared" si="192"/>
        <v>0</v>
      </c>
      <c r="Q979" s="7">
        <f t="shared" si="193"/>
        <v>1752168.0500000005</v>
      </c>
      <c r="R979" s="44" t="str">
        <f>VLOOKUP(F979,'Set up'!$A$2:$E$70,5,FALSE)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183"/>
        <v>8</v>
      </c>
      <c r="C980" s="5">
        <f t="shared" si="184"/>
        <v>2022</v>
      </c>
      <c r="D980" s="5" t="s">
        <v>912</v>
      </c>
      <c r="E980" s="5" t="str">
        <f>VLOOKUP(F980,'Set up'!$A$2:$C$70,2,FALSE)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up'!$A$2:$C$70,3,FALSE)</f>
        <v>120</v>
      </c>
      <c r="J980" s="5">
        <f>VLOOKUP(F980,'Set up'!$A$2:$D$70,4,FALSE)</f>
        <v>120</v>
      </c>
      <c r="K980" s="4">
        <f t="shared" si="185"/>
        <v>44918</v>
      </c>
      <c r="L980" s="5">
        <f t="shared" si="186"/>
        <v>12</v>
      </c>
      <c r="M980" s="5">
        <f t="shared" si="187"/>
        <v>2022</v>
      </c>
      <c r="N980" s="6">
        <v>2670</v>
      </c>
      <c r="O980" s="6">
        <f t="shared" si="194"/>
        <v>-2670</v>
      </c>
      <c r="P980" s="6">
        <f t="shared" si="192"/>
        <v>0</v>
      </c>
      <c r="Q980" s="7">
        <f t="shared" si="193"/>
        <v>1754838.0500000005</v>
      </c>
      <c r="R980" s="44" t="str">
        <f>VLOOKUP(F980,'Set up'!$A$2:$E$70,5,FALSE)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183"/>
        <v>8</v>
      </c>
      <c r="C981" s="5">
        <f t="shared" si="184"/>
        <v>2022</v>
      </c>
      <c r="D981" s="5" t="s">
        <v>912</v>
      </c>
      <c r="E981" s="5" t="str">
        <f>VLOOKUP(F981,'Set up'!$A$2:$C$70,2,FALSE)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up'!$A$2:$C$70,3,FALSE)</f>
        <v>120</v>
      </c>
      <c r="J981" s="5">
        <f>VLOOKUP(F981,'Set up'!$A$2:$D$70,4,FALSE)</f>
        <v>120</v>
      </c>
      <c r="K981" s="4">
        <f t="shared" si="185"/>
        <v>44918</v>
      </c>
      <c r="L981" s="5">
        <f t="shared" si="186"/>
        <v>12</v>
      </c>
      <c r="M981" s="5">
        <f t="shared" si="187"/>
        <v>2022</v>
      </c>
      <c r="N981" s="6">
        <v>550</v>
      </c>
      <c r="O981" s="6">
        <f t="shared" si="194"/>
        <v>-550</v>
      </c>
      <c r="P981" s="6">
        <f t="shared" si="192"/>
        <v>0</v>
      </c>
      <c r="Q981" s="7">
        <f t="shared" si="193"/>
        <v>1755388.0500000005</v>
      </c>
      <c r="R981" s="44" t="str">
        <f>VLOOKUP(F981,'Set up'!$A$2:$E$70,5,FALSE)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183"/>
        <v>8</v>
      </c>
      <c r="C982" s="5">
        <f t="shared" si="184"/>
        <v>2022</v>
      </c>
      <c r="D982" s="5" t="s">
        <v>912</v>
      </c>
      <c r="E982" s="5" t="str">
        <f>VLOOKUP(F982,'Set up'!$A$2:$C$70,2,FALSE)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up'!$A$2:$C$70,3,FALSE)</f>
        <v>120</v>
      </c>
      <c r="J982" s="5">
        <f>VLOOKUP(F982,'Set up'!$A$2:$D$70,4,FALSE)</f>
        <v>120</v>
      </c>
      <c r="K982" s="4">
        <f t="shared" si="185"/>
        <v>44918</v>
      </c>
      <c r="L982" s="5">
        <f t="shared" si="186"/>
        <v>12</v>
      </c>
      <c r="M982" s="5">
        <f t="shared" si="187"/>
        <v>2022</v>
      </c>
      <c r="N982" s="6">
        <v>440</v>
      </c>
      <c r="O982" s="6">
        <f t="shared" si="194"/>
        <v>-440</v>
      </c>
      <c r="P982" s="6">
        <f t="shared" si="192"/>
        <v>0</v>
      </c>
      <c r="Q982" s="7">
        <f t="shared" si="193"/>
        <v>1755828.0500000005</v>
      </c>
      <c r="R982" s="44" t="str">
        <f>VLOOKUP(F982,'Set up'!$A$2:$E$70,5,FALSE)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183"/>
        <v>8</v>
      </c>
      <c r="C983" s="5">
        <f t="shared" si="184"/>
        <v>2022</v>
      </c>
      <c r="D983" s="5" t="s">
        <v>912</v>
      </c>
      <c r="E983" s="5" t="str">
        <f>VLOOKUP(F983,'Set up'!$A$2:$C$70,2,FALSE)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up'!$A$2:$C$70,3,FALSE)</f>
        <v>120</v>
      </c>
      <c r="J983" s="5">
        <f>VLOOKUP(F983,'Set up'!$A$2:$D$70,4,FALSE)</f>
        <v>120</v>
      </c>
      <c r="K983" s="4">
        <f t="shared" si="185"/>
        <v>44918</v>
      </c>
      <c r="L983" s="5">
        <f t="shared" si="186"/>
        <v>12</v>
      </c>
      <c r="M983" s="5">
        <f t="shared" si="187"/>
        <v>2022</v>
      </c>
      <c r="N983" s="6">
        <v>395</v>
      </c>
      <c r="O983" s="6">
        <f t="shared" si="194"/>
        <v>-395</v>
      </c>
      <c r="P983" s="6">
        <f t="shared" si="192"/>
        <v>0</v>
      </c>
      <c r="Q983" s="7">
        <f t="shared" si="193"/>
        <v>1756223.0500000005</v>
      </c>
      <c r="R983" s="44" t="str">
        <f>VLOOKUP(F983,'Set up'!$A$2:$E$70,5,FALSE)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183"/>
        <v>8</v>
      </c>
      <c r="C984" s="5">
        <f t="shared" si="184"/>
        <v>2022</v>
      </c>
      <c r="D984" s="5" t="s">
        <v>914</v>
      </c>
      <c r="E984" s="5" t="str">
        <f>VLOOKUP(F984,'Set up'!$A$2:$C$70,2,FALSE)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up'!$A$2:$C$70,3,FALSE)</f>
        <v>Cash</v>
      </c>
      <c r="J984" s="5">
        <f>VLOOKUP(F984,'Set up'!$A$2:$D$70,4,FALSE)</f>
        <v>0</v>
      </c>
      <c r="K984" s="4">
        <f t="shared" si="185"/>
        <v>44798</v>
      </c>
      <c r="L984" s="5">
        <f t="shared" si="186"/>
        <v>8</v>
      </c>
      <c r="M984" s="5">
        <f t="shared" si="187"/>
        <v>2022</v>
      </c>
      <c r="N984" s="6">
        <v>6006</v>
      </c>
      <c r="O984" s="6">
        <f t="shared" ref="O984" si="195">-N984</f>
        <v>-6006</v>
      </c>
      <c r="P984" s="6">
        <f t="shared" si="192"/>
        <v>0</v>
      </c>
      <c r="Q984" s="7">
        <f t="shared" si="193"/>
        <v>1762229.0500000005</v>
      </c>
      <c r="R984" s="44" t="str">
        <f>VLOOKUP(F984,'Set up'!$A$2:$E$70,5,FALSE)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183"/>
        <v>8</v>
      </c>
      <c r="C985" s="5">
        <f t="shared" si="184"/>
        <v>2022</v>
      </c>
      <c r="D985" s="5" t="s">
        <v>915</v>
      </c>
      <c r="E985" s="5" t="str">
        <f>VLOOKUP(F985,'Set up'!$A$2:$C$70,2,FALSE)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up'!$A$2:$C$70,3,FALSE)</f>
        <v>Cash</v>
      </c>
      <c r="J985" s="5">
        <f>VLOOKUP(F985,'Set up'!$A$2:$D$70,4,FALSE)</f>
        <v>0</v>
      </c>
      <c r="K985" s="4">
        <f t="shared" si="185"/>
        <v>44798</v>
      </c>
      <c r="L985" s="5">
        <f t="shared" si="186"/>
        <v>8</v>
      </c>
      <c r="M985" s="5">
        <f t="shared" si="187"/>
        <v>2022</v>
      </c>
      <c r="N985" s="6">
        <v>4092</v>
      </c>
      <c r="O985" s="6">
        <f>-3000-1000-92</f>
        <v>-4092</v>
      </c>
      <c r="P985" s="6">
        <f t="shared" si="192"/>
        <v>0</v>
      </c>
      <c r="Q985" s="7">
        <f t="shared" si="193"/>
        <v>1766321.0500000005</v>
      </c>
      <c r="R985" s="44" t="str">
        <f>VLOOKUP(F985,'Set up'!$A$2:$E$70,5,FALSE)</f>
        <v>Trsf</v>
      </c>
      <c r="S985" s="1" t="s">
        <v>1018</v>
      </c>
    </row>
    <row r="986" spans="1:19" x14ac:dyDescent="0.35">
      <c r="A986" s="4">
        <v>44798</v>
      </c>
      <c r="B986" s="5">
        <f t="shared" si="183"/>
        <v>8</v>
      </c>
      <c r="C986" s="5">
        <f t="shared" si="184"/>
        <v>2022</v>
      </c>
      <c r="D986" s="5" t="s">
        <v>915</v>
      </c>
      <c r="E986" s="5" t="str">
        <f>VLOOKUP(F986,'Set up'!$A$2:$C$70,2,FALSE)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up'!$A$2:$C$70,3,FALSE)</f>
        <v>Cash</v>
      </c>
      <c r="J986" s="5">
        <f>VLOOKUP(F986,'Set up'!$A$2:$D$70,4,FALSE)</f>
        <v>0</v>
      </c>
      <c r="K986" s="4">
        <f t="shared" si="185"/>
        <v>44798</v>
      </c>
      <c r="L986" s="5">
        <f t="shared" si="186"/>
        <v>8</v>
      </c>
      <c r="M986" s="5">
        <f t="shared" si="187"/>
        <v>2022</v>
      </c>
      <c r="N986" s="6">
        <v>1299.8</v>
      </c>
      <c r="O986" s="6">
        <f>-908-391.8</f>
        <v>-1299.8</v>
      </c>
      <c r="P986" s="6">
        <f t="shared" si="192"/>
        <v>0</v>
      </c>
      <c r="Q986" s="7">
        <f t="shared" si="193"/>
        <v>1767620.8500000006</v>
      </c>
      <c r="R986" s="44" t="str">
        <f>VLOOKUP(F986,'Set up'!$A$2:$E$70,5,FALSE)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183"/>
        <v>8</v>
      </c>
      <c r="C987" s="5">
        <f t="shared" si="184"/>
        <v>2022</v>
      </c>
      <c r="D987" s="5" t="s">
        <v>915</v>
      </c>
      <c r="E987" s="5" t="str">
        <f>VLOOKUP(F987,'Set up'!$A$2:$C$70,2,FALSE)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up'!$A$2:$C$70,3,FALSE)</f>
        <v>Cash</v>
      </c>
      <c r="J987" s="5">
        <f>VLOOKUP(F987,'Set up'!$A$2:$D$70,4,FALSE)</f>
        <v>0</v>
      </c>
      <c r="K987" s="4">
        <f t="shared" si="185"/>
        <v>44798</v>
      </c>
      <c r="L987" s="5">
        <f t="shared" si="186"/>
        <v>8</v>
      </c>
      <c r="M987" s="5">
        <f t="shared" si="187"/>
        <v>2022</v>
      </c>
      <c r="N987" s="6">
        <v>105</v>
      </c>
      <c r="O987" s="6">
        <f t="shared" ref="O987:O993" si="196">-N987</f>
        <v>-105</v>
      </c>
      <c r="P987" s="6">
        <f t="shared" si="192"/>
        <v>0</v>
      </c>
      <c r="Q987" s="7">
        <f t="shared" si="193"/>
        <v>1767725.8500000006</v>
      </c>
      <c r="R987" s="44" t="str">
        <f>VLOOKUP(F987,'Set up'!$A$2:$E$70,5,FALSE)</f>
        <v>Trsf</v>
      </c>
      <c r="S987" s="1" t="s">
        <v>1020</v>
      </c>
    </row>
    <row r="988" spans="1:19" x14ac:dyDescent="0.35">
      <c r="A988" s="4">
        <v>44798</v>
      </c>
      <c r="B988" s="5">
        <f t="shared" si="183"/>
        <v>8</v>
      </c>
      <c r="C988" s="5">
        <f t="shared" si="184"/>
        <v>2022</v>
      </c>
      <c r="D988" s="5" t="s">
        <v>915</v>
      </c>
      <c r="E988" s="5" t="str">
        <f>VLOOKUP(F988,'Set up'!$A$2:$C$70,2,FALSE)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up'!$A$2:$C$70,3,FALSE)</f>
        <v>Cash</v>
      </c>
      <c r="J988" s="5">
        <f>VLOOKUP(F988,'Set up'!$A$2:$D$70,4,FALSE)</f>
        <v>0</v>
      </c>
      <c r="K988" s="4">
        <f t="shared" si="185"/>
        <v>44798</v>
      </c>
      <c r="L988" s="5">
        <f t="shared" si="186"/>
        <v>8</v>
      </c>
      <c r="M988" s="5">
        <f t="shared" si="187"/>
        <v>2022</v>
      </c>
      <c r="N988" s="6">
        <v>390</v>
      </c>
      <c r="O988" s="6">
        <f t="shared" si="196"/>
        <v>-390</v>
      </c>
      <c r="P988" s="6">
        <f t="shared" ref="P988:P1030" si="197">SUM(N988+O988)</f>
        <v>0</v>
      </c>
      <c r="Q988" s="7">
        <f t="shared" ref="Q988:Q989" si="198">SUM(Q987+N988)</f>
        <v>1768115.8500000006</v>
      </c>
      <c r="R988" s="44" t="str">
        <f>VLOOKUP(F988,'Set up'!$A$2:$E$70,5,FALSE)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183"/>
        <v>8</v>
      </c>
      <c r="C989" s="5">
        <f t="shared" si="184"/>
        <v>2022</v>
      </c>
      <c r="D989" s="5" t="s">
        <v>915</v>
      </c>
      <c r="E989" s="5" t="str">
        <f>VLOOKUP(F989,'Set up'!$A$2:$C$70,2,FALSE)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up'!$A$2:$C$70,3,FALSE)</f>
        <v>Cash</v>
      </c>
      <c r="J989" s="5">
        <f>VLOOKUP(F989,'Set up'!$A$2:$D$70,4,FALSE)</f>
        <v>0</v>
      </c>
      <c r="K989" s="4">
        <f t="shared" si="185"/>
        <v>44799</v>
      </c>
      <c r="L989" s="5">
        <f t="shared" si="186"/>
        <v>8</v>
      </c>
      <c r="M989" s="5">
        <f t="shared" si="187"/>
        <v>2022</v>
      </c>
      <c r="N989" s="6">
        <v>250</v>
      </c>
      <c r="O989" s="6">
        <f t="shared" si="196"/>
        <v>-250</v>
      </c>
      <c r="P989" s="6">
        <f t="shared" si="197"/>
        <v>0</v>
      </c>
      <c r="Q989" s="7">
        <f t="shared" si="198"/>
        <v>1768365.8500000006</v>
      </c>
      <c r="R989" s="44" t="str">
        <f>VLOOKUP(F989,'Set up'!$A$2:$E$70,5,FALSE)</f>
        <v>Trsf</v>
      </c>
      <c r="S989" s="1" t="s">
        <v>1022</v>
      </c>
    </row>
    <row r="990" spans="1:19" x14ac:dyDescent="0.35">
      <c r="A990" s="4">
        <v>44806</v>
      </c>
      <c r="B990" s="5">
        <f t="shared" si="183"/>
        <v>9</v>
      </c>
      <c r="C990" s="5">
        <f t="shared" si="184"/>
        <v>2022</v>
      </c>
      <c r="D990" s="5" t="s">
        <v>924</v>
      </c>
      <c r="E990" s="5" t="str">
        <f>VLOOKUP(F990,'Set up'!$A$2:$C$70,2,FALSE)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up'!$A$2:$C$70,3,FALSE)</f>
        <v>Cash</v>
      </c>
      <c r="J990" s="5">
        <f>VLOOKUP(F990,'Set up'!$A$2:$D$70,4,FALSE)</f>
        <v>0</v>
      </c>
      <c r="K990" s="4">
        <f t="shared" si="185"/>
        <v>44806</v>
      </c>
      <c r="L990" s="5">
        <f t="shared" si="186"/>
        <v>9</v>
      </c>
      <c r="M990" s="5">
        <f t="shared" si="187"/>
        <v>2022</v>
      </c>
      <c r="N990" s="96">
        <v>5742</v>
      </c>
      <c r="O990" s="6">
        <f t="shared" si="196"/>
        <v>-5742</v>
      </c>
      <c r="P990" s="6">
        <f t="shared" si="197"/>
        <v>0</v>
      </c>
      <c r="Q990" s="7">
        <f t="shared" ref="Q990:Q1030" si="199">SUM(Q989+N990)</f>
        <v>1774107.8500000006</v>
      </c>
      <c r="R990" s="44" t="str">
        <f>VLOOKUP(F990,'Set up'!$A$2:$E$70,5,FALSE)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183"/>
        <v>9</v>
      </c>
      <c r="C991" s="5">
        <f t="shared" si="184"/>
        <v>2022</v>
      </c>
      <c r="D991" s="5" t="s">
        <v>924</v>
      </c>
      <c r="E991" s="5" t="str">
        <f>VLOOKUP(F991,'Set up'!$A$2:$C$70,2,FALSE)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up'!$A$2:$C$70,3,FALSE)</f>
        <v>Cash</v>
      </c>
      <c r="J991" s="5">
        <f>VLOOKUP(F991,'Set up'!$A$2:$D$70,4,FALSE)</f>
        <v>0</v>
      </c>
      <c r="K991" s="4">
        <f t="shared" si="185"/>
        <v>44806</v>
      </c>
      <c r="L991" s="5">
        <f t="shared" si="186"/>
        <v>9</v>
      </c>
      <c r="M991" s="5">
        <f t="shared" si="187"/>
        <v>2022</v>
      </c>
      <c r="N991" s="96">
        <v>2358.4</v>
      </c>
      <c r="O991" s="6">
        <f t="shared" si="196"/>
        <v>-2358.4</v>
      </c>
      <c r="P991" s="6">
        <f t="shared" si="197"/>
        <v>0</v>
      </c>
      <c r="Q991" s="7">
        <f t="shared" si="199"/>
        <v>1776466.2500000005</v>
      </c>
      <c r="R991" s="44" t="str">
        <f>VLOOKUP(F991,'Set up'!$A$2:$E$70,5,FALSE)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183"/>
        <v>9</v>
      </c>
      <c r="C992" s="5">
        <f t="shared" si="184"/>
        <v>2022</v>
      </c>
      <c r="D992" s="5" t="s">
        <v>924</v>
      </c>
      <c r="E992" s="5" t="str">
        <f>VLOOKUP(F992,'Set up'!$A$2:$C$70,2,FALSE)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up'!$A$2:$C$70,3,FALSE)</f>
        <v>Cash</v>
      </c>
      <c r="J992" s="5">
        <f>VLOOKUP(F992,'Set up'!$A$2:$D$70,4,FALSE)</f>
        <v>0</v>
      </c>
      <c r="K992" s="4">
        <f t="shared" si="185"/>
        <v>44806</v>
      </c>
      <c r="L992" s="5">
        <f t="shared" si="186"/>
        <v>9</v>
      </c>
      <c r="M992" s="5">
        <f t="shared" si="187"/>
        <v>2022</v>
      </c>
      <c r="N992" s="96">
        <v>1056</v>
      </c>
      <c r="O992" s="6">
        <f>-525.3-530.7</f>
        <v>-1056</v>
      </c>
      <c r="P992" s="6">
        <f t="shared" si="197"/>
        <v>0</v>
      </c>
      <c r="Q992" s="7">
        <f t="shared" si="199"/>
        <v>1777522.2500000005</v>
      </c>
      <c r="R992" s="44" t="str">
        <f>VLOOKUP(F992,'Set up'!$A$2:$E$70,5,FALSE)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183"/>
        <v>9</v>
      </c>
      <c r="C993" s="5">
        <f t="shared" si="184"/>
        <v>2022</v>
      </c>
      <c r="D993" s="5" t="s">
        <v>924</v>
      </c>
      <c r="E993" s="5" t="str">
        <f>VLOOKUP(F993,'Set up'!$A$2:$C$70,2,FALSE)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up'!$A$2:$C$70,3,FALSE)</f>
        <v>Cash</v>
      </c>
      <c r="J993" s="5">
        <f>VLOOKUP(F993,'Set up'!$A$2:$D$70,4,FALSE)</f>
        <v>0</v>
      </c>
      <c r="K993" s="4">
        <f t="shared" si="185"/>
        <v>44806</v>
      </c>
      <c r="L993" s="5">
        <f t="shared" si="186"/>
        <v>9</v>
      </c>
      <c r="M993" s="5">
        <f t="shared" si="187"/>
        <v>2022</v>
      </c>
      <c r="N993" s="96">
        <v>187.5</v>
      </c>
      <c r="O993" s="6">
        <f t="shared" si="196"/>
        <v>-187.5</v>
      </c>
      <c r="P993" s="6">
        <f t="shared" si="197"/>
        <v>0</v>
      </c>
      <c r="Q993" s="7">
        <f t="shared" si="199"/>
        <v>1777709.7500000005</v>
      </c>
      <c r="R993" s="44" t="str">
        <f>VLOOKUP(F993,'Set up'!$A$2:$E$70,5,FALSE)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si="183"/>
        <v>9</v>
      </c>
      <c r="C994" s="5">
        <f t="shared" si="184"/>
        <v>2022</v>
      </c>
      <c r="D994" s="5" t="s">
        <v>925</v>
      </c>
      <c r="E994" s="5" t="str">
        <f>VLOOKUP(F994,'Set up'!$A$2:$C$70,2,FALSE)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up'!$A$2:$C$70,3,FALSE)</f>
        <v>60</v>
      </c>
      <c r="J994" s="5">
        <f>VLOOKUP(F994,'Set up'!$A$2:$D$70,4,FALSE)</f>
        <v>60</v>
      </c>
      <c r="K994" s="4">
        <f t="shared" si="185"/>
        <v>44869</v>
      </c>
      <c r="L994" s="5">
        <f t="shared" si="186"/>
        <v>11</v>
      </c>
      <c r="M994" s="5">
        <f t="shared" si="187"/>
        <v>2022</v>
      </c>
      <c r="N994" s="98">
        <v>3784</v>
      </c>
      <c r="O994" s="6">
        <f>-N994</f>
        <v>-3784</v>
      </c>
      <c r="P994" s="6">
        <f t="shared" si="197"/>
        <v>0</v>
      </c>
      <c r="Q994" s="7">
        <f t="shared" si="199"/>
        <v>1781493.7500000005</v>
      </c>
      <c r="R994" s="44" t="str">
        <f>VLOOKUP(F994,'Set up'!$A$2:$E$70,5,FALSE)</f>
        <v>Chq</v>
      </c>
      <c r="S994" s="1" t="s">
        <v>1222</v>
      </c>
    </row>
    <row r="995" spans="1:19" x14ac:dyDescent="0.35">
      <c r="A995" s="4">
        <v>44810</v>
      </c>
      <c r="B995" s="5">
        <f t="shared" si="183"/>
        <v>9</v>
      </c>
      <c r="C995" s="5">
        <f t="shared" si="184"/>
        <v>2022</v>
      </c>
      <c r="D995" s="5" t="s">
        <v>927</v>
      </c>
      <c r="E995" s="5" t="str">
        <f>VLOOKUP(F995,'Set up'!$A$2:$C$70,2,FALSE)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up'!$A$2:$C$70,3,FALSE)</f>
        <v>Cash</v>
      </c>
      <c r="J995" s="5">
        <f>VLOOKUP(F995,'Set up'!$A$2:$D$70,4,FALSE)</f>
        <v>0</v>
      </c>
      <c r="K995" s="4">
        <f t="shared" si="185"/>
        <v>44810</v>
      </c>
      <c r="L995" s="5">
        <f t="shared" si="186"/>
        <v>9</v>
      </c>
      <c r="M995" s="5">
        <f t="shared" si="187"/>
        <v>2022</v>
      </c>
      <c r="N995" s="96">
        <v>5742</v>
      </c>
      <c r="O995" s="6">
        <f>-4281.8-1460.2</f>
        <v>-5742</v>
      </c>
      <c r="P995" s="6">
        <f t="shared" si="197"/>
        <v>0</v>
      </c>
      <c r="Q995" s="7">
        <f t="shared" si="199"/>
        <v>1787235.7500000005</v>
      </c>
      <c r="R995" s="44" t="str">
        <f>VLOOKUP(F995,'Set up'!$A$2:$E$70,5,FALSE)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183"/>
        <v>9</v>
      </c>
      <c r="C996" s="5">
        <f t="shared" si="184"/>
        <v>2022</v>
      </c>
      <c r="D996" s="5" t="s">
        <v>927</v>
      </c>
      <c r="E996" s="5" t="str">
        <f>VLOOKUP(F996,'Set up'!$A$2:$C$70,2,FALSE)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up'!$A$2:$C$70,3,FALSE)</f>
        <v>Cash</v>
      </c>
      <c r="J996" s="5">
        <f>VLOOKUP(F996,'Set up'!$A$2:$D$70,4,FALSE)</f>
        <v>0</v>
      </c>
      <c r="K996" s="4">
        <f t="shared" si="185"/>
        <v>44810</v>
      </c>
      <c r="L996" s="5">
        <f t="shared" si="186"/>
        <v>9</v>
      </c>
      <c r="M996" s="5">
        <f t="shared" si="187"/>
        <v>2022</v>
      </c>
      <c r="N996" s="96">
        <v>3537.6000000000004</v>
      </c>
      <c r="O996" s="6">
        <f t="shared" ref="O996" si="200">-N996</f>
        <v>-3537.6000000000004</v>
      </c>
      <c r="P996" s="6">
        <f t="shared" si="197"/>
        <v>0</v>
      </c>
      <c r="Q996" s="7">
        <f t="shared" si="199"/>
        <v>1790773.3500000006</v>
      </c>
      <c r="R996" s="44" t="str">
        <f>VLOOKUP(F996,'Set up'!$A$2:$E$70,5,FALSE)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183"/>
        <v>9</v>
      </c>
      <c r="C997" s="5">
        <f t="shared" si="184"/>
        <v>2022</v>
      </c>
      <c r="D997" s="5" t="s">
        <v>927</v>
      </c>
      <c r="E997" s="5" t="str">
        <f>VLOOKUP(F997,'Set up'!$A$2:$C$70,2,FALSE)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up'!$A$2:$C$70,3,FALSE)</f>
        <v>Cash</v>
      </c>
      <c r="J997" s="5">
        <f>VLOOKUP(F997,'Set up'!$A$2:$D$70,4,FALSE)</f>
        <v>0</v>
      </c>
      <c r="K997" s="4">
        <f t="shared" si="185"/>
        <v>44810</v>
      </c>
      <c r="L997" s="5">
        <f t="shared" si="186"/>
        <v>9</v>
      </c>
      <c r="M997" s="5">
        <f t="shared" si="187"/>
        <v>2022</v>
      </c>
      <c r="N997" s="96">
        <v>1584</v>
      </c>
      <c r="O997" s="12">
        <f>-2.2-1581.8</f>
        <v>-1584</v>
      </c>
      <c r="P997" s="12">
        <f t="shared" si="197"/>
        <v>0</v>
      </c>
      <c r="Q997" s="7">
        <f t="shared" si="199"/>
        <v>1792357.3500000006</v>
      </c>
      <c r="R997" s="44" t="str">
        <f>VLOOKUP(F997,'Set up'!$A$2:$E$70,5,FALSE)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183"/>
        <v>9</v>
      </c>
      <c r="C998" s="5">
        <f t="shared" si="184"/>
        <v>2022</v>
      </c>
      <c r="D998" s="5" t="s">
        <v>927</v>
      </c>
      <c r="E998" s="5" t="str">
        <f>VLOOKUP(F998,'Set up'!$A$2:$C$70,2,FALSE)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up'!$A$2:$C$70,3,FALSE)</f>
        <v>Cash</v>
      </c>
      <c r="J998" s="5">
        <f>VLOOKUP(F998,'Set up'!$A$2:$D$70,4,FALSE)</f>
        <v>0</v>
      </c>
      <c r="K998" s="4">
        <f t="shared" si="185"/>
        <v>44810</v>
      </c>
      <c r="L998" s="5">
        <f t="shared" si="186"/>
        <v>9</v>
      </c>
      <c r="M998" s="5">
        <f t="shared" si="187"/>
        <v>2022</v>
      </c>
      <c r="N998" s="96">
        <v>250</v>
      </c>
      <c r="O998" s="6">
        <f t="shared" ref="O998:O999" si="201">-N998</f>
        <v>-250</v>
      </c>
      <c r="P998" s="6">
        <f t="shared" si="197"/>
        <v>0</v>
      </c>
      <c r="Q998" s="7">
        <f t="shared" si="199"/>
        <v>1792607.3500000006</v>
      </c>
      <c r="R998" s="44" t="str">
        <f>VLOOKUP(F998,'Set up'!$A$2:$E$70,5,FALSE)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183"/>
        <v>9</v>
      </c>
      <c r="C999" s="5">
        <f t="shared" si="184"/>
        <v>2022</v>
      </c>
      <c r="D999" s="5" t="s">
        <v>927</v>
      </c>
      <c r="E999" s="5" t="str">
        <f>VLOOKUP(F999,'Set up'!$A$2:$C$70,2,FALSE)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up'!$A$2:$C$70,3,FALSE)</f>
        <v>Cash</v>
      </c>
      <c r="J999" s="5">
        <f>VLOOKUP(F999,'Set up'!$A$2:$D$70,4,FALSE)</f>
        <v>0</v>
      </c>
      <c r="K999" s="4">
        <f t="shared" si="185"/>
        <v>44810</v>
      </c>
      <c r="L999" s="5">
        <f t="shared" si="186"/>
        <v>9</v>
      </c>
      <c r="M999" s="5">
        <f t="shared" si="187"/>
        <v>2022</v>
      </c>
      <c r="N999" s="96">
        <v>340</v>
      </c>
      <c r="O999" s="6">
        <f t="shared" si="201"/>
        <v>-340</v>
      </c>
      <c r="P999" s="6">
        <f t="shared" si="197"/>
        <v>0</v>
      </c>
      <c r="Q999" s="7">
        <f t="shared" si="199"/>
        <v>1792947.3500000006</v>
      </c>
      <c r="R999" s="44" t="str">
        <f>VLOOKUP(F999,'Set up'!$A$2:$E$70,5,FALSE)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183"/>
        <v>9</v>
      </c>
      <c r="C1000" s="5">
        <f t="shared" si="184"/>
        <v>2022</v>
      </c>
      <c r="D1000" s="5" t="s">
        <v>930</v>
      </c>
      <c r="E1000" s="5" t="str">
        <f>VLOOKUP(F1000,'Set up'!$A$2:$C$70,2,FALSE)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up'!$A$2:$C$70,3,FALSE)</f>
        <v>Cash</v>
      </c>
      <c r="J1000" s="5">
        <f>VLOOKUP(F1000,'Set up'!$A$2:$D$70,4,FALSE)</f>
        <v>0</v>
      </c>
      <c r="K1000" s="4">
        <f t="shared" si="185"/>
        <v>44813</v>
      </c>
      <c r="L1000" s="5">
        <f t="shared" si="186"/>
        <v>9</v>
      </c>
      <c r="M1000" s="5">
        <f t="shared" si="187"/>
        <v>2022</v>
      </c>
      <c r="N1000" s="6">
        <v>340</v>
      </c>
      <c r="O1000" s="6">
        <f t="shared" ref="O1000:O1002" si="202">-N1000</f>
        <v>-340</v>
      </c>
      <c r="P1000" s="6">
        <f t="shared" si="197"/>
        <v>0</v>
      </c>
      <c r="Q1000" s="7">
        <f t="shared" si="199"/>
        <v>1793287.3500000006</v>
      </c>
      <c r="R1000" s="44" t="str">
        <f>VLOOKUP(F1000,'Set up'!$A$2:$E$70,5,FALSE)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183"/>
        <v>9</v>
      </c>
      <c r="C1001" s="5">
        <f t="shared" si="184"/>
        <v>2022</v>
      </c>
      <c r="D1001" s="5" t="s">
        <v>930</v>
      </c>
      <c r="E1001" s="5" t="str">
        <f>VLOOKUP(F1001,'Set up'!$A$2:$C$70,2,FALSE)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up'!$A$2:$C$70,3,FALSE)</f>
        <v>Cash</v>
      </c>
      <c r="J1001" s="5">
        <f>VLOOKUP(F1001,'Set up'!$A$2:$D$70,4,FALSE)</f>
        <v>0</v>
      </c>
      <c r="K1001" s="4">
        <f t="shared" si="185"/>
        <v>44813</v>
      </c>
      <c r="L1001" s="5">
        <f t="shared" si="186"/>
        <v>9</v>
      </c>
      <c r="M1001" s="5">
        <f t="shared" si="187"/>
        <v>2022</v>
      </c>
      <c r="N1001" s="6">
        <v>2112</v>
      </c>
      <c r="O1001" s="6">
        <f t="shared" si="202"/>
        <v>-2112</v>
      </c>
      <c r="P1001" s="6">
        <f t="shared" si="197"/>
        <v>0</v>
      </c>
      <c r="Q1001" s="7">
        <f t="shared" si="199"/>
        <v>1795399.3500000006</v>
      </c>
      <c r="R1001" s="44" t="str">
        <f>VLOOKUP(F1001,'Set up'!$A$2:$E$70,5,FALSE)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183"/>
        <v>9</v>
      </c>
      <c r="C1002" s="5">
        <f t="shared" si="184"/>
        <v>2022</v>
      </c>
      <c r="D1002" s="5" t="s">
        <v>931</v>
      </c>
      <c r="E1002" s="5" t="str">
        <f>VLOOKUP(F1002,'Set up'!$A$2:$C$70,2,FALSE)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up'!$A$2:$C$70,3,FALSE)</f>
        <v>Cash</v>
      </c>
      <c r="J1002" s="5">
        <f>VLOOKUP(F1002,'Set up'!$A$2:$D$70,4,FALSE)</f>
        <v>0</v>
      </c>
      <c r="K1002" s="4">
        <f t="shared" si="185"/>
        <v>44813</v>
      </c>
      <c r="L1002" s="5">
        <f t="shared" si="186"/>
        <v>9</v>
      </c>
      <c r="M1002" s="5">
        <f t="shared" si="187"/>
        <v>2022</v>
      </c>
      <c r="N1002" s="96">
        <v>1914</v>
      </c>
      <c r="O1002" s="6">
        <f t="shared" si="202"/>
        <v>-1914</v>
      </c>
      <c r="P1002" s="6">
        <f t="shared" si="197"/>
        <v>0</v>
      </c>
      <c r="Q1002" s="7">
        <f t="shared" si="199"/>
        <v>1797313.3500000006</v>
      </c>
      <c r="R1002" s="44" t="str">
        <f>VLOOKUP(F1002,'Set up'!$A$2:$E$70,5,FALSE)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183"/>
        <v>9</v>
      </c>
      <c r="C1003" s="5">
        <f t="shared" si="184"/>
        <v>2022</v>
      </c>
      <c r="D1003" s="5" t="s">
        <v>932</v>
      </c>
      <c r="E1003" s="5" t="str">
        <f>VLOOKUP(F1003,'Set up'!$A$2:$C$70,2,FALSE)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up'!$A$2:$C$70,3,FALSE)</f>
        <v>Cash</v>
      </c>
      <c r="J1003" s="5">
        <f>VLOOKUP(F1003,'Set up'!$A$2:$D$70,4,FALSE)</f>
        <v>0</v>
      </c>
      <c r="K1003" s="4">
        <f t="shared" si="185"/>
        <v>44813</v>
      </c>
      <c r="L1003" s="5">
        <f t="shared" si="186"/>
        <v>9</v>
      </c>
      <c r="M1003" s="5">
        <f t="shared" si="187"/>
        <v>2022</v>
      </c>
      <c r="N1003" s="6">
        <v>1936</v>
      </c>
      <c r="O1003" s="6">
        <f t="shared" ref="O1003:O1005" si="203">-N1003</f>
        <v>-1936</v>
      </c>
      <c r="P1003" s="6">
        <f t="shared" si="197"/>
        <v>0</v>
      </c>
      <c r="Q1003" s="7">
        <f t="shared" si="199"/>
        <v>1799249.3500000006</v>
      </c>
      <c r="R1003" s="44" t="str">
        <f>VLOOKUP(F1003,'Set up'!$A$2:$E$70,5,FALSE)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183"/>
        <v>9</v>
      </c>
      <c r="C1004" s="5">
        <f t="shared" si="184"/>
        <v>2022</v>
      </c>
      <c r="D1004" s="5" t="s">
        <v>932</v>
      </c>
      <c r="E1004" s="5" t="str">
        <f>VLOOKUP(F1004,'Set up'!$A$2:$C$70,2,FALSE)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up'!$A$2:$C$70,3,FALSE)</f>
        <v>Cash</v>
      </c>
      <c r="J1004" s="5">
        <f>VLOOKUP(F1004,'Set up'!$A$2:$D$70,4,FALSE)</f>
        <v>0</v>
      </c>
      <c r="K1004" s="4">
        <f t="shared" si="185"/>
        <v>44813</v>
      </c>
      <c r="L1004" s="5">
        <f t="shared" si="186"/>
        <v>9</v>
      </c>
      <c r="M1004" s="5">
        <f t="shared" si="187"/>
        <v>2022</v>
      </c>
      <c r="N1004" s="6">
        <v>90</v>
      </c>
      <c r="O1004" s="6">
        <f t="shared" si="203"/>
        <v>-90</v>
      </c>
      <c r="P1004" s="6">
        <f t="shared" si="197"/>
        <v>0</v>
      </c>
      <c r="Q1004" s="7">
        <f t="shared" si="199"/>
        <v>1799339.3500000006</v>
      </c>
      <c r="R1004" s="44" t="str">
        <f>VLOOKUP(F1004,'Set up'!$A$2:$E$70,5,FALSE)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183"/>
        <v>9</v>
      </c>
      <c r="C1005" s="5">
        <f t="shared" si="184"/>
        <v>2022</v>
      </c>
      <c r="D1005" s="5" t="s">
        <v>932</v>
      </c>
      <c r="E1005" s="5" t="str">
        <f>VLOOKUP(F1005,'Set up'!$A$2:$C$70,2,FALSE)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up'!$A$2:$C$70,3,FALSE)</f>
        <v>Cash</v>
      </c>
      <c r="J1005" s="5">
        <f>VLOOKUP(F1005,'Set up'!$A$2:$D$70,4,FALSE)</f>
        <v>0</v>
      </c>
      <c r="K1005" s="4">
        <f t="shared" si="185"/>
        <v>44813</v>
      </c>
      <c r="L1005" s="5">
        <f t="shared" si="186"/>
        <v>9</v>
      </c>
      <c r="M1005" s="5">
        <f t="shared" si="187"/>
        <v>2022</v>
      </c>
      <c r="N1005" s="6">
        <v>225</v>
      </c>
      <c r="O1005" s="6">
        <f t="shared" si="203"/>
        <v>-225</v>
      </c>
      <c r="P1005" s="6">
        <f t="shared" si="197"/>
        <v>0</v>
      </c>
      <c r="Q1005" s="7">
        <f t="shared" si="199"/>
        <v>1799564.3500000006</v>
      </c>
      <c r="R1005" s="44" t="str">
        <f>VLOOKUP(F1005,'Set up'!$A$2:$E$70,5,FALSE)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183"/>
        <v>9</v>
      </c>
      <c r="C1006" s="5">
        <f t="shared" si="184"/>
        <v>2022</v>
      </c>
      <c r="D1006" s="5" t="s">
        <v>933</v>
      </c>
      <c r="E1006" s="5" t="str">
        <f>VLOOKUP(F1006,'Set up'!$A$2:$C$70,2,FALSE)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up'!$A$2:$C$70,3,FALSE)</f>
        <v>Cash</v>
      </c>
      <c r="J1006" s="5">
        <f>VLOOKUP(F1006,'Set up'!$A$2:$D$70,4,FALSE)</f>
        <v>0</v>
      </c>
      <c r="K1006" s="4">
        <f t="shared" si="185"/>
        <v>44817</v>
      </c>
      <c r="L1006" s="5">
        <f t="shared" si="186"/>
        <v>9</v>
      </c>
      <c r="M1006" s="5">
        <f t="shared" si="187"/>
        <v>2022</v>
      </c>
      <c r="N1006" s="12">
        <v>7392</v>
      </c>
      <c r="O1006" s="12">
        <f>-5914.2-1477.8</f>
        <v>-7392</v>
      </c>
      <c r="P1006" s="12">
        <f t="shared" si="197"/>
        <v>0</v>
      </c>
      <c r="Q1006" s="7">
        <f t="shared" si="199"/>
        <v>1806956.3500000006</v>
      </c>
      <c r="R1006" s="44" t="str">
        <f>VLOOKUP(F1006,'Set up'!$A$2:$E$70,5,FALSE)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183"/>
        <v>9</v>
      </c>
      <c r="C1007" s="5">
        <f t="shared" si="184"/>
        <v>2022</v>
      </c>
      <c r="D1007" s="5" t="s">
        <v>933</v>
      </c>
      <c r="E1007" s="5" t="str">
        <f>VLOOKUP(F1007,'Set up'!$A$2:$C$70,2,FALSE)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up'!$A$2:$C$70,3,FALSE)</f>
        <v>Cash</v>
      </c>
      <c r="J1007" s="5">
        <f>VLOOKUP(F1007,'Set up'!$A$2:$D$70,4,FALSE)</f>
        <v>0</v>
      </c>
      <c r="K1007" s="4">
        <f t="shared" si="185"/>
        <v>44817</v>
      </c>
      <c r="L1007" s="5">
        <f t="shared" si="186"/>
        <v>9</v>
      </c>
      <c r="M1007" s="5">
        <f t="shared" si="187"/>
        <v>2022</v>
      </c>
      <c r="N1007" s="6">
        <v>2881</v>
      </c>
      <c r="O1007" s="6">
        <f t="shared" ref="O1007:O1015" si="204">-N1007</f>
        <v>-2881</v>
      </c>
      <c r="P1007" s="6">
        <f t="shared" si="197"/>
        <v>0</v>
      </c>
      <c r="Q1007" s="7">
        <f t="shared" si="199"/>
        <v>1809837.3500000006</v>
      </c>
      <c r="R1007" s="44" t="str">
        <f>VLOOKUP(F1007,'Set up'!$A$2:$E$70,5,FALSE)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183"/>
        <v>9</v>
      </c>
      <c r="C1008" s="5">
        <f t="shared" si="184"/>
        <v>2022</v>
      </c>
      <c r="D1008" s="5" t="s">
        <v>933</v>
      </c>
      <c r="E1008" s="5" t="str">
        <f>VLOOKUP(F1008,'Set up'!$A$2:$C$70,2,FALSE)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up'!$A$2:$C$70,3,FALSE)</f>
        <v>Cash</v>
      </c>
      <c r="J1008" s="5">
        <f>VLOOKUP(F1008,'Set up'!$A$2:$D$70,4,FALSE)</f>
        <v>0</v>
      </c>
      <c r="K1008" s="4">
        <f t="shared" si="185"/>
        <v>44817</v>
      </c>
      <c r="L1008" s="5">
        <f t="shared" si="186"/>
        <v>9</v>
      </c>
      <c r="M1008" s="5">
        <f t="shared" si="187"/>
        <v>2022</v>
      </c>
      <c r="N1008" s="6">
        <v>1300</v>
      </c>
      <c r="O1008" s="6">
        <f t="shared" si="204"/>
        <v>-1300</v>
      </c>
      <c r="P1008" s="6">
        <f t="shared" si="197"/>
        <v>0</v>
      </c>
      <c r="Q1008" s="7">
        <f t="shared" si="199"/>
        <v>1811137.3500000006</v>
      </c>
      <c r="R1008" s="44" t="str">
        <f>VLOOKUP(F1008,'Set up'!$A$2:$E$70,5,FALSE)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183"/>
        <v>9</v>
      </c>
      <c r="C1009" s="5">
        <f t="shared" si="184"/>
        <v>2022</v>
      </c>
      <c r="D1009" s="5" t="s">
        <v>933</v>
      </c>
      <c r="E1009" s="5" t="str">
        <f>VLOOKUP(F1009,'Set up'!$A$2:$C$70,2,FALSE)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up'!$A$2:$C$70,3,FALSE)</f>
        <v>Cash</v>
      </c>
      <c r="J1009" s="5">
        <f>VLOOKUP(F1009,'Set up'!$A$2:$D$70,4,FALSE)</f>
        <v>0</v>
      </c>
      <c r="K1009" s="4">
        <f t="shared" si="185"/>
        <v>44817</v>
      </c>
      <c r="L1009" s="5">
        <f t="shared" si="186"/>
        <v>9</v>
      </c>
      <c r="M1009" s="5">
        <f t="shared" si="187"/>
        <v>2022</v>
      </c>
      <c r="N1009" s="6">
        <v>250</v>
      </c>
      <c r="O1009" s="6">
        <f t="shared" si="204"/>
        <v>-250</v>
      </c>
      <c r="P1009" s="6">
        <f t="shared" si="197"/>
        <v>0</v>
      </c>
      <c r="Q1009" s="7">
        <f t="shared" si="199"/>
        <v>1811387.3500000006</v>
      </c>
      <c r="R1009" s="44" t="str">
        <f>VLOOKUP(F1009,'Set up'!$A$2:$E$70,5,FALSE)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183"/>
        <v>9</v>
      </c>
      <c r="C1010" s="5">
        <f t="shared" si="184"/>
        <v>2022</v>
      </c>
      <c r="D1010" s="5" t="s">
        <v>933</v>
      </c>
      <c r="E1010" s="5" t="str">
        <f>VLOOKUP(F1010,'Set up'!$A$2:$C$70,2,FALSE)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up'!$A$2:$C$70,3,FALSE)</f>
        <v>Cash</v>
      </c>
      <c r="J1010" s="5">
        <f>VLOOKUP(F1010,'Set up'!$A$2:$D$70,4,FALSE)</f>
        <v>0</v>
      </c>
      <c r="K1010" s="4">
        <f t="shared" si="185"/>
        <v>44817</v>
      </c>
      <c r="L1010" s="5">
        <f t="shared" si="186"/>
        <v>9</v>
      </c>
      <c r="M1010" s="5">
        <f t="shared" si="187"/>
        <v>2022</v>
      </c>
      <c r="N1010" s="6">
        <v>340</v>
      </c>
      <c r="O1010" s="6">
        <f t="shared" si="204"/>
        <v>-340</v>
      </c>
      <c r="P1010" s="6">
        <f t="shared" si="197"/>
        <v>0</v>
      </c>
      <c r="Q1010" s="7">
        <f t="shared" si="199"/>
        <v>1811727.3500000006</v>
      </c>
      <c r="R1010" s="44" t="str">
        <f>VLOOKUP(F1010,'Set up'!$A$2:$E$70,5,FALSE)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183"/>
        <v>9</v>
      </c>
      <c r="C1011" s="5">
        <f t="shared" si="184"/>
        <v>2022</v>
      </c>
      <c r="D1011" s="5" t="s">
        <v>933</v>
      </c>
      <c r="E1011" s="5" t="str">
        <f>VLOOKUP(F1011,'Set up'!$A$2:$C$70,2,FALSE)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up'!$A$2:$C$70,3,FALSE)</f>
        <v>Cash</v>
      </c>
      <c r="J1011" s="5">
        <f>VLOOKUP(F1011,'Set up'!$A$2:$D$70,4,FALSE)</f>
        <v>0</v>
      </c>
      <c r="K1011" s="4">
        <f t="shared" si="185"/>
        <v>44817</v>
      </c>
      <c r="L1011" s="5">
        <f t="shared" si="186"/>
        <v>9</v>
      </c>
      <c r="M1011" s="5">
        <f t="shared" si="187"/>
        <v>2022</v>
      </c>
      <c r="N1011" s="6">
        <v>1000</v>
      </c>
      <c r="O1011" s="6">
        <f t="shared" si="204"/>
        <v>-1000</v>
      </c>
      <c r="P1011" s="6">
        <f t="shared" si="197"/>
        <v>0</v>
      </c>
      <c r="Q1011" s="7">
        <f t="shared" si="199"/>
        <v>1812727.3500000006</v>
      </c>
      <c r="R1011" s="44" t="str">
        <f>VLOOKUP(F1011,'Set up'!$A$2:$E$70,5,FALSE)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183"/>
        <v>9</v>
      </c>
      <c r="C1012" s="5">
        <f t="shared" si="184"/>
        <v>2022</v>
      </c>
      <c r="D1012" s="5" t="s">
        <v>934</v>
      </c>
      <c r="E1012" s="5" t="str">
        <f>VLOOKUP(F1012,'Set up'!$A$2:$C$70,2,FALSE)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up'!$A$2:$C$70,3,FALSE)</f>
        <v>Cash</v>
      </c>
      <c r="J1012" s="5">
        <f>VLOOKUP(F1012,'Set up'!$A$2:$D$70,4,FALSE)</f>
        <v>0</v>
      </c>
      <c r="K1012" s="4">
        <f t="shared" si="185"/>
        <v>44817</v>
      </c>
      <c r="L1012" s="5">
        <f t="shared" si="186"/>
        <v>9</v>
      </c>
      <c r="M1012" s="5">
        <f t="shared" si="187"/>
        <v>2022</v>
      </c>
      <c r="N1012" s="6">
        <v>7392</v>
      </c>
      <c r="O1012" s="6">
        <f t="shared" si="204"/>
        <v>-7392</v>
      </c>
      <c r="P1012" s="6">
        <f t="shared" si="197"/>
        <v>0</v>
      </c>
      <c r="Q1012" s="7">
        <f t="shared" si="199"/>
        <v>1820119.3500000006</v>
      </c>
      <c r="R1012" s="44" t="str">
        <f>VLOOKUP(F1012,'Set up'!$A$2:$E$70,5,FALSE)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183"/>
        <v>9</v>
      </c>
      <c r="C1013" s="5">
        <f t="shared" si="184"/>
        <v>2022</v>
      </c>
      <c r="D1013" s="5" t="s">
        <v>934</v>
      </c>
      <c r="E1013" s="5" t="str">
        <f>VLOOKUP(F1013,'Set up'!$A$2:$C$70,2,FALSE)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up'!$A$2:$C$70,3,FALSE)</f>
        <v>Cash</v>
      </c>
      <c r="J1013" s="5">
        <f>VLOOKUP(F1013,'Set up'!$A$2:$D$70,4,FALSE)</f>
        <v>0</v>
      </c>
      <c r="K1013" s="4">
        <f t="shared" si="185"/>
        <v>44817</v>
      </c>
      <c r="L1013" s="5">
        <f t="shared" si="186"/>
        <v>9</v>
      </c>
      <c r="M1013" s="5">
        <f t="shared" si="187"/>
        <v>2022</v>
      </c>
      <c r="N1013" s="6">
        <v>2881</v>
      </c>
      <c r="O1013" s="6">
        <f t="shared" si="204"/>
        <v>-2881</v>
      </c>
      <c r="P1013" s="6">
        <f t="shared" si="197"/>
        <v>0</v>
      </c>
      <c r="Q1013" s="7">
        <f t="shared" si="199"/>
        <v>1823000.3500000006</v>
      </c>
      <c r="R1013" s="44" t="str">
        <f>VLOOKUP(F1013,'Set up'!$A$2:$E$70,5,FALSE)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183"/>
        <v>9</v>
      </c>
      <c r="C1014" s="5">
        <f t="shared" si="184"/>
        <v>2022</v>
      </c>
      <c r="D1014" s="5" t="s">
        <v>934</v>
      </c>
      <c r="E1014" s="5" t="str">
        <f>VLOOKUP(F1014,'Set up'!$A$2:$C$70,2,FALSE)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up'!$A$2:$C$70,3,FALSE)</f>
        <v>Cash</v>
      </c>
      <c r="J1014" s="5">
        <f>VLOOKUP(F1014,'Set up'!$A$2:$D$70,4,FALSE)</f>
        <v>0</v>
      </c>
      <c r="K1014" s="4">
        <f t="shared" si="185"/>
        <v>44817</v>
      </c>
      <c r="L1014" s="5">
        <f t="shared" si="186"/>
        <v>9</v>
      </c>
      <c r="M1014" s="5">
        <f t="shared" si="187"/>
        <v>2022</v>
      </c>
      <c r="N1014" s="6">
        <v>1300</v>
      </c>
      <c r="O1014" s="6">
        <f t="shared" si="204"/>
        <v>-1300</v>
      </c>
      <c r="P1014" s="6">
        <f t="shared" si="197"/>
        <v>0</v>
      </c>
      <c r="Q1014" s="7">
        <f t="shared" si="199"/>
        <v>1824300.3500000006</v>
      </c>
      <c r="R1014" s="44" t="str">
        <f>VLOOKUP(F1014,'Set up'!$A$2:$E$70,5,FALSE)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183"/>
        <v>9</v>
      </c>
      <c r="C1015" s="5">
        <f t="shared" si="184"/>
        <v>2022</v>
      </c>
      <c r="D1015" s="5" t="s">
        <v>934</v>
      </c>
      <c r="E1015" s="5" t="str">
        <f>VLOOKUP(F1015,'Set up'!$A$2:$C$70,2,FALSE)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up'!$A$2:$C$70,3,FALSE)</f>
        <v>Cash</v>
      </c>
      <c r="J1015" s="5">
        <f>VLOOKUP(F1015,'Set up'!$A$2:$D$70,4,FALSE)</f>
        <v>0</v>
      </c>
      <c r="K1015" s="4">
        <f t="shared" si="185"/>
        <v>44817</v>
      </c>
      <c r="L1015" s="5">
        <f t="shared" si="186"/>
        <v>9</v>
      </c>
      <c r="M1015" s="5">
        <f t="shared" si="187"/>
        <v>2022</v>
      </c>
      <c r="N1015" s="6">
        <v>250</v>
      </c>
      <c r="O1015" s="6">
        <f t="shared" si="204"/>
        <v>-250</v>
      </c>
      <c r="P1015" s="6">
        <f t="shared" si="197"/>
        <v>0</v>
      </c>
      <c r="Q1015" s="7">
        <f t="shared" si="199"/>
        <v>1824550.3500000006</v>
      </c>
      <c r="R1015" s="44" t="str">
        <f>VLOOKUP(F1015,'Set up'!$A$2:$E$70,5,FALSE)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183"/>
        <v>9</v>
      </c>
      <c r="C1016" s="5">
        <f t="shared" si="184"/>
        <v>2022</v>
      </c>
      <c r="D1016" s="5" t="s">
        <v>936</v>
      </c>
      <c r="E1016" s="5" t="str">
        <f>VLOOKUP(F1016,'Set up'!$A$2:$C$70,2,FALSE)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up'!$A$2:$C$70,3,FALSE)</f>
        <v>Cash</v>
      </c>
      <c r="J1016" s="5">
        <f>VLOOKUP(F1016,'Set up'!$A$2:$D$70,4,FALSE)</f>
        <v>0</v>
      </c>
      <c r="K1016" s="4">
        <f t="shared" si="185"/>
        <v>44818</v>
      </c>
      <c r="L1016" s="5">
        <f t="shared" si="186"/>
        <v>9</v>
      </c>
      <c r="M1016" s="5">
        <f t="shared" si="187"/>
        <v>2022</v>
      </c>
      <c r="N1016" s="6">
        <v>1840</v>
      </c>
      <c r="O1016" s="6">
        <f t="shared" ref="O1016:O1020" si="205">-N1016</f>
        <v>-1840</v>
      </c>
      <c r="P1016" s="6">
        <f t="shared" si="197"/>
        <v>0</v>
      </c>
      <c r="Q1016" s="7">
        <f t="shared" si="199"/>
        <v>1826390.3500000006</v>
      </c>
      <c r="R1016" s="44" t="str">
        <f>VLOOKUP(F1016,'Set up'!$A$2:$E$70,5,FALSE)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183"/>
        <v>9</v>
      </c>
      <c r="C1017" s="5">
        <f t="shared" si="184"/>
        <v>2022</v>
      </c>
      <c r="D1017" s="5" t="s">
        <v>937</v>
      </c>
      <c r="E1017" s="5" t="str">
        <f>VLOOKUP(F1017,'Set up'!$A$2:$C$70,2,FALSE)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up'!$A$2:$C$70,3,FALSE)</f>
        <v>Cash</v>
      </c>
      <c r="J1017" s="5">
        <f>VLOOKUP(F1017,'Set up'!$A$2:$D$70,4,FALSE)</f>
        <v>0</v>
      </c>
      <c r="K1017" s="4">
        <f t="shared" si="185"/>
        <v>44819</v>
      </c>
      <c r="L1017" s="5">
        <f t="shared" si="186"/>
        <v>9</v>
      </c>
      <c r="M1017" s="5">
        <f t="shared" si="187"/>
        <v>2022</v>
      </c>
      <c r="N1017" s="6">
        <v>1936</v>
      </c>
      <c r="O1017" s="6">
        <f t="shared" si="205"/>
        <v>-1936</v>
      </c>
      <c r="P1017" s="6">
        <f t="shared" si="197"/>
        <v>0</v>
      </c>
      <c r="Q1017" s="7">
        <f t="shared" si="199"/>
        <v>1828326.3500000006</v>
      </c>
      <c r="R1017" s="44" t="str">
        <f>VLOOKUP(F1017,'Set up'!$A$2:$E$70,5,FALSE)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183"/>
        <v>9</v>
      </c>
      <c r="C1018" s="5">
        <f t="shared" si="184"/>
        <v>2022</v>
      </c>
      <c r="D1018" s="5" t="s">
        <v>937</v>
      </c>
      <c r="E1018" s="5" t="str">
        <f>VLOOKUP(F1018,'Set up'!$A$2:$C$70,2,FALSE)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up'!$A$2:$C$70,3,FALSE)</f>
        <v>Cash</v>
      </c>
      <c r="J1018" s="5">
        <f>VLOOKUP(F1018,'Set up'!$A$2:$D$70,4,FALSE)</f>
        <v>0</v>
      </c>
      <c r="K1018" s="4">
        <f t="shared" si="185"/>
        <v>44819</v>
      </c>
      <c r="L1018" s="5">
        <f t="shared" si="186"/>
        <v>9</v>
      </c>
      <c r="M1018" s="5">
        <f t="shared" si="187"/>
        <v>2022</v>
      </c>
      <c r="N1018" s="6">
        <v>1317.2</v>
      </c>
      <c r="O1018" s="6">
        <f t="shared" si="205"/>
        <v>-1317.2</v>
      </c>
      <c r="P1018" s="6">
        <f t="shared" si="197"/>
        <v>0</v>
      </c>
      <c r="Q1018" s="7">
        <f t="shared" si="199"/>
        <v>1829643.5500000005</v>
      </c>
      <c r="R1018" s="44" t="str">
        <f>VLOOKUP(F1018,'Set up'!$A$2:$E$70,5,FALSE)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183"/>
        <v>9</v>
      </c>
      <c r="C1019" s="5">
        <f t="shared" si="184"/>
        <v>2022</v>
      </c>
      <c r="D1019" s="5" t="s">
        <v>937</v>
      </c>
      <c r="E1019" s="5" t="str">
        <f>VLOOKUP(F1019,'Set up'!$A$2:$C$70,2,FALSE)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up'!$A$2:$C$70,3,FALSE)</f>
        <v>Cash</v>
      </c>
      <c r="J1019" s="5">
        <f>VLOOKUP(F1019,'Set up'!$A$2:$D$70,4,FALSE)</f>
        <v>0</v>
      </c>
      <c r="K1019" s="4">
        <f t="shared" si="185"/>
        <v>44819</v>
      </c>
      <c r="L1019" s="5">
        <f t="shared" si="186"/>
        <v>9</v>
      </c>
      <c r="M1019" s="5">
        <f t="shared" si="187"/>
        <v>2022</v>
      </c>
      <c r="N1019" s="6">
        <v>90</v>
      </c>
      <c r="O1019" s="6">
        <f t="shared" si="205"/>
        <v>-90</v>
      </c>
      <c r="P1019" s="6">
        <f t="shared" si="197"/>
        <v>0</v>
      </c>
      <c r="Q1019" s="7">
        <f t="shared" si="199"/>
        <v>1829733.5500000005</v>
      </c>
      <c r="R1019" s="44" t="str">
        <f>VLOOKUP(F1019,'Set up'!$A$2:$E$70,5,FALSE)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183"/>
        <v>9</v>
      </c>
      <c r="C1020" s="5">
        <f t="shared" si="184"/>
        <v>2022</v>
      </c>
      <c r="D1020" s="5" t="s">
        <v>937</v>
      </c>
      <c r="E1020" s="5" t="str">
        <f>VLOOKUP(F1020,'Set up'!$A$2:$C$70,2,FALSE)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up'!$A$2:$C$70,3,FALSE)</f>
        <v>Cash</v>
      </c>
      <c r="J1020" s="5">
        <f>VLOOKUP(F1020,'Set up'!$A$2:$D$70,4,FALSE)</f>
        <v>0</v>
      </c>
      <c r="K1020" s="4">
        <f t="shared" si="185"/>
        <v>44819</v>
      </c>
      <c r="L1020" s="5">
        <f t="shared" si="186"/>
        <v>9</v>
      </c>
      <c r="M1020" s="5">
        <f t="shared" si="187"/>
        <v>2022</v>
      </c>
      <c r="N1020" s="6">
        <v>312.5</v>
      </c>
      <c r="O1020" s="6">
        <f t="shared" si="205"/>
        <v>-312.5</v>
      </c>
      <c r="P1020" s="6">
        <f t="shared" si="197"/>
        <v>0</v>
      </c>
      <c r="Q1020" s="7">
        <f t="shared" si="199"/>
        <v>1830046.0500000005</v>
      </c>
      <c r="R1020" s="44" t="str">
        <f>VLOOKUP(F1020,'Set up'!$A$2:$E$70,5,FALSE)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183"/>
        <v>9</v>
      </c>
      <c r="C1021" s="5">
        <f t="shared" si="184"/>
        <v>2022</v>
      </c>
      <c r="D1021" s="5" t="s">
        <v>943</v>
      </c>
      <c r="E1021" s="5" t="str">
        <f>VLOOKUP(F1021,'Set up'!$A$2:$C$70,2,FALSE)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up'!$A$2:$C$70,3,FALSE)</f>
        <v>Cash</v>
      </c>
      <c r="J1021" s="5">
        <f>VLOOKUP(F1021,'Set up'!$A$2:$D$70,4,FALSE)</f>
        <v>0</v>
      </c>
      <c r="K1021" s="4">
        <f t="shared" si="185"/>
        <v>44827</v>
      </c>
      <c r="L1021" s="5">
        <f t="shared" si="186"/>
        <v>9</v>
      </c>
      <c r="M1021" s="5">
        <f t="shared" si="187"/>
        <v>2022</v>
      </c>
      <c r="N1021" s="6">
        <v>1936</v>
      </c>
      <c r="O1021" s="6">
        <f t="shared" ref="O1021:O1035" si="206">-N1021</f>
        <v>-1936</v>
      </c>
      <c r="P1021" s="6">
        <f t="shared" si="197"/>
        <v>0</v>
      </c>
      <c r="Q1021" s="7">
        <f t="shared" si="199"/>
        <v>1831982.0500000005</v>
      </c>
      <c r="R1021" s="44" t="str">
        <f>VLOOKUP(F1021,'Set up'!$A$2:$E$70,5,FALSE)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183"/>
        <v>9</v>
      </c>
      <c r="C1022" s="5">
        <f t="shared" si="184"/>
        <v>2022</v>
      </c>
      <c r="D1022" s="5" t="s">
        <v>943</v>
      </c>
      <c r="E1022" s="5" t="str">
        <f>VLOOKUP(F1022,'Set up'!$A$2:$C$70,2,FALSE)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up'!$A$2:$C$70,3,FALSE)</f>
        <v>Cash</v>
      </c>
      <c r="J1022" s="5">
        <f>VLOOKUP(F1022,'Set up'!$A$2:$D$70,4,FALSE)</f>
        <v>0</v>
      </c>
      <c r="K1022" s="4">
        <f t="shared" si="185"/>
        <v>44827</v>
      </c>
      <c r="L1022" s="5">
        <f t="shared" si="186"/>
        <v>9</v>
      </c>
      <c r="M1022" s="5">
        <f t="shared" si="187"/>
        <v>2022</v>
      </c>
      <c r="N1022" s="6">
        <v>1192.5999999999999</v>
      </c>
      <c r="O1022" s="6">
        <f t="shared" si="206"/>
        <v>-1192.5999999999999</v>
      </c>
      <c r="P1022" s="6">
        <f t="shared" si="197"/>
        <v>0</v>
      </c>
      <c r="Q1022" s="7">
        <f t="shared" si="199"/>
        <v>1833174.6500000006</v>
      </c>
      <c r="R1022" s="44" t="str">
        <f>VLOOKUP(F1022,'Set up'!$A$2:$E$70,5,FALSE)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183"/>
        <v>9</v>
      </c>
      <c r="C1023" s="5">
        <f t="shared" si="184"/>
        <v>2022</v>
      </c>
      <c r="D1023" s="5" t="s">
        <v>943</v>
      </c>
      <c r="E1023" s="5" t="str">
        <f>VLOOKUP(F1023,'Set up'!$A$2:$C$70,2,FALSE)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up'!$A$2:$C$70,3,FALSE)</f>
        <v>Cash</v>
      </c>
      <c r="J1023" s="5">
        <f>VLOOKUP(F1023,'Set up'!$A$2:$D$70,4,FALSE)</f>
        <v>0</v>
      </c>
      <c r="K1023" s="4">
        <f t="shared" si="185"/>
        <v>44827</v>
      </c>
      <c r="L1023" s="5">
        <f t="shared" si="186"/>
        <v>9</v>
      </c>
      <c r="M1023" s="5">
        <f t="shared" si="187"/>
        <v>2022</v>
      </c>
      <c r="N1023" s="6">
        <v>105</v>
      </c>
      <c r="O1023" s="6">
        <f t="shared" si="206"/>
        <v>-105</v>
      </c>
      <c r="P1023" s="6">
        <f t="shared" si="197"/>
        <v>0</v>
      </c>
      <c r="Q1023" s="7">
        <f t="shared" si="199"/>
        <v>1833279.6500000006</v>
      </c>
      <c r="R1023" s="44" t="str">
        <f>VLOOKUP(F1023,'Set up'!$A$2:$E$70,5,FALSE)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183"/>
        <v>9</v>
      </c>
      <c r="C1024" s="5">
        <f t="shared" si="184"/>
        <v>2022</v>
      </c>
      <c r="D1024" s="5" t="s">
        <v>943</v>
      </c>
      <c r="E1024" s="5" t="str">
        <f>VLOOKUP(F1024,'Set up'!$A$2:$C$70,2,FALSE)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up'!$A$2:$C$70,3,FALSE)</f>
        <v>Cash</v>
      </c>
      <c r="J1024" s="5">
        <f>VLOOKUP(F1024,'Set up'!$A$2:$D$70,4,FALSE)</f>
        <v>0</v>
      </c>
      <c r="K1024" s="4">
        <f t="shared" si="185"/>
        <v>44827</v>
      </c>
      <c r="L1024" s="5">
        <f t="shared" si="186"/>
        <v>9</v>
      </c>
      <c r="M1024" s="5">
        <f t="shared" si="187"/>
        <v>2022</v>
      </c>
      <c r="N1024" s="6">
        <v>312.5</v>
      </c>
      <c r="O1024" s="6">
        <f t="shared" si="206"/>
        <v>-312.5</v>
      </c>
      <c r="P1024" s="6">
        <f t="shared" si="197"/>
        <v>0</v>
      </c>
      <c r="Q1024" s="7">
        <f t="shared" si="199"/>
        <v>1833592.1500000006</v>
      </c>
      <c r="R1024" s="44" t="str">
        <f>VLOOKUP(F1024,'Set up'!$A$2:$E$70,5,FALSE)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183"/>
        <v>9</v>
      </c>
      <c r="C1025" s="5">
        <f t="shared" si="184"/>
        <v>2022</v>
      </c>
      <c r="D1025" s="5" t="s">
        <v>947</v>
      </c>
      <c r="E1025" s="5" t="str">
        <f>VLOOKUP(F1025,'Set up'!$A$2:$C$70,2,FALSE)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up'!$A$2:$C$70,3,FALSE)</f>
        <v>120</v>
      </c>
      <c r="J1025" s="5">
        <f>VLOOKUP(F1025,'Set up'!$A$2:$D$70,4,FALSE)</f>
        <v>120</v>
      </c>
      <c r="K1025" s="4">
        <f t="shared" si="185"/>
        <v>44948</v>
      </c>
      <c r="L1025" s="5">
        <f t="shared" si="186"/>
        <v>1</v>
      </c>
      <c r="M1025" s="5">
        <f t="shared" si="187"/>
        <v>2023</v>
      </c>
      <c r="N1025" s="6">
        <v>9130</v>
      </c>
      <c r="O1025" s="6">
        <f t="shared" si="206"/>
        <v>-9130</v>
      </c>
      <c r="P1025" s="6">
        <f t="shared" si="197"/>
        <v>0</v>
      </c>
      <c r="Q1025" s="7">
        <f t="shared" si="199"/>
        <v>1842722.1500000006</v>
      </c>
      <c r="R1025" s="44" t="str">
        <f>VLOOKUP(F1025,'Set up'!$A$2:$E$70,5,FALSE)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183"/>
        <v>9</v>
      </c>
      <c r="C1026" s="5">
        <f t="shared" si="184"/>
        <v>2022</v>
      </c>
      <c r="D1026" s="5" t="s">
        <v>947</v>
      </c>
      <c r="E1026" s="5" t="str">
        <f>VLOOKUP(F1026,'Set up'!$A$2:$C$70,2,FALSE)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up'!$A$2:$C$70,3,FALSE)</f>
        <v>120</v>
      </c>
      <c r="J1026" s="5">
        <f>VLOOKUP(F1026,'Set up'!$A$2:$D$70,4,FALSE)</f>
        <v>120</v>
      </c>
      <c r="K1026" s="4">
        <f t="shared" si="185"/>
        <v>44948</v>
      </c>
      <c r="L1026" s="5">
        <f t="shared" si="186"/>
        <v>1</v>
      </c>
      <c r="M1026" s="5">
        <f t="shared" si="187"/>
        <v>2023</v>
      </c>
      <c r="N1026" s="6">
        <v>1260</v>
      </c>
      <c r="O1026" s="6">
        <f t="shared" si="206"/>
        <v>-1260</v>
      </c>
      <c r="P1026" s="6">
        <f t="shared" si="197"/>
        <v>0</v>
      </c>
      <c r="Q1026" s="7">
        <f t="shared" si="199"/>
        <v>1843982.1500000006</v>
      </c>
      <c r="R1026" s="44" t="str">
        <f>VLOOKUP(F1026,'Set up'!$A$2:$E$70,5,FALSE)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ref="B1027:B1090" si="207">MONTH(A1027)</f>
        <v>9</v>
      </c>
      <c r="C1027" s="5">
        <f t="shared" ref="C1027:C1090" si="208">YEAR(A1027)</f>
        <v>2022</v>
      </c>
      <c r="D1027" s="5" t="s">
        <v>947</v>
      </c>
      <c r="E1027" s="5" t="str">
        <f>VLOOKUP(F1027,'Set up'!$A$2:$C$70,2,FALSE)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up'!$A$2:$C$70,3,FALSE)</f>
        <v>120</v>
      </c>
      <c r="J1027" s="5">
        <f>VLOOKUP(F1027,'Set up'!$A$2:$D$70,4,FALSE)</f>
        <v>120</v>
      </c>
      <c r="K1027" s="4">
        <f t="shared" ref="K1027:K1090" si="209">A1027+J1027</f>
        <v>44948</v>
      </c>
      <c r="L1027" s="5">
        <f t="shared" ref="L1027:L1090" si="210">MONTH(K1027)</f>
        <v>1</v>
      </c>
      <c r="M1027" s="5">
        <f t="shared" ref="M1027:M1090" si="211">YEAR(K1027)</f>
        <v>2023</v>
      </c>
      <c r="N1027" s="6">
        <v>287.5</v>
      </c>
      <c r="O1027" s="6">
        <f t="shared" si="206"/>
        <v>-287.5</v>
      </c>
      <c r="P1027" s="6">
        <f t="shared" si="197"/>
        <v>0</v>
      </c>
      <c r="Q1027" s="7">
        <f t="shared" si="199"/>
        <v>1844269.6500000006</v>
      </c>
      <c r="R1027" s="44" t="str">
        <f>VLOOKUP(F1027,'Set up'!$A$2:$E$70,5,FALSE)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07"/>
        <v>9</v>
      </c>
      <c r="C1028" s="5">
        <f t="shared" si="208"/>
        <v>2022</v>
      </c>
      <c r="D1028" s="5" t="s">
        <v>947</v>
      </c>
      <c r="E1028" s="5" t="str">
        <f>VLOOKUP(F1028,'Set up'!$A$2:$C$70,2,FALSE)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up'!$A$2:$C$70,3,FALSE)</f>
        <v>120</v>
      </c>
      <c r="J1028" s="5">
        <f>VLOOKUP(F1028,'Set up'!$A$2:$D$70,4,FALSE)</f>
        <v>120</v>
      </c>
      <c r="K1028" s="4">
        <f t="shared" si="209"/>
        <v>44948</v>
      </c>
      <c r="L1028" s="5">
        <f t="shared" si="210"/>
        <v>1</v>
      </c>
      <c r="M1028" s="5">
        <f t="shared" si="211"/>
        <v>2023</v>
      </c>
      <c r="N1028" s="6">
        <v>440</v>
      </c>
      <c r="O1028" s="6">
        <f t="shared" si="206"/>
        <v>-440</v>
      </c>
      <c r="P1028" s="6">
        <f t="shared" si="197"/>
        <v>0</v>
      </c>
      <c r="Q1028" s="7">
        <f t="shared" si="199"/>
        <v>1844709.6500000006</v>
      </c>
      <c r="R1028" s="44" t="str">
        <f>VLOOKUP(F1028,'Set up'!$A$2:$E$70,5,FALSE)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07"/>
        <v>9</v>
      </c>
      <c r="C1029" s="5">
        <f t="shared" si="208"/>
        <v>2022</v>
      </c>
      <c r="D1029" s="5" t="s">
        <v>947</v>
      </c>
      <c r="E1029" s="5" t="str">
        <f>VLOOKUP(F1029,'Set up'!$A$2:$C$70,2,FALSE)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up'!$A$2:$C$70,3,FALSE)</f>
        <v>120</v>
      </c>
      <c r="J1029" s="5">
        <f>VLOOKUP(F1029,'Set up'!$A$2:$D$70,4,FALSE)</f>
        <v>120</v>
      </c>
      <c r="K1029" s="4">
        <f t="shared" si="209"/>
        <v>44948</v>
      </c>
      <c r="L1029" s="5">
        <f t="shared" si="210"/>
        <v>1</v>
      </c>
      <c r="M1029" s="5">
        <f t="shared" si="211"/>
        <v>2023</v>
      </c>
      <c r="N1029" s="6">
        <v>420</v>
      </c>
      <c r="O1029" s="6">
        <f t="shared" si="206"/>
        <v>-420</v>
      </c>
      <c r="P1029" s="6">
        <f t="shared" si="197"/>
        <v>0</v>
      </c>
      <c r="Q1029" s="7">
        <f t="shared" si="199"/>
        <v>1845129.6500000006</v>
      </c>
      <c r="R1029" s="44" t="str">
        <f>VLOOKUP(F1029,'Set up'!$A$2:$E$70,5,FALSE)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07"/>
        <v>9</v>
      </c>
      <c r="C1030" s="5">
        <f t="shared" si="208"/>
        <v>2022</v>
      </c>
      <c r="D1030" s="5" t="s">
        <v>947</v>
      </c>
      <c r="E1030" s="5" t="str">
        <f>VLOOKUP(F1030,'Set up'!$A$2:$C$70,2,FALSE)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up'!$A$2:$C$70,3,FALSE)</f>
        <v>120</v>
      </c>
      <c r="J1030" s="5">
        <f>VLOOKUP(F1030,'Set up'!$A$2:$D$70,4,FALSE)</f>
        <v>120</v>
      </c>
      <c r="K1030" s="4">
        <f t="shared" si="209"/>
        <v>44948</v>
      </c>
      <c r="L1030" s="5">
        <f t="shared" si="210"/>
        <v>1</v>
      </c>
      <c r="M1030" s="5">
        <f t="shared" si="211"/>
        <v>2023</v>
      </c>
      <c r="N1030" s="6">
        <v>220</v>
      </c>
      <c r="O1030" s="6">
        <f t="shared" si="206"/>
        <v>-220</v>
      </c>
      <c r="P1030" s="6">
        <f t="shared" si="197"/>
        <v>0</v>
      </c>
      <c r="Q1030" s="7">
        <f t="shared" si="199"/>
        <v>1845349.6500000006</v>
      </c>
      <c r="R1030" s="44" t="str">
        <f>VLOOKUP(F1030,'Set up'!$A$2:$E$70,5,FALSE)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07"/>
        <v>9</v>
      </c>
      <c r="C1031" s="5">
        <f t="shared" si="208"/>
        <v>2022</v>
      </c>
      <c r="D1031" s="5" t="s">
        <v>950</v>
      </c>
      <c r="E1031" s="5" t="str">
        <f>VLOOKUP(F1031,'Set up'!$A$2:$C$70,2,FALSE)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up'!$A$2:$C$70,3,FALSE)</f>
        <v>Cash</v>
      </c>
      <c r="J1031" s="5">
        <f>VLOOKUP(F1031,'Set up'!$A$2:$D$70,4,FALSE)</f>
        <v>0</v>
      </c>
      <c r="K1031" s="4">
        <f t="shared" si="209"/>
        <v>44830</v>
      </c>
      <c r="L1031" s="5">
        <f t="shared" si="210"/>
        <v>9</v>
      </c>
      <c r="M1031" s="5">
        <f t="shared" si="211"/>
        <v>2022</v>
      </c>
      <c r="N1031" s="6">
        <v>1936</v>
      </c>
      <c r="O1031" s="6">
        <f t="shared" si="206"/>
        <v>-1936</v>
      </c>
      <c r="P1031" s="6">
        <f t="shared" ref="P1031:P1053" si="212">SUM(N1031+O1031)</f>
        <v>0</v>
      </c>
      <c r="Q1031" s="7">
        <f t="shared" ref="Q1031:Q1041" si="213">SUM(Q1030+N1031)</f>
        <v>1847285.6500000006</v>
      </c>
      <c r="R1031" s="44" t="str">
        <f>VLOOKUP(F1031,'Set up'!$A$2:$E$70,5,FALSE)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si="207"/>
        <v>9</v>
      </c>
      <c r="C1032" s="5">
        <f t="shared" si="208"/>
        <v>2022</v>
      </c>
      <c r="D1032" s="5" t="s">
        <v>950</v>
      </c>
      <c r="E1032" s="5" t="str">
        <f>VLOOKUP(F1032,'Set up'!$A$2:$C$70,2,FALSE)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up'!$A$2:$C$70,3,FALSE)</f>
        <v>Cash</v>
      </c>
      <c r="J1032" s="5">
        <f>VLOOKUP(F1032,'Set up'!$A$2:$D$70,4,FALSE)</f>
        <v>0</v>
      </c>
      <c r="K1032" s="4">
        <f t="shared" si="209"/>
        <v>44830</v>
      </c>
      <c r="L1032" s="5">
        <f t="shared" si="210"/>
        <v>9</v>
      </c>
      <c r="M1032" s="5">
        <f t="shared" si="211"/>
        <v>2022</v>
      </c>
      <c r="N1032" s="6">
        <v>658.6</v>
      </c>
      <c r="O1032" s="6">
        <f t="shared" si="206"/>
        <v>-658.6</v>
      </c>
      <c r="P1032" s="6">
        <f t="shared" si="212"/>
        <v>0</v>
      </c>
      <c r="Q1032" s="7">
        <f t="shared" si="213"/>
        <v>1847944.2500000007</v>
      </c>
      <c r="R1032" s="44" t="str">
        <f>VLOOKUP(F1032,'Set up'!$A$2:$E$70,5,FALSE)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07"/>
        <v>9</v>
      </c>
      <c r="C1033" s="5">
        <f t="shared" si="208"/>
        <v>2022</v>
      </c>
      <c r="D1033" s="5" t="s">
        <v>950</v>
      </c>
      <c r="E1033" s="5" t="str">
        <f>VLOOKUP(F1033,'Set up'!$A$2:$C$70,2,FALSE)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up'!$A$2:$C$70,3,FALSE)</f>
        <v>Cash</v>
      </c>
      <c r="J1033" s="5">
        <f>VLOOKUP(F1033,'Set up'!$A$2:$D$70,4,FALSE)</f>
        <v>0</v>
      </c>
      <c r="K1033" s="4">
        <f t="shared" si="209"/>
        <v>44830</v>
      </c>
      <c r="L1033" s="5">
        <f t="shared" si="210"/>
        <v>9</v>
      </c>
      <c r="M1033" s="5">
        <f t="shared" si="211"/>
        <v>2022</v>
      </c>
      <c r="N1033" s="6">
        <v>100</v>
      </c>
      <c r="O1033" s="6">
        <f t="shared" si="206"/>
        <v>-100</v>
      </c>
      <c r="P1033" s="6">
        <f t="shared" si="212"/>
        <v>0</v>
      </c>
      <c r="Q1033" s="7">
        <f t="shared" si="213"/>
        <v>1848044.2500000007</v>
      </c>
      <c r="R1033" s="44" t="str">
        <f>VLOOKUP(F1033,'Set up'!$A$2:$E$70,5,FALSE)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07"/>
        <v>9</v>
      </c>
      <c r="C1034" s="5">
        <f t="shared" si="208"/>
        <v>2022</v>
      </c>
      <c r="D1034" s="5" t="s">
        <v>950</v>
      </c>
      <c r="E1034" s="5" t="str">
        <f>VLOOKUP(F1034,'Set up'!$A$2:$C$70,2,FALSE)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up'!$A$2:$C$70,3,FALSE)</f>
        <v>Cash</v>
      </c>
      <c r="J1034" s="5">
        <f>VLOOKUP(F1034,'Set up'!$A$2:$D$70,4,FALSE)</f>
        <v>0</v>
      </c>
      <c r="K1034" s="4">
        <f t="shared" si="209"/>
        <v>44830</v>
      </c>
      <c r="L1034" s="5">
        <f t="shared" si="210"/>
        <v>9</v>
      </c>
      <c r="M1034" s="5">
        <f t="shared" si="211"/>
        <v>2022</v>
      </c>
      <c r="N1034" s="6">
        <v>625</v>
      </c>
      <c r="O1034" s="6">
        <f t="shared" si="206"/>
        <v>-625</v>
      </c>
      <c r="P1034" s="6">
        <f t="shared" si="212"/>
        <v>0</v>
      </c>
      <c r="Q1034" s="7">
        <f t="shared" si="213"/>
        <v>1848669.2500000007</v>
      </c>
      <c r="R1034" s="44" t="str">
        <f>VLOOKUP(F1034,'Set up'!$A$2:$E$70,5,FALSE)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07"/>
        <v>9</v>
      </c>
      <c r="C1035" s="5">
        <f t="shared" si="208"/>
        <v>2022</v>
      </c>
      <c r="D1035" s="5" t="s">
        <v>950</v>
      </c>
      <c r="E1035" s="5" t="str">
        <f>VLOOKUP(F1035,'Set up'!$A$2:$C$70,2,FALSE)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up'!$A$2:$C$70,3,FALSE)</f>
        <v>Cash</v>
      </c>
      <c r="J1035" s="5">
        <f>VLOOKUP(F1035,'Set up'!$A$2:$D$70,4,FALSE)</f>
        <v>0</v>
      </c>
      <c r="K1035" s="4">
        <f t="shared" si="209"/>
        <v>44830</v>
      </c>
      <c r="L1035" s="5">
        <f t="shared" si="210"/>
        <v>9</v>
      </c>
      <c r="M1035" s="5">
        <f t="shared" si="211"/>
        <v>2022</v>
      </c>
      <c r="N1035" s="6">
        <v>276</v>
      </c>
      <c r="O1035" s="6">
        <f t="shared" si="206"/>
        <v>-276</v>
      </c>
      <c r="P1035" s="6">
        <f t="shared" si="212"/>
        <v>0</v>
      </c>
      <c r="Q1035" s="7">
        <f t="shared" si="213"/>
        <v>1848945.2500000007</v>
      </c>
      <c r="R1035" s="44" t="str">
        <f>VLOOKUP(F1035,'Set up'!$A$2:$E$70,5,FALSE)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si="207"/>
        <v>9</v>
      </c>
      <c r="C1036" s="5">
        <f t="shared" si="208"/>
        <v>2022</v>
      </c>
      <c r="D1036" s="5" t="s">
        <v>952</v>
      </c>
      <c r="E1036" s="5" t="str">
        <f>VLOOKUP(F1036,'Set up'!$A$2:$C$70,2,FALSE)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up'!$A$2:$C$70,3,FALSE)</f>
        <v>Cash</v>
      </c>
      <c r="J1036" s="5">
        <f>VLOOKUP(F1036,'Set up'!$A$2:$D$70,4,FALSE)</f>
        <v>0</v>
      </c>
      <c r="K1036" s="4">
        <f t="shared" si="209"/>
        <v>44830</v>
      </c>
      <c r="L1036" s="5">
        <f t="shared" si="210"/>
        <v>9</v>
      </c>
      <c r="M1036" s="5">
        <f t="shared" si="211"/>
        <v>2022</v>
      </c>
      <c r="N1036" s="6">
        <v>2024</v>
      </c>
      <c r="O1036" s="6">
        <f t="shared" ref="O1036:O1050" si="214">-N1036</f>
        <v>-2024</v>
      </c>
      <c r="P1036" s="6">
        <f t="shared" si="212"/>
        <v>0</v>
      </c>
      <c r="Q1036" s="7">
        <f t="shared" si="213"/>
        <v>1850969.2500000007</v>
      </c>
      <c r="R1036" s="44" t="str">
        <f>VLOOKUP(F1036,'Set up'!$A$2:$E$70,5,FALSE)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07"/>
        <v>9</v>
      </c>
      <c r="C1037" s="5">
        <f t="shared" si="208"/>
        <v>2022</v>
      </c>
      <c r="D1037" s="5" t="s">
        <v>952</v>
      </c>
      <c r="E1037" s="5" t="str">
        <f>VLOOKUP(F1037,'Set up'!$A$2:$C$70,2,FALSE)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up'!$A$2:$C$70,3,FALSE)</f>
        <v>Cash</v>
      </c>
      <c r="J1037" s="5">
        <f>VLOOKUP(F1037,'Set up'!$A$2:$D$70,4,FALSE)</f>
        <v>0</v>
      </c>
      <c r="K1037" s="4">
        <f t="shared" si="209"/>
        <v>44830</v>
      </c>
      <c r="L1037" s="5">
        <f t="shared" si="210"/>
        <v>9</v>
      </c>
      <c r="M1037" s="5">
        <f t="shared" si="211"/>
        <v>2022</v>
      </c>
      <c r="N1037" s="6">
        <v>629.79999999999995</v>
      </c>
      <c r="O1037" s="6">
        <f t="shared" si="214"/>
        <v>-629.79999999999995</v>
      </c>
      <c r="P1037" s="6">
        <f t="shared" si="212"/>
        <v>0</v>
      </c>
      <c r="Q1037" s="7">
        <f t="shared" si="213"/>
        <v>1851599.0500000007</v>
      </c>
      <c r="R1037" s="44" t="str">
        <f>VLOOKUP(F1037,'Set up'!$A$2:$E$70,5,FALSE)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07"/>
        <v>9</v>
      </c>
      <c r="C1038" s="5">
        <f t="shared" si="208"/>
        <v>2022</v>
      </c>
      <c r="D1038" s="5" t="s">
        <v>952</v>
      </c>
      <c r="E1038" s="5" t="str">
        <f>VLOOKUP(F1038,'Set up'!$A$2:$C$70,2,FALSE)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up'!$A$2:$C$70,3,FALSE)</f>
        <v>Cash</v>
      </c>
      <c r="J1038" s="5">
        <f>VLOOKUP(F1038,'Set up'!$A$2:$D$70,4,FALSE)</f>
        <v>0</v>
      </c>
      <c r="K1038" s="4">
        <f t="shared" si="209"/>
        <v>44830</v>
      </c>
      <c r="L1038" s="5">
        <f t="shared" si="210"/>
        <v>9</v>
      </c>
      <c r="M1038" s="5">
        <f t="shared" si="211"/>
        <v>2022</v>
      </c>
      <c r="N1038" s="6">
        <v>315</v>
      </c>
      <c r="O1038" s="6">
        <f t="shared" si="214"/>
        <v>-315</v>
      </c>
      <c r="P1038" s="6">
        <f t="shared" si="212"/>
        <v>0</v>
      </c>
      <c r="Q1038" s="7">
        <f t="shared" si="213"/>
        <v>1851914.0500000007</v>
      </c>
      <c r="R1038" s="44" t="str">
        <f>VLOOKUP(F1038,'Set up'!$A$2:$E$70,5,FALSE)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07"/>
        <v>9</v>
      </c>
      <c r="C1039" s="5">
        <f t="shared" si="208"/>
        <v>2022</v>
      </c>
      <c r="D1039" s="5" t="s">
        <v>953</v>
      </c>
      <c r="E1039" s="5" t="str">
        <f>VLOOKUP(F1039,'Set up'!$A$2:$C$70,2,FALSE)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up'!$A$2:$C$70,3,FALSE)</f>
        <v>Cash</v>
      </c>
      <c r="J1039" s="5">
        <f>VLOOKUP(F1039,'Set up'!$A$2:$D$70,4,FALSE)</f>
        <v>0</v>
      </c>
      <c r="K1039" s="4">
        <f t="shared" si="209"/>
        <v>44830</v>
      </c>
      <c r="L1039" s="5">
        <f t="shared" si="210"/>
        <v>9</v>
      </c>
      <c r="M1039" s="5">
        <f t="shared" si="211"/>
        <v>2022</v>
      </c>
      <c r="N1039" s="6">
        <v>105</v>
      </c>
      <c r="O1039" s="6">
        <f t="shared" si="214"/>
        <v>-105</v>
      </c>
      <c r="P1039" s="6">
        <f t="shared" si="212"/>
        <v>0</v>
      </c>
      <c r="Q1039" s="7">
        <f t="shared" si="213"/>
        <v>1852019.0500000007</v>
      </c>
      <c r="R1039" s="44" t="str">
        <f>VLOOKUP(F1039,'Set up'!$A$2:$E$70,5,FALSE)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07"/>
        <v>9</v>
      </c>
      <c r="C1040" s="5">
        <f t="shared" si="208"/>
        <v>2022</v>
      </c>
      <c r="D1040" s="5" t="s">
        <v>953</v>
      </c>
      <c r="E1040" s="5" t="str">
        <f>VLOOKUP(F1040,'Set up'!$A$2:$C$70,2,FALSE)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up'!$A$2:$C$70,3,FALSE)</f>
        <v>Cash</v>
      </c>
      <c r="J1040" s="5">
        <f>VLOOKUP(F1040,'Set up'!$A$2:$D$70,4,FALSE)</f>
        <v>0</v>
      </c>
      <c r="K1040" s="4">
        <f t="shared" si="209"/>
        <v>44830</v>
      </c>
      <c r="L1040" s="5">
        <f t="shared" si="210"/>
        <v>9</v>
      </c>
      <c r="M1040" s="5">
        <f t="shared" si="211"/>
        <v>2022</v>
      </c>
      <c r="N1040" s="6">
        <v>285</v>
      </c>
      <c r="O1040" s="6">
        <f t="shared" si="214"/>
        <v>-285</v>
      </c>
      <c r="P1040" s="6">
        <f t="shared" si="212"/>
        <v>0</v>
      </c>
      <c r="Q1040" s="7">
        <f t="shared" si="213"/>
        <v>1852304.0500000007</v>
      </c>
      <c r="R1040" s="44" t="str">
        <f>VLOOKUP(F1040,'Set up'!$A$2:$E$70,5,FALSE)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07"/>
        <v>9</v>
      </c>
      <c r="C1041" s="5">
        <f t="shared" si="208"/>
        <v>2022</v>
      </c>
      <c r="D1041" s="5" t="s">
        <v>953</v>
      </c>
      <c r="E1041" s="5" t="str">
        <f>VLOOKUP(F1041,'Set up'!$A$2:$C$70,2,FALSE)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up'!$A$2:$C$70,3,FALSE)</f>
        <v>Cash</v>
      </c>
      <c r="J1041" s="5">
        <f>VLOOKUP(F1041,'Set up'!$A$2:$D$70,4,FALSE)</f>
        <v>0</v>
      </c>
      <c r="K1041" s="4">
        <f t="shared" si="209"/>
        <v>44830</v>
      </c>
      <c r="L1041" s="5">
        <f t="shared" si="210"/>
        <v>9</v>
      </c>
      <c r="M1041" s="5">
        <f t="shared" si="211"/>
        <v>2022</v>
      </c>
      <c r="N1041" s="6">
        <v>450</v>
      </c>
      <c r="O1041" s="6">
        <f t="shared" si="214"/>
        <v>-450</v>
      </c>
      <c r="P1041" s="6">
        <f t="shared" si="212"/>
        <v>0</v>
      </c>
      <c r="Q1041" s="7">
        <f t="shared" si="213"/>
        <v>1852754.0500000007</v>
      </c>
      <c r="R1041" s="44" t="str">
        <f>VLOOKUP(F1041,'Set up'!$A$2:$E$70,5,FALSE)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07"/>
        <v>9</v>
      </c>
      <c r="C1042" s="5">
        <f t="shared" si="208"/>
        <v>2022</v>
      </c>
      <c r="D1042" s="5" t="s">
        <v>955</v>
      </c>
      <c r="E1042" s="5" t="str">
        <f>VLOOKUP(F1042,'Set up'!$A$2:$C$70,2,FALSE)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up'!$A$2:$C$70,3,FALSE)</f>
        <v>Cash</v>
      </c>
      <c r="J1042" s="5">
        <f>VLOOKUP(F1042,'Set up'!$A$2:$D$70,4,FALSE)</f>
        <v>0</v>
      </c>
      <c r="K1042" s="4">
        <f t="shared" si="209"/>
        <v>44832</v>
      </c>
      <c r="L1042" s="5">
        <f t="shared" si="210"/>
        <v>9</v>
      </c>
      <c r="M1042" s="5">
        <f t="shared" si="211"/>
        <v>2022</v>
      </c>
      <c r="N1042" s="6">
        <v>6006</v>
      </c>
      <c r="O1042" s="6">
        <f t="shared" si="214"/>
        <v>-6006</v>
      </c>
      <c r="P1042" s="6">
        <f t="shared" si="212"/>
        <v>0</v>
      </c>
      <c r="Q1042" s="7">
        <f t="shared" ref="Q1042:Q1053" si="215">SUM(Q1041+N1042)</f>
        <v>1858760.0500000007</v>
      </c>
      <c r="R1042" s="44" t="str">
        <f>VLOOKUP(F1042,'Set up'!$A$2:$E$70,5,FALSE)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si="207"/>
        <v>9</v>
      </c>
      <c r="C1043" s="5">
        <f t="shared" si="208"/>
        <v>2022</v>
      </c>
      <c r="D1043" s="5" t="s">
        <v>955</v>
      </c>
      <c r="E1043" s="5" t="str">
        <f>VLOOKUP(F1043,'Set up'!$A$2:$C$70,2,FALSE)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up'!$A$2:$C$70,3,FALSE)</f>
        <v>Cash</v>
      </c>
      <c r="J1043" s="5">
        <f>VLOOKUP(F1043,'Set up'!$A$2:$D$70,4,FALSE)</f>
        <v>0</v>
      </c>
      <c r="K1043" s="4">
        <f t="shared" si="209"/>
        <v>44832</v>
      </c>
      <c r="L1043" s="5">
        <f t="shared" si="210"/>
        <v>9</v>
      </c>
      <c r="M1043" s="5">
        <f t="shared" si="211"/>
        <v>2022</v>
      </c>
      <c r="N1043" s="6">
        <v>1259.5999999999999</v>
      </c>
      <c r="O1043" s="6">
        <f t="shared" si="214"/>
        <v>-1259.5999999999999</v>
      </c>
      <c r="P1043" s="6">
        <f t="shared" si="212"/>
        <v>0</v>
      </c>
      <c r="Q1043" s="7">
        <f t="shared" si="215"/>
        <v>1860019.6500000008</v>
      </c>
      <c r="R1043" s="44" t="str">
        <f>VLOOKUP(F1043,'Set up'!$A$2:$E$70,5,FALSE)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07"/>
        <v>9</v>
      </c>
      <c r="C1044" s="5">
        <f t="shared" si="208"/>
        <v>2022</v>
      </c>
      <c r="D1044" s="5" t="s">
        <v>955</v>
      </c>
      <c r="E1044" s="5" t="str">
        <f>VLOOKUP(F1044,'Set up'!$A$2:$C$70,2,FALSE)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up'!$A$2:$C$70,3,FALSE)</f>
        <v>Cash</v>
      </c>
      <c r="J1044" s="5">
        <f>VLOOKUP(F1044,'Set up'!$A$2:$D$70,4,FALSE)</f>
        <v>0</v>
      </c>
      <c r="K1044" s="4">
        <f t="shared" si="209"/>
        <v>44832</v>
      </c>
      <c r="L1044" s="5">
        <f t="shared" si="210"/>
        <v>9</v>
      </c>
      <c r="M1044" s="5">
        <f t="shared" si="211"/>
        <v>2022</v>
      </c>
      <c r="N1044" s="6">
        <v>1015.2</v>
      </c>
      <c r="O1044" s="6">
        <f t="shared" si="214"/>
        <v>-1015.2</v>
      </c>
      <c r="P1044" s="6">
        <f t="shared" si="212"/>
        <v>0</v>
      </c>
      <c r="Q1044" s="7">
        <f t="shared" si="215"/>
        <v>1861034.8500000008</v>
      </c>
      <c r="R1044" s="44" t="str">
        <f>VLOOKUP(F1044,'Set up'!$A$2:$E$70,5,FALSE)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07"/>
        <v>9</v>
      </c>
      <c r="C1045" s="5">
        <f t="shared" si="208"/>
        <v>2022</v>
      </c>
      <c r="D1045" s="5" t="s">
        <v>955</v>
      </c>
      <c r="E1045" s="5" t="str">
        <f>VLOOKUP(F1045,'Set up'!$A$2:$C$70,2,FALSE)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up'!$A$2:$C$70,3,FALSE)</f>
        <v>Cash</v>
      </c>
      <c r="J1045" s="5">
        <f>VLOOKUP(F1045,'Set up'!$A$2:$D$70,4,FALSE)</f>
        <v>0</v>
      </c>
      <c r="K1045" s="4">
        <f t="shared" si="209"/>
        <v>44832</v>
      </c>
      <c r="L1045" s="5">
        <f t="shared" si="210"/>
        <v>9</v>
      </c>
      <c r="M1045" s="5">
        <f t="shared" si="211"/>
        <v>2022</v>
      </c>
      <c r="N1045" s="6">
        <v>630</v>
      </c>
      <c r="O1045" s="6">
        <f t="shared" si="214"/>
        <v>-630</v>
      </c>
      <c r="P1045" s="6">
        <f t="shared" si="212"/>
        <v>0</v>
      </c>
      <c r="Q1045" s="7">
        <f t="shared" si="215"/>
        <v>1861664.8500000008</v>
      </c>
      <c r="R1045" s="44" t="str">
        <f>VLOOKUP(F1045,'Set up'!$A$2:$E$70,5,FALSE)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07"/>
        <v>9</v>
      </c>
      <c r="C1046" s="5">
        <f t="shared" si="208"/>
        <v>2022</v>
      </c>
      <c r="D1046" s="5" t="s">
        <v>955</v>
      </c>
      <c r="E1046" s="5" t="str">
        <f>VLOOKUP(F1046,'Set up'!$A$2:$C$70,2,FALSE)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up'!$A$2:$C$70,3,FALSE)</f>
        <v>Cash</v>
      </c>
      <c r="J1046" s="5">
        <f>VLOOKUP(F1046,'Set up'!$A$2:$D$70,4,FALSE)</f>
        <v>0</v>
      </c>
      <c r="K1046" s="4">
        <f t="shared" si="209"/>
        <v>44832</v>
      </c>
      <c r="L1046" s="5">
        <f t="shared" si="210"/>
        <v>9</v>
      </c>
      <c r="M1046" s="5">
        <f t="shared" si="211"/>
        <v>2022</v>
      </c>
      <c r="N1046" s="6">
        <v>640</v>
      </c>
      <c r="O1046" s="6">
        <f t="shared" si="214"/>
        <v>-640</v>
      </c>
      <c r="P1046" s="6">
        <f t="shared" si="212"/>
        <v>0</v>
      </c>
      <c r="Q1046" s="7">
        <f t="shared" si="215"/>
        <v>1862304.8500000008</v>
      </c>
      <c r="R1046" s="44" t="str">
        <f>VLOOKUP(F1046,'Set up'!$A$2:$E$70,5,FALSE)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07"/>
        <v>9</v>
      </c>
      <c r="C1047" s="5">
        <f t="shared" si="208"/>
        <v>2022</v>
      </c>
      <c r="D1047" s="5" t="s">
        <v>955</v>
      </c>
      <c r="E1047" s="5" t="str">
        <f>VLOOKUP(F1047,'Set up'!$A$2:$C$70,2,FALSE)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up'!$A$2:$C$70,3,FALSE)</f>
        <v>Cash</v>
      </c>
      <c r="J1047" s="5">
        <f>VLOOKUP(F1047,'Set up'!$A$2:$D$70,4,FALSE)</f>
        <v>0</v>
      </c>
      <c r="K1047" s="4">
        <f t="shared" si="209"/>
        <v>44832</v>
      </c>
      <c r="L1047" s="5">
        <f t="shared" si="210"/>
        <v>9</v>
      </c>
      <c r="M1047" s="5">
        <f t="shared" si="211"/>
        <v>2022</v>
      </c>
      <c r="N1047" s="6">
        <v>90</v>
      </c>
      <c r="O1047" s="6">
        <f t="shared" si="214"/>
        <v>-90</v>
      </c>
      <c r="P1047" s="6">
        <f t="shared" si="212"/>
        <v>0</v>
      </c>
      <c r="Q1047" s="7">
        <f t="shared" si="215"/>
        <v>1862394.8500000008</v>
      </c>
      <c r="R1047" s="44" t="str">
        <f>VLOOKUP(F1047,'Set up'!$A$2:$E$70,5,FALSE)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07"/>
        <v>9</v>
      </c>
      <c r="C1048" s="5">
        <f t="shared" si="208"/>
        <v>2022</v>
      </c>
      <c r="D1048" s="5" t="s">
        <v>955</v>
      </c>
      <c r="E1048" s="5" t="str">
        <f>VLOOKUP(F1048,'Set up'!$A$2:$C$70,2,FALSE)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up'!$A$2:$C$70,3,FALSE)</f>
        <v>Cash</v>
      </c>
      <c r="J1048" s="5">
        <f>VLOOKUP(F1048,'Set up'!$A$2:$D$70,4,FALSE)</f>
        <v>0</v>
      </c>
      <c r="K1048" s="4">
        <f t="shared" si="209"/>
        <v>44832</v>
      </c>
      <c r="L1048" s="5">
        <f t="shared" si="210"/>
        <v>9</v>
      </c>
      <c r="M1048" s="5">
        <f t="shared" si="211"/>
        <v>2022</v>
      </c>
      <c r="N1048" s="6">
        <v>170</v>
      </c>
      <c r="O1048" s="6">
        <f t="shared" si="214"/>
        <v>-170</v>
      </c>
      <c r="P1048" s="6">
        <f t="shared" si="212"/>
        <v>0</v>
      </c>
      <c r="Q1048" s="7">
        <f t="shared" si="215"/>
        <v>1862564.8500000008</v>
      </c>
      <c r="R1048" s="44" t="str">
        <f>VLOOKUP(F1048,'Set up'!$A$2:$E$70,5,FALSE)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07"/>
        <v>9</v>
      </c>
      <c r="C1049" s="5">
        <f t="shared" si="208"/>
        <v>2022</v>
      </c>
      <c r="D1049" s="5" t="s">
        <v>955</v>
      </c>
      <c r="E1049" s="5" t="str">
        <f>VLOOKUP(F1049,'Set up'!$A$2:$C$70,2,FALSE)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up'!$A$2:$C$70,3,FALSE)</f>
        <v>Cash</v>
      </c>
      <c r="J1049" s="5">
        <f>VLOOKUP(F1049,'Set up'!$A$2:$D$70,4,FALSE)</f>
        <v>0</v>
      </c>
      <c r="K1049" s="4">
        <f t="shared" si="209"/>
        <v>44832</v>
      </c>
      <c r="L1049" s="5">
        <f t="shared" si="210"/>
        <v>9</v>
      </c>
      <c r="M1049" s="5">
        <f t="shared" si="211"/>
        <v>2022</v>
      </c>
      <c r="N1049" s="6">
        <v>440</v>
      </c>
      <c r="O1049" s="6">
        <f t="shared" si="214"/>
        <v>-440</v>
      </c>
      <c r="P1049" s="6">
        <f t="shared" si="212"/>
        <v>0</v>
      </c>
      <c r="Q1049" s="7">
        <f t="shared" si="215"/>
        <v>1863004.8500000008</v>
      </c>
      <c r="R1049" s="44" t="str">
        <f>VLOOKUP(F1049,'Set up'!$A$2:$E$70,5,FALSE)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07"/>
        <v>9</v>
      </c>
      <c r="C1050" s="5">
        <f t="shared" si="208"/>
        <v>2022</v>
      </c>
      <c r="D1050" s="5" t="s">
        <v>955</v>
      </c>
      <c r="E1050" s="5" t="str">
        <f>VLOOKUP(F1050,'Set up'!$A$2:$C$70,2,FALSE)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up'!$A$2:$C$70,3,FALSE)</f>
        <v>Cash</v>
      </c>
      <c r="J1050" s="5">
        <f>VLOOKUP(F1050,'Set up'!$A$2:$D$70,4,FALSE)</f>
        <v>0</v>
      </c>
      <c r="K1050" s="4">
        <f t="shared" si="209"/>
        <v>44832</v>
      </c>
      <c r="L1050" s="5">
        <f t="shared" si="210"/>
        <v>9</v>
      </c>
      <c r="M1050" s="5">
        <f t="shared" si="211"/>
        <v>2022</v>
      </c>
      <c r="N1050" s="6">
        <v>1016</v>
      </c>
      <c r="O1050" s="6">
        <f t="shared" si="214"/>
        <v>-1016</v>
      </c>
      <c r="P1050" s="6">
        <f t="shared" si="212"/>
        <v>0</v>
      </c>
      <c r="Q1050" s="7">
        <f t="shared" si="215"/>
        <v>1864020.8500000008</v>
      </c>
      <c r="R1050" s="44" t="str">
        <f>VLOOKUP(F1050,'Set up'!$A$2:$E$70,5,FALSE)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07"/>
        <v>9</v>
      </c>
      <c r="C1051" s="5">
        <f t="shared" si="208"/>
        <v>2022</v>
      </c>
      <c r="D1051" s="5" t="s">
        <v>956</v>
      </c>
      <c r="E1051" s="5" t="str">
        <f>VLOOKUP(F1051,'Set up'!$A$2:$C$70,2,FALSE)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up'!$A$2:$C$70,3,FALSE)</f>
        <v>Cash</v>
      </c>
      <c r="J1051" s="5">
        <f>VLOOKUP(F1051,'Set up'!$A$2:$D$70,4,FALSE)</f>
        <v>0</v>
      </c>
      <c r="K1051" s="4">
        <f t="shared" si="209"/>
        <v>44832</v>
      </c>
      <c r="L1051" s="5">
        <f t="shared" si="210"/>
        <v>9</v>
      </c>
      <c r="M1051" s="5">
        <f t="shared" si="211"/>
        <v>2022</v>
      </c>
      <c r="N1051" s="6">
        <v>1848</v>
      </c>
      <c r="O1051" s="6">
        <f t="shared" ref="O1051:O1058" si="216">-N1051</f>
        <v>-1848</v>
      </c>
      <c r="P1051" s="6">
        <f t="shared" si="212"/>
        <v>0</v>
      </c>
      <c r="Q1051" s="7">
        <f t="shared" si="215"/>
        <v>1865868.8500000008</v>
      </c>
      <c r="R1051" s="44" t="str">
        <f>VLOOKUP(F1051,'Set up'!$A$2:$E$70,5,FALSE)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07"/>
        <v>9</v>
      </c>
      <c r="C1052" s="5">
        <f t="shared" si="208"/>
        <v>2022</v>
      </c>
      <c r="D1052" s="5" t="s">
        <v>956</v>
      </c>
      <c r="E1052" s="5" t="str">
        <f>VLOOKUP(F1052,'Set up'!$A$2:$C$70,2,FALSE)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up'!$A$2:$C$70,3,FALSE)</f>
        <v>Cash</v>
      </c>
      <c r="J1052" s="5">
        <f>VLOOKUP(F1052,'Set up'!$A$2:$D$70,4,FALSE)</f>
        <v>0</v>
      </c>
      <c r="K1052" s="4">
        <f t="shared" si="209"/>
        <v>44832</v>
      </c>
      <c r="L1052" s="5">
        <f t="shared" si="210"/>
        <v>9</v>
      </c>
      <c r="M1052" s="5">
        <f t="shared" si="211"/>
        <v>2022</v>
      </c>
      <c r="N1052" s="6">
        <v>85</v>
      </c>
      <c r="O1052" s="6">
        <f t="shared" si="216"/>
        <v>-85</v>
      </c>
      <c r="P1052" s="6">
        <f t="shared" si="212"/>
        <v>0</v>
      </c>
      <c r="Q1052" s="7">
        <f t="shared" si="215"/>
        <v>1865953.8500000008</v>
      </c>
      <c r="R1052" s="44" t="str">
        <f>VLOOKUP(F1052,'Set up'!$A$2:$E$70,5,FALSE)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07"/>
        <v>9</v>
      </c>
      <c r="C1053" s="5">
        <f t="shared" si="208"/>
        <v>2022</v>
      </c>
      <c r="D1053" s="5" t="s">
        <v>956</v>
      </c>
      <c r="E1053" s="5" t="str">
        <f>VLOOKUP(F1053,'Set up'!$A$2:$C$70,2,FALSE)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up'!$A$2:$C$70,3,FALSE)</f>
        <v>Cash</v>
      </c>
      <c r="J1053" s="5">
        <f>VLOOKUP(F1053,'Set up'!$A$2:$D$70,4,FALSE)</f>
        <v>0</v>
      </c>
      <c r="K1053" s="4">
        <f t="shared" si="209"/>
        <v>44832</v>
      </c>
      <c r="L1053" s="5">
        <f t="shared" si="210"/>
        <v>9</v>
      </c>
      <c r="M1053" s="5">
        <f t="shared" si="211"/>
        <v>2022</v>
      </c>
      <c r="N1053" s="6">
        <v>62.5</v>
      </c>
      <c r="O1053" s="6">
        <f t="shared" si="216"/>
        <v>-62.5</v>
      </c>
      <c r="P1053" s="6">
        <f t="shared" si="212"/>
        <v>0</v>
      </c>
      <c r="Q1053" s="7">
        <f t="shared" si="215"/>
        <v>1866016.3500000008</v>
      </c>
      <c r="R1053" s="44" t="str">
        <f>VLOOKUP(F1053,'Set up'!$A$2:$E$70,5,FALSE)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07"/>
        <v>10</v>
      </c>
      <c r="C1054" s="5">
        <f t="shared" si="208"/>
        <v>2022</v>
      </c>
      <c r="D1054" s="5" t="s">
        <v>986</v>
      </c>
      <c r="E1054" s="5" t="str">
        <f>VLOOKUP(F1054,'Set up'!$A$2:$C$70,2,FALSE)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up'!$A$2:$C$70,3,FALSE)</f>
        <v>120</v>
      </c>
      <c r="J1054" s="5">
        <f>VLOOKUP(F1054,'Set up'!$A$2:$D$70,4,FALSE)</f>
        <v>120</v>
      </c>
      <c r="K1054" s="4">
        <f t="shared" si="209"/>
        <v>44955</v>
      </c>
      <c r="L1054" s="5">
        <f t="shared" si="210"/>
        <v>1</v>
      </c>
      <c r="M1054" s="5">
        <f t="shared" si="211"/>
        <v>2023</v>
      </c>
      <c r="N1054" s="6">
        <v>9130</v>
      </c>
      <c r="O1054" s="6">
        <f t="shared" si="216"/>
        <v>-9130</v>
      </c>
      <c r="P1054" s="6">
        <f t="shared" ref="P1054:P1079" si="217">SUM(N1054+O1054)</f>
        <v>0</v>
      </c>
      <c r="Q1054" s="7">
        <f t="shared" ref="Q1054:Q1079" si="218">SUM(Q1053+N1054)</f>
        <v>1875146.3500000008</v>
      </c>
      <c r="R1054" s="44" t="str">
        <f>VLOOKUP(F1054,'Set up'!$A$2:$E$70,5,FALSE)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si="207"/>
        <v>10</v>
      </c>
      <c r="C1055" s="5">
        <f t="shared" si="208"/>
        <v>2022</v>
      </c>
      <c r="D1055" s="5" t="s">
        <v>986</v>
      </c>
      <c r="E1055" s="5" t="str">
        <f>VLOOKUP(F1055,'Set up'!$A$2:$C$70,2,FALSE)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up'!$A$2:$C$70,3,FALSE)</f>
        <v>120</v>
      </c>
      <c r="J1055" s="5">
        <f>VLOOKUP(F1055,'Set up'!$A$2:$D$70,4,FALSE)</f>
        <v>120</v>
      </c>
      <c r="K1055" s="4">
        <f t="shared" si="209"/>
        <v>44955</v>
      </c>
      <c r="L1055" s="5">
        <f t="shared" si="210"/>
        <v>1</v>
      </c>
      <c r="M1055" s="5">
        <f t="shared" si="211"/>
        <v>2023</v>
      </c>
      <c r="N1055" s="6">
        <v>2520</v>
      </c>
      <c r="O1055" s="6">
        <f t="shared" si="216"/>
        <v>-2520</v>
      </c>
      <c r="P1055" s="6">
        <f t="shared" si="217"/>
        <v>0</v>
      </c>
      <c r="Q1055" s="7">
        <f t="shared" si="218"/>
        <v>1877666.3500000008</v>
      </c>
      <c r="R1055" s="44" t="str">
        <f>VLOOKUP(F1055,'Set up'!$A$2:$E$70,5,FALSE)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07"/>
        <v>10</v>
      </c>
      <c r="C1056" s="5">
        <f t="shared" si="208"/>
        <v>2022</v>
      </c>
      <c r="D1056" s="5" t="s">
        <v>986</v>
      </c>
      <c r="E1056" s="5" t="str">
        <f>VLOOKUP(F1056,'Set up'!$A$2:$C$70,2,FALSE)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up'!$A$2:$C$70,3,FALSE)</f>
        <v>120</v>
      </c>
      <c r="J1056" s="5">
        <f>VLOOKUP(F1056,'Set up'!$A$2:$D$70,4,FALSE)</f>
        <v>120</v>
      </c>
      <c r="K1056" s="4">
        <f t="shared" si="209"/>
        <v>44955</v>
      </c>
      <c r="L1056" s="5">
        <f t="shared" si="210"/>
        <v>1</v>
      </c>
      <c r="M1056" s="5">
        <f t="shared" si="211"/>
        <v>2023</v>
      </c>
      <c r="N1056" s="6">
        <v>575</v>
      </c>
      <c r="O1056" s="6">
        <f t="shared" si="216"/>
        <v>-575</v>
      </c>
      <c r="P1056" s="6">
        <f t="shared" si="217"/>
        <v>0</v>
      </c>
      <c r="Q1056" s="7">
        <f t="shared" si="218"/>
        <v>1878241.3500000008</v>
      </c>
      <c r="R1056" s="44" t="str">
        <f>VLOOKUP(F1056,'Set up'!$A$2:$E$70,5,FALSE)</f>
        <v>Trsf</v>
      </c>
      <c r="S1056" s="1" t="s">
        <v>1226</v>
      </c>
    </row>
    <row r="1057" spans="1:21" x14ac:dyDescent="0.35">
      <c r="A1057" s="4">
        <v>44835</v>
      </c>
      <c r="B1057" s="5">
        <f t="shared" si="207"/>
        <v>10</v>
      </c>
      <c r="C1057" s="5">
        <f t="shared" si="208"/>
        <v>2022</v>
      </c>
      <c r="D1057" s="5" t="s">
        <v>986</v>
      </c>
      <c r="E1057" s="5" t="str">
        <f>VLOOKUP(F1057,'Set up'!$A$2:$C$70,2,FALSE)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up'!$A$2:$C$70,3,FALSE)</f>
        <v>120</v>
      </c>
      <c r="J1057" s="5">
        <f>VLOOKUP(F1057,'Set up'!$A$2:$D$70,4,FALSE)</f>
        <v>120</v>
      </c>
      <c r="K1057" s="4">
        <f t="shared" si="209"/>
        <v>44955</v>
      </c>
      <c r="L1057" s="5">
        <f t="shared" si="210"/>
        <v>1</v>
      </c>
      <c r="M1057" s="5">
        <f t="shared" si="211"/>
        <v>2023</v>
      </c>
      <c r="N1057" s="6">
        <v>420</v>
      </c>
      <c r="O1057" s="6">
        <f t="shared" si="216"/>
        <v>-420</v>
      </c>
      <c r="P1057" s="6">
        <f t="shared" si="217"/>
        <v>0</v>
      </c>
      <c r="Q1057" s="7">
        <f t="shared" si="218"/>
        <v>1878661.3500000008</v>
      </c>
      <c r="R1057" s="44" t="str">
        <f>VLOOKUP(F1057,'Set up'!$A$2:$E$70,5,FALSE)</f>
        <v>Trsf</v>
      </c>
      <c r="S1057" s="1" t="s">
        <v>1226</v>
      </c>
    </row>
    <row r="1058" spans="1:21" x14ac:dyDescent="0.35">
      <c r="A1058" s="4">
        <v>44835</v>
      </c>
      <c r="B1058" s="5">
        <f t="shared" si="207"/>
        <v>10</v>
      </c>
      <c r="C1058" s="5">
        <f t="shared" si="208"/>
        <v>2022</v>
      </c>
      <c r="D1058" s="5" t="s">
        <v>986</v>
      </c>
      <c r="E1058" s="5" t="str">
        <f>VLOOKUP(F1058,'Set up'!$A$2:$C$70,2,FALSE)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up'!$A$2:$C$70,3,FALSE)</f>
        <v>120</v>
      </c>
      <c r="J1058" s="5">
        <f>VLOOKUP(F1058,'Set up'!$A$2:$D$70,4,FALSE)</f>
        <v>120</v>
      </c>
      <c r="K1058" s="4">
        <f t="shared" si="209"/>
        <v>44955</v>
      </c>
      <c r="L1058" s="5">
        <f t="shared" si="210"/>
        <v>1</v>
      </c>
      <c r="M1058" s="5">
        <f t="shared" si="211"/>
        <v>2023</v>
      </c>
      <c r="N1058" s="6">
        <v>420</v>
      </c>
      <c r="O1058" s="6">
        <f t="shared" si="216"/>
        <v>-420</v>
      </c>
      <c r="P1058" s="6">
        <f t="shared" si="217"/>
        <v>0</v>
      </c>
      <c r="Q1058" s="7">
        <f t="shared" si="218"/>
        <v>1879081.3500000008</v>
      </c>
      <c r="R1058" s="44" t="str">
        <f>VLOOKUP(F1058,'Set up'!$A$2:$E$70,5,FALSE)</f>
        <v>Trsf</v>
      </c>
      <c r="S1058" s="1" t="s">
        <v>1226</v>
      </c>
    </row>
    <row r="1059" spans="1:21" x14ac:dyDescent="0.35">
      <c r="A1059" s="4" t="s">
        <v>992</v>
      </c>
      <c r="B1059" s="5">
        <f t="shared" si="207"/>
        <v>10</v>
      </c>
      <c r="C1059" s="5">
        <f t="shared" si="208"/>
        <v>2022</v>
      </c>
      <c r="D1059" s="5" t="s">
        <v>987</v>
      </c>
      <c r="E1059" s="5" t="str">
        <f>VLOOKUP(F1059,'Set up'!$A$2:$C$70,2,FALSE)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up'!$A$2:$C$70,3,FALSE)</f>
        <v>Cash</v>
      </c>
      <c r="J1059" s="5">
        <f>VLOOKUP(F1059,'Set up'!$A$2:$D$70,4,FALSE)</f>
        <v>0</v>
      </c>
      <c r="K1059" s="4">
        <f t="shared" si="209"/>
        <v>44837</v>
      </c>
      <c r="L1059" s="5">
        <f t="shared" si="210"/>
        <v>10</v>
      </c>
      <c r="M1059" s="5">
        <f t="shared" si="211"/>
        <v>2022</v>
      </c>
      <c r="N1059" s="6">
        <v>27060</v>
      </c>
      <c r="O1059" s="6">
        <f>-928.2-9700-11000-5431.8</f>
        <v>-27060</v>
      </c>
      <c r="P1059" s="6">
        <f t="shared" si="217"/>
        <v>0</v>
      </c>
      <c r="Q1059" s="7">
        <f t="shared" si="218"/>
        <v>1906141.3500000008</v>
      </c>
      <c r="R1059" s="44" t="str">
        <f>VLOOKUP(F1059,'Set up'!$A$2:$E$70,5,FALSE)</f>
        <v>Trsf</v>
      </c>
      <c r="S1059" s="1" t="s">
        <v>1286</v>
      </c>
    </row>
    <row r="1060" spans="1:21" x14ac:dyDescent="0.35">
      <c r="A1060" s="4" t="s">
        <v>992</v>
      </c>
      <c r="B1060" s="5">
        <f t="shared" si="207"/>
        <v>10</v>
      </c>
      <c r="C1060" s="5">
        <f t="shared" si="208"/>
        <v>2022</v>
      </c>
      <c r="D1060" s="5" t="s">
        <v>987</v>
      </c>
      <c r="E1060" s="5" t="str">
        <f>VLOOKUP(F1060,'Set up'!$A$2:$C$70,2,FALSE)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up'!$A$2:$C$70,3,FALSE)</f>
        <v>Cash</v>
      </c>
      <c r="J1060" s="5">
        <f>VLOOKUP(F1060,'Set up'!$A$2:$D$70,4,FALSE)</f>
        <v>0</v>
      </c>
      <c r="K1060" s="4">
        <f t="shared" si="209"/>
        <v>44837</v>
      </c>
      <c r="L1060" s="5">
        <f t="shared" si="210"/>
        <v>10</v>
      </c>
      <c r="M1060" s="5">
        <f t="shared" si="211"/>
        <v>2022</v>
      </c>
      <c r="N1060" s="6">
        <v>11340</v>
      </c>
      <c r="O1060" s="6">
        <f>-4068.2-6000-1271.8</f>
        <v>-11340</v>
      </c>
      <c r="P1060" s="6">
        <f t="shared" si="217"/>
        <v>0</v>
      </c>
      <c r="Q1060" s="7">
        <f t="shared" si="218"/>
        <v>1917481.3500000008</v>
      </c>
      <c r="R1060" s="44" t="str">
        <f>VLOOKUP(F1060,'Set up'!$A$2:$E$70,5,FALSE)</f>
        <v>Trsf</v>
      </c>
      <c r="S1060" s="1" t="s">
        <v>1287</v>
      </c>
    </row>
    <row r="1061" spans="1:21" x14ac:dyDescent="0.35">
      <c r="A1061" s="4" t="s">
        <v>992</v>
      </c>
      <c r="B1061" s="5">
        <f t="shared" si="207"/>
        <v>10</v>
      </c>
      <c r="C1061" s="5">
        <f t="shared" si="208"/>
        <v>2022</v>
      </c>
      <c r="D1061" s="5" t="s">
        <v>987</v>
      </c>
      <c r="E1061" s="5" t="str">
        <f>VLOOKUP(F1061,'Set up'!$A$2:$C$70,2,FALSE)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up'!$A$2:$C$70,3,FALSE)</f>
        <v>Cash</v>
      </c>
      <c r="J1061" s="5">
        <f>VLOOKUP(F1061,'Set up'!$A$2:$D$70,4,FALSE)</f>
        <v>0</v>
      </c>
      <c r="K1061" s="4">
        <f t="shared" si="209"/>
        <v>44837</v>
      </c>
      <c r="L1061" s="5">
        <f t="shared" si="210"/>
        <v>10</v>
      </c>
      <c r="M1061" s="5">
        <f t="shared" si="211"/>
        <v>2022</v>
      </c>
      <c r="N1061" s="6">
        <v>6435</v>
      </c>
      <c r="O1061" s="6">
        <f t="shared" ref="O1061:O1064" si="219">-N1061</f>
        <v>-6435</v>
      </c>
      <c r="P1061" s="6">
        <f t="shared" si="217"/>
        <v>0</v>
      </c>
      <c r="Q1061" s="7">
        <f t="shared" si="218"/>
        <v>1923916.3500000008</v>
      </c>
      <c r="R1061" s="44" t="str">
        <f>VLOOKUP(F1061,'Set up'!$A$2:$E$70,5,FALSE)</f>
        <v>Trsf</v>
      </c>
      <c r="S1061" s="1" t="s">
        <v>1288</v>
      </c>
    </row>
    <row r="1062" spans="1:21" x14ac:dyDescent="0.35">
      <c r="A1062" s="4" t="s">
        <v>992</v>
      </c>
      <c r="B1062" s="5">
        <f t="shared" si="207"/>
        <v>10</v>
      </c>
      <c r="C1062" s="5">
        <f t="shared" si="208"/>
        <v>2022</v>
      </c>
      <c r="D1062" s="5" t="s">
        <v>987</v>
      </c>
      <c r="E1062" s="5" t="str">
        <f>VLOOKUP(F1062,'Set up'!$A$2:$C$70,2,FALSE)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up'!$A$2:$C$70,3,FALSE)</f>
        <v>Cash</v>
      </c>
      <c r="J1062" s="5">
        <f>VLOOKUP(F1062,'Set up'!$A$2:$D$70,4,FALSE)</f>
        <v>0</v>
      </c>
      <c r="K1062" s="4">
        <f t="shared" si="209"/>
        <v>44837</v>
      </c>
      <c r="L1062" s="5">
        <f t="shared" si="210"/>
        <v>10</v>
      </c>
      <c r="M1062" s="5">
        <f t="shared" si="211"/>
        <v>2022</v>
      </c>
      <c r="N1062" s="6">
        <v>937.5</v>
      </c>
      <c r="O1062" s="6">
        <f t="shared" si="219"/>
        <v>-937.5</v>
      </c>
      <c r="P1062" s="6">
        <f t="shared" si="217"/>
        <v>0</v>
      </c>
      <c r="Q1062" s="7">
        <f t="shared" si="218"/>
        <v>1924853.8500000008</v>
      </c>
      <c r="R1062" s="44" t="str">
        <f>VLOOKUP(F1062,'Set up'!$A$2:$E$70,5,FALSE)</f>
        <v>Trsf</v>
      </c>
      <c r="S1062" s="1" t="s">
        <v>1288</v>
      </c>
    </row>
    <row r="1063" spans="1:21" x14ac:dyDescent="0.35">
      <c r="A1063" s="4" t="s">
        <v>992</v>
      </c>
      <c r="B1063" s="5">
        <f t="shared" si="207"/>
        <v>10</v>
      </c>
      <c r="C1063" s="5">
        <f t="shared" si="208"/>
        <v>2022</v>
      </c>
      <c r="D1063" s="5" t="s">
        <v>987</v>
      </c>
      <c r="E1063" s="5" t="str">
        <f>VLOOKUP(F1063,'Set up'!$A$2:$C$70,2,FALSE)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up'!$A$2:$C$70,3,FALSE)</f>
        <v>Cash</v>
      </c>
      <c r="J1063" s="5">
        <f>VLOOKUP(F1063,'Set up'!$A$2:$D$70,4,FALSE)</f>
        <v>0</v>
      </c>
      <c r="K1063" s="4">
        <f t="shared" si="209"/>
        <v>44837</v>
      </c>
      <c r="L1063" s="5">
        <f t="shared" si="210"/>
        <v>10</v>
      </c>
      <c r="M1063" s="5">
        <f t="shared" si="211"/>
        <v>2022</v>
      </c>
      <c r="N1063" s="6">
        <v>2000</v>
      </c>
      <c r="O1063" s="6">
        <f t="shared" si="219"/>
        <v>-2000</v>
      </c>
      <c r="P1063" s="6">
        <f t="shared" si="217"/>
        <v>0</v>
      </c>
      <c r="Q1063" s="7">
        <f t="shared" si="218"/>
        <v>1926853.8500000008</v>
      </c>
      <c r="R1063" s="44" t="str">
        <f>VLOOKUP(F1063,'Set up'!$A$2:$E$70,5,FALSE)</f>
        <v>Trsf</v>
      </c>
      <c r="S1063" s="1" t="s">
        <v>1288</v>
      </c>
    </row>
    <row r="1064" spans="1:21" x14ac:dyDescent="0.35">
      <c r="A1064" s="4" t="s">
        <v>992</v>
      </c>
      <c r="B1064" s="5">
        <f t="shared" si="207"/>
        <v>10</v>
      </c>
      <c r="C1064" s="5">
        <f t="shared" si="208"/>
        <v>2022</v>
      </c>
      <c r="D1064" s="5" t="s">
        <v>987</v>
      </c>
      <c r="E1064" s="5" t="str">
        <f>VLOOKUP(F1064,'Set up'!$A$2:$C$70,2,FALSE)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up'!$A$2:$C$70,3,FALSE)</f>
        <v>Cash</v>
      </c>
      <c r="J1064" s="5">
        <f>VLOOKUP(F1064,'Set up'!$A$2:$D$70,4,FALSE)</f>
        <v>0</v>
      </c>
      <c r="K1064" s="4">
        <f t="shared" si="209"/>
        <v>44837</v>
      </c>
      <c r="L1064" s="5">
        <f t="shared" si="210"/>
        <v>10</v>
      </c>
      <c r="M1064" s="5">
        <f t="shared" si="211"/>
        <v>2022</v>
      </c>
      <c r="N1064" s="6">
        <v>400</v>
      </c>
      <c r="O1064" s="6">
        <f t="shared" si="219"/>
        <v>-400</v>
      </c>
      <c r="P1064" s="6">
        <f t="shared" si="217"/>
        <v>0</v>
      </c>
      <c r="Q1064" s="7">
        <f t="shared" si="218"/>
        <v>1927253.8500000008</v>
      </c>
      <c r="R1064" s="44" t="str">
        <f>VLOOKUP(F1064,'Set up'!$A$2:$E$70,5,FALSE)</f>
        <v>Trsf</v>
      </c>
      <c r="S1064" s="1" t="s">
        <v>1288</v>
      </c>
    </row>
    <row r="1065" spans="1:21" x14ac:dyDescent="0.35">
      <c r="A1065" s="4" t="s">
        <v>994</v>
      </c>
      <c r="B1065" s="5">
        <f t="shared" si="207"/>
        <v>10</v>
      </c>
      <c r="C1065" s="5">
        <f t="shared" si="208"/>
        <v>2022</v>
      </c>
      <c r="D1065" s="5" t="s">
        <v>993</v>
      </c>
      <c r="E1065" s="5" t="str">
        <f>VLOOKUP(F1065,'Set up'!$A$2:$C$70,2,FALSE)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up'!$A$2:$C$70,3,FALSE)</f>
        <v>Cash</v>
      </c>
      <c r="J1065" s="5">
        <f>VLOOKUP(F1065,'Set up'!$A$2:$D$70,4,FALSE)</f>
        <v>0</v>
      </c>
      <c r="K1065" s="4">
        <f t="shared" si="209"/>
        <v>44835</v>
      </c>
      <c r="L1065" s="5">
        <f t="shared" si="210"/>
        <v>10</v>
      </c>
      <c r="M1065" s="5">
        <f t="shared" si="211"/>
        <v>2022</v>
      </c>
      <c r="N1065" s="6">
        <v>1936</v>
      </c>
      <c r="O1065" s="6">
        <f t="shared" ref="O1065:O1068" si="220">-N1065</f>
        <v>-1936</v>
      </c>
      <c r="P1065" s="6">
        <f t="shared" si="217"/>
        <v>0</v>
      </c>
      <c r="Q1065" s="7">
        <f t="shared" si="218"/>
        <v>1929189.8500000008</v>
      </c>
      <c r="R1065" s="44" t="str">
        <f>VLOOKUP(F1065,'Set up'!$A$2:$E$70,5,FALSE)</f>
        <v>PD Chq</v>
      </c>
      <c r="S1065" s="1" t="s">
        <v>1224</v>
      </c>
    </row>
    <row r="1066" spans="1:21" x14ac:dyDescent="0.35">
      <c r="A1066" s="4" t="s">
        <v>994</v>
      </c>
      <c r="B1066" s="5">
        <f t="shared" si="207"/>
        <v>10</v>
      </c>
      <c r="C1066" s="5">
        <f t="shared" si="208"/>
        <v>2022</v>
      </c>
      <c r="D1066" s="5" t="s">
        <v>993</v>
      </c>
      <c r="E1066" s="5" t="str">
        <f>VLOOKUP(F1066,'Set up'!$A$2:$C$70,2,FALSE)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up'!$A$2:$C$70,3,FALSE)</f>
        <v>Cash</v>
      </c>
      <c r="J1066" s="5">
        <f>VLOOKUP(F1066,'Set up'!$A$2:$D$70,4,FALSE)</f>
        <v>0</v>
      </c>
      <c r="K1066" s="4">
        <f t="shared" si="209"/>
        <v>44835</v>
      </c>
      <c r="L1066" s="5">
        <f t="shared" si="210"/>
        <v>10</v>
      </c>
      <c r="M1066" s="5">
        <f t="shared" si="211"/>
        <v>2022</v>
      </c>
      <c r="N1066" s="6">
        <v>100</v>
      </c>
      <c r="O1066" s="6">
        <f t="shared" si="220"/>
        <v>-100</v>
      </c>
      <c r="P1066" s="6">
        <f t="shared" si="217"/>
        <v>0</v>
      </c>
      <c r="Q1066" s="7">
        <f t="shared" si="218"/>
        <v>1929289.8500000008</v>
      </c>
      <c r="R1066" s="44" t="str">
        <f>VLOOKUP(F1066,'Set up'!$A$2:$E$70,5,FALSE)</f>
        <v>PD Chq</v>
      </c>
      <c r="S1066" s="1" t="s">
        <v>1224</v>
      </c>
    </row>
    <row r="1067" spans="1:21" x14ac:dyDescent="0.35">
      <c r="A1067" s="4" t="s">
        <v>994</v>
      </c>
      <c r="B1067" s="5">
        <f t="shared" si="207"/>
        <v>10</v>
      </c>
      <c r="C1067" s="5">
        <f t="shared" si="208"/>
        <v>2022</v>
      </c>
      <c r="D1067" s="5" t="s">
        <v>993</v>
      </c>
      <c r="E1067" s="5" t="str">
        <f>VLOOKUP(F1067,'Set up'!$A$2:$C$70,2,FALSE)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up'!$A$2:$C$70,3,FALSE)</f>
        <v>Cash</v>
      </c>
      <c r="J1067" s="5">
        <f>VLOOKUP(F1067,'Set up'!$A$2:$D$70,4,FALSE)</f>
        <v>0</v>
      </c>
      <c r="K1067" s="4">
        <f t="shared" si="209"/>
        <v>44835</v>
      </c>
      <c r="L1067" s="5">
        <f t="shared" si="210"/>
        <v>10</v>
      </c>
      <c r="M1067" s="5">
        <f t="shared" si="211"/>
        <v>2022</v>
      </c>
      <c r="N1067" s="6">
        <v>312.5</v>
      </c>
      <c r="O1067" s="6">
        <f t="shared" si="220"/>
        <v>-312.5</v>
      </c>
      <c r="P1067" s="6">
        <f t="shared" si="217"/>
        <v>0</v>
      </c>
      <c r="Q1067" s="7">
        <f t="shared" si="218"/>
        <v>1929602.3500000008</v>
      </c>
      <c r="R1067" s="44" t="str">
        <f>VLOOKUP(F1067,'Set up'!$A$2:$E$70,5,FALSE)</f>
        <v>PD Chq</v>
      </c>
      <c r="S1067" s="1" t="s">
        <v>1224</v>
      </c>
    </row>
    <row r="1068" spans="1:21" x14ac:dyDescent="0.35">
      <c r="A1068" s="4" t="s">
        <v>994</v>
      </c>
      <c r="B1068" s="5">
        <f t="shared" si="207"/>
        <v>10</v>
      </c>
      <c r="C1068" s="5">
        <f t="shared" si="208"/>
        <v>2022</v>
      </c>
      <c r="D1068" s="5" t="s">
        <v>993</v>
      </c>
      <c r="E1068" s="5" t="str">
        <f>VLOOKUP(F1068,'Set up'!$A$2:$C$70,2,FALSE)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up'!$A$2:$C$70,3,FALSE)</f>
        <v>Cash</v>
      </c>
      <c r="J1068" s="5">
        <f>VLOOKUP(F1068,'Set up'!$A$2:$D$70,4,FALSE)</f>
        <v>0</v>
      </c>
      <c r="K1068" s="4">
        <f t="shared" si="209"/>
        <v>44835</v>
      </c>
      <c r="L1068" s="5">
        <f t="shared" si="210"/>
        <v>10</v>
      </c>
      <c r="M1068" s="5">
        <f t="shared" si="211"/>
        <v>2022</v>
      </c>
      <c r="N1068" s="6">
        <v>288</v>
      </c>
      <c r="O1068" s="6">
        <f t="shared" si="220"/>
        <v>-288</v>
      </c>
      <c r="P1068" s="6">
        <f t="shared" si="217"/>
        <v>0</v>
      </c>
      <c r="Q1068" s="7">
        <f t="shared" si="218"/>
        <v>1929890.3500000008</v>
      </c>
      <c r="R1068" s="44" t="str">
        <f>VLOOKUP(F1068,'Set up'!$A$2:$E$70,5,FALSE)</f>
        <v>PD Chq</v>
      </c>
      <c r="S1068" s="1" t="s">
        <v>1224</v>
      </c>
    </row>
    <row r="1069" spans="1:21" x14ac:dyDescent="0.35">
      <c r="A1069" s="4">
        <v>44836</v>
      </c>
      <c r="B1069" s="5">
        <f t="shared" si="207"/>
        <v>10</v>
      </c>
      <c r="C1069" s="5">
        <f t="shared" si="208"/>
        <v>2022</v>
      </c>
      <c r="D1069" s="5" t="s">
        <v>995</v>
      </c>
      <c r="E1069" s="5" t="str">
        <f>VLOOKUP(F1069,'Set up'!$A$2:$C$70,2,FALSE)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up'!$A$2:$C$70,3,FALSE)</f>
        <v>45</v>
      </c>
      <c r="J1069" s="5">
        <f>VLOOKUP(F1069,'Set up'!$A$2:$D$70,4,FALSE)</f>
        <v>45</v>
      </c>
      <c r="K1069" s="4">
        <f t="shared" si="209"/>
        <v>44881</v>
      </c>
      <c r="L1069" s="5">
        <f t="shared" si="210"/>
        <v>11</v>
      </c>
      <c r="M1069" s="5">
        <f t="shared" si="211"/>
        <v>2022</v>
      </c>
      <c r="N1069" s="6">
        <v>2024</v>
      </c>
      <c r="O1069" s="6">
        <f>-1800-224</f>
        <v>-2024</v>
      </c>
      <c r="P1069" s="6">
        <f t="shared" si="217"/>
        <v>0</v>
      </c>
      <c r="Q1069" s="7">
        <f t="shared" si="218"/>
        <v>1931914.3500000008</v>
      </c>
      <c r="R1069" s="44" t="str">
        <f>VLOOKUP(F1069,'Set up'!$A$2:$E$70,5,FALSE)</f>
        <v>PD Chq</v>
      </c>
      <c r="S1069" s="1" t="s">
        <v>1142</v>
      </c>
      <c r="U1069" s="1" t="s">
        <v>3603</v>
      </c>
    </row>
    <row r="1070" spans="1:21" x14ac:dyDescent="0.35">
      <c r="A1070" s="4">
        <v>44836</v>
      </c>
      <c r="B1070" s="5">
        <f t="shared" si="207"/>
        <v>10</v>
      </c>
      <c r="C1070" s="5">
        <f t="shared" si="208"/>
        <v>2022</v>
      </c>
      <c r="D1070" s="5" t="s">
        <v>995</v>
      </c>
      <c r="E1070" s="5" t="str">
        <f>VLOOKUP(F1070,'Set up'!$A$2:$C$70,2,FALSE)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up'!$A$2:$C$70,3,FALSE)</f>
        <v>45</v>
      </c>
      <c r="J1070" s="5">
        <f>VLOOKUP(F1070,'Set up'!$A$2:$D$70,4,FALSE)</f>
        <v>45</v>
      </c>
      <c r="K1070" s="4">
        <f t="shared" si="209"/>
        <v>44881</v>
      </c>
      <c r="L1070" s="5">
        <f t="shared" si="210"/>
        <v>11</v>
      </c>
      <c r="M1070" s="5">
        <f t="shared" si="211"/>
        <v>2022</v>
      </c>
      <c r="N1070" s="6">
        <v>195</v>
      </c>
      <c r="O1070" s="6">
        <f>-N1070</f>
        <v>-195</v>
      </c>
      <c r="P1070" s="6">
        <f t="shared" si="217"/>
        <v>0</v>
      </c>
      <c r="Q1070" s="7">
        <f t="shared" si="218"/>
        <v>1932109.3500000008</v>
      </c>
      <c r="R1070" s="44" t="str">
        <f>VLOOKUP(F1070,'Set up'!$A$2:$E$70,5,FALSE)</f>
        <v>PD Chq</v>
      </c>
      <c r="S1070" s="1" t="s">
        <v>1143</v>
      </c>
      <c r="U1070" s="1" t="s">
        <v>3603</v>
      </c>
    </row>
    <row r="1071" spans="1:21" x14ac:dyDescent="0.35">
      <c r="A1071" s="4">
        <v>44836</v>
      </c>
      <c r="B1071" s="5">
        <f t="shared" si="207"/>
        <v>10</v>
      </c>
      <c r="C1071" s="5">
        <f t="shared" si="208"/>
        <v>2022</v>
      </c>
      <c r="D1071" s="5" t="s">
        <v>995</v>
      </c>
      <c r="E1071" s="5" t="str">
        <f>VLOOKUP(F1071,'Set up'!$A$2:$C$70,2,FALSE)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up'!$A$2:$C$70,3,FALSE)</f>
        <v>45</v>
      </c>
      <c r="J1071" s="5">
        <f>VLOOKUP(F1071,'Set up'!$A$2:$D$70,4,FALSE)</f>
        <v>45</v>
      </c>
      <c r="K1071" s="4">
        <f t="shared" si="209"/>
        <v>44881</v>
      </c>
      <c r="L1071" s="5">
        <f t="shared" si="210"/>
        <v>11</v>
      </c>
      <c r="M1071" s="5">
        <f t="shared" si="211"/>
        <v>2022</v>
      </c>
      <c r="N1071" s="6">
        <v>630</v>
      </c>
      <c r="O1071" s="6">
        <f>-N1071</f>
        <v>-630</v>
      </c>
      <c r="P1071" s="6">
        <f t="shared" si="217"/>
        <v>0</v>
      </c>
      <c r="Q1071" s="7">
        <f t="shared" si="218"/>
        <v>1932739.3500000008</v>
      </c>
      <c r="R1071" s="44" t="str">
        <f>VLOOKUP(F1071,'Set up'!$A$2:$E$70,5,FALSE)</f>
        <v>PD Chq</v>
      </c>
      <c r="S1071" s="1" t="s">
        <v>1144</v>
      </c>
      <c r="U1071" s="1" t="s">
        <v>3603</v>
      </c>
    </row>
    <row r="1072" spans="1:21" x14ac:dyDescent="0.35">
      <c r="A1072" s="4">
        <v>44836</v>
      </c>
      <c r="B1072" s="5">
        <f t="shared" si="207"/>
        <v>10</v>
      </c>
      <c r="C1072" s="5">
        <f t="shared" si="208"/>
        <v>2022</v>
      </c>
      <c r="D1072" s="5" t="s">
        <v>996</v>
      </c>
      <c r="E1072" s="5" t="str">
        <f>VLOOKUP(F1072,'Set up'!$A$2:$C$70,2,FALSE)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up'!$A$2:$C$70,3,FALSE)</f>
        <v>45</v>
      </c>
      <c r="J1072" s="5">
        <f>VLOOKUP(F1072,'Set up'!$A$2:$D$70,4,FALSE)</f>
        <v>45</v>
      </c>
      <c r="K1072" s="4">
        <f t="shared" si="209"/>
        <v>44881</v>
      </c>
      <c r="L1072" s="5">
        <f t="shared" si="210"/>
        <v>11</v>
      </c>
      <c r="M1072" s="5">
        <f t="shared" si="211"/>
        <v>2022</v>
      </c>
      <c r="N1072" s="6">
        <v>4048</v>
      </c>
      <c r="O1072" s="6">
        <f>-751-1800-1497</f>
        <v>-4048</v>
      </c>
      <c r="P1072" s="6">
        <f t="shared" si="217"/>
        <v>0</v>
      </c>
      <c r="Q1072" s="7">
        <f t="shared" si="218"/>
        <v>1936787.3500000008</v>
      </c>
      <c r="R1072" s="44" t="str">
        <f>VLOOKUP(F1072,'Set up'!$A$2:$E$70,5,FALSE)</f>
        <v>PD Chq</v>
      </c>
      <c r="S1072" s="1" t="s">
        <v>1207</v>
      </c>
      <c r="U1072" s="1" t="s">
        <v>3603</v>
      </c>
    </row>
    <row r="1073" spans="1:19" x14ac:dyDescent="0.35">
      <c r="A1073" s="4">
        <v>44845</v>
      </c>
      <c r="B1073" s="5">
        <f t="shared" si="207"/>
        <v>10</v>
      </c>
      <c r="C1073" s="5">
        <f t="shared" si="208"/>
        <v>2022</v>
      </c>
      <c r="D1073" s="5" t="s">
        <v>997</v>
      </c>
      <c r="E1073" s="5" t="str">
        <f>VLOOKUP(F1073,'Set up'!$A$2:$C$70,2,FALSE)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up'!$A$2:$C$70,3,FALSE)</f>
        <v>Cash</v>
      </c>
      <c r="J1073" s="5">
        <f>VLOOKUP(F1073,'Set up'!$A$2:$D$70,4,FALSE)</f>
        <v>0</v>
      </c>
      <c r="K1073" s="4">
        <f t="shared" si="209"/>
        <v>44845</v>
      </c>
      <c r="L1073" s="5">
        <f t="shared" si="210"/>
        <v>10</v>
      </c>
      <c r="M1073" s="5">
        <f t="shared" si="211"/>
        <v>2022</v>
      </c>
      <c r="N1073" s="6">
        <v>1958</v>
      </c>
      <c r="O1073" s="6">
        <f>-N1073</f>
        <v>-1958</v>
      </c>
      <c r="P1073" s="6">
        <f t="shared" si="217"/>
        <v>0</v>
      </c>
      <c r="Q1073" s="7">
        <f t="shared" si="218"/>
        <v>1938745.3500000008</v>
      </c>
      <c r="R1073" s="44" t="str">
        <f>VLOOKUP(F1073,'Set up'!$A$2:$E$70,5,FALSE)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07"/>
        <v>10</v>
      </c>
      <c r="C1074" s="5">
        <f t="shared" si="208"/>
        <v>2022</v>
      </c>
      <c r="D1074" s="5" t="s">
        <v>997</v>
      </c>
      <c r="E1074" s="5" t="str">
        <f>VLOOKUP(F1074,'Set up'!$A$2:$C$70,2,FALSE)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up'!$A$2:$C$70,3,FALSE)</f>
        <v>Cash</v>
      </c>
      <c r="J1074" s="5">
        <f>VLOOKUP(F1074,'Set up'!$A$2:$D$70,4,FALSE)</f>
        <v>0</v>
      </c>
      <c r="K1074" s="4">
        <f t="shared" si="209"/>
        <v>44845</v>
      </c>
      <c r="L1074" s="5">
        <f t="shared" si="210"/>
        <v>10</v>
      </c>
      <c r="M1074" s="5">
        <f t="shared" si="211"/>
        <v>2022</v>
      </c>
      <c r="N1074" s="6">
        <v>279</v>
      </c>
      <c r="O1074" s="6">
        <f>-N1074</f>
        <v>-279</v>
      </c>
      <c r="P1074" s="6">
        <f t="shared" si="217"/>
        <v>0</v>
      </c>
      <c r="Q1074" s="7">
        <f t="shared" si="218"/>
        <v>1939024.3500000008</v>
      </c>
      <c r="R1074" s="44" t="str">
        <f>VLOOKUP(F1074,'Set up'!$A$2:$E$70,5,FALSE)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07"/>
        <v>10</v>
      </c>
      <c r="C1075" s="5">
        <f t="shared" si="208"/>
        <v>2022</v>
      </c>
      <c r="D1075" s="5" t="s">
        <v>998</v>
      </c>
      <c r="E1075" s="5" t="str">
        <f>VLOOKUP(F1075,'Set up'!$A$2:$C$70,2,FALSE)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up'!$A$2:$C$70,3,FALSE)</f>
        <v>Cash</v>
      </c>
      <c r="J1075" s="5">
        <f>VLOOKUP(F1075,'Set up'!$A$2:$D$70,4,FALSE)</f>
        <v>0</v>
      </c>
      <c r="K1075" s="4">
        <f t="shared" si="209"/>
        <v>44845</v>
      </c>
      <c r="L1075" s="5">
        <f t="shared" si="210"/>
        <v>10</v>
      </c>
      <c r="M1075" s="5">
        <f t="shared" si="211"/>
        <v>2022</v>
      </c>
      <c r="N1075" s="6">
        <v>1936</v>
      </c>
      <c r="O1075" s="6">
        <f t="shared" ref="O1075:O1076" si="221">-N1075</f>
        <v>-1936</v>
      </c>
      <c r="P1075" s="6">
        <f t="shared" si="217"/>
        <v>0</v>
      </c>
      <c r="Q1075" s="7">
        <f t="shared" si="218"/>
        <v>1940960.3500000008</v>
      </c>
      <c r="R1075" s="44" t="str">
        <f>VLOOKUP(F1075,'Set up'!$A$2:$E$70,5,FALSE)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07"/>
        <v>10</v>
      </c>
      <c r="C1076" s="5">
        <f t="shared" si="208"/>
        <v>2022</v>
      </c>
      <c r="D1076" s="5" t="s">
        <v>998</v>
      </c>
      <c r="E1076" s="5" t="str">
        <f>VLOOKUP(F1076,'Set up'!$A$2:$C$70,2,FALSE)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up'!$A$2:$C$70,3,FALSE)</f>
        <v>Cash</v>
      </c>
      <c r="J1076" s="5">
        <f>VLOOKUP(F1076,'Set up'!$A$2:$D$70,4,FALSE)</f>
        <v>0</v>
      </c>
      <c r="K1076" s="4">
        <f t="shared" si="209"/>
        <v>44845</v>
      </c>
      <c r="L1076" s="5">
        <f t="shared" si="210"/>
        <v>10</v>
      </c>
      <c r="M1076" s="5">
        <f t="shared" si="211"/>
        <v>2022</v>
      </c>
      <c r="N1076" s="6">
        <v>596.29999999999995</v>
      </c>
      <c r="O1076" s="6">
        <f t="shared" si="221"/>
        <v>-596.29999999999995</v>
      </c>
      <c r="P1076" s="6">
        <f t="shared" si="217"/>
        <v>0</v>
      </c>
      <c r="Q1076" s="7">
        <f t="shared" si="218"/>
        <v>1941556.6500000008</v>
      </c>
      <c r="R1076" s="44" t="str">
        <f>VLOOKUP(F1076,'Set up'!$A$2:$E$70,5,FALSE)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07"/>
        <v>10</v>
      </c>
      <c r="C1077" s="5">
        <f t="shared" si="208"/>
        <v>2022</v>
      </c>
      <c r="D1077" s="5" t="s">
        <v>998</v>
      </c>
      <c r="E1077" s="5" t="str">
        <f>VLOOKUP(F1077,'Set up'!$A$2:$C$70,2,FALSE)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up'!$A$2:$C$70,3,FALSE)</f>
        <v>Cash</v>
      </c>
      <c r="J1077" s="5">
        <f>VLOOKUP(F1077,'Set up'!$A$2:$D$70,4,FALSE)</f>
        <v>0</v>
      </c>
      <c r="K1077" s="4">
        <f t="shared" si="209"/>
        <v>44845</v>
      </c>
      <c r="L1077" s="5">
        <f t="shared" si="210"/>
        <v>10</v>
      </c>
      <c r="M1077" s="5">
        <f t="shared" si="211"/>
        <v>2022</v>
      </c>
      <c r="N1077" s="6">
        <v>50</v>
      </c>
      <c r="O1077" s="6">
        <f t="shared" ref="O1077" si="222">-N1077</f>
        <v>-50</v>
      </c>
      <c r="P1077" s="6">
        <f t="shared" si="217"/>
        <v>0</v>
      </c>
      <c r="Q1077" s="7">
        <f t="shared" si="218"/>
        <v>1941606.6500000008</v>
      </c>
      <c r="R1077" s="44" t="str">
        <f>VLOOKUP(F1077,'Set up'!$A$2:$E$70,5,FALSE)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07"/>
        <v>10</v>
      </c>
      <c r="C1078" s="5">
        <f t="shared" si="208"/>
        <v>2022</v>
      </c>
      <c r="D1078" s="5" t="s">
        <v>998</v>
      </c>
      <c r="E1078" s="5" t="str">
        <f>VLOOKUP(F1078,'Set up'!$A$2:$C$70,2,FALSE)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up'!$A$2:$C$70,3,FALSE)</f>
        <v>Cash</v>
      </c>
      <c r="J1078" s="5">
        <f>VLOOKUP(F1078,'Set up'!$A$2:$D$70,4,FALSE)</f>
        <v>0</v>
      </c>
      <c r="K1078" s="4">
        <f t="shared" si="209"/>
        <v>44845</v>
      </c>
      <c r="L1078" s="5">
        <f t="shared" si="210"/>
        <v>10</v>
      </c>
      <c r="M1078" s="5">
        <f t="shared" si="211"/>
        <v>2022</v>
      </c>
      <c r="N1078" s="6">
        <v>105</v>
      </c>
      <c r="O1078" s="6">
        <f t="shared" ref="O1078" si="223">-N1078</f>
        <v>-105</v>
      </c>
      <c r="P1078" s="6">
        <f t="shared" si="217"/>
        <v>0</v>
      </c>
      <c r="Q1078" s="7">
        <f t="shared" si="218"/>
        <v>1941711.6500000008</v>
      </c>
      <c r="R1078" s="44" t="str">
        <f>VLOOKUP(F1078,'Set up'!$A$2:$E$70,5,FALSE)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07"/>
        <v>10</v>
      </c>
      <c r="C1079" s="5">
        <f t="shared" si="208"/>
        <v>2022</v>
      </c>
      <c r="D1079" s="5" t="s">
        <v>998</v>
      </c>
      <c r="E1079" s="5" t="str">
        <f>VLOOKUP(F1079,'Set up'!$A$2:$C$70,2,FALSE)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up'!$A$2:$C$70,3,FALSE)</f>
        <v>Cash</v>
      </c>
      <c r="J1079" s="5">
        <f>VLOOKUP(F1079,'Set up'!$A$2:$D$70,4,FALSE)</f>
        <v>0</v>
      </c>
      <c r="K1079" s="4">
        <f t="shared" si="209"/>
        <v>44845</v>
      </c>
      <c r="L1079" s="5">
        <f t="shared" si="210"/>
        <v>10</v>
      </c>
      <c r="M1079" s="5">
        <f t="shared" si="211"/>
        <v>2022</v>
      </c>
      <c r="N1079" s="6">
        <v>450</v>
      </c>
      <c r="O1079" s="6">
        <f t="shared" ref="O1079:O1086" si="224">-N1079</f>
        <v>-450</v>
      </c>
      <c r="P1079" s="6">
        <f t="shared" si="217"/>
        <v>0</v>
      </c>
      <c r="Q1079" s="7">
        <f t="shared" si="218"/>
        <v>1942161.6500000008</v>
      </c>
      <c r="R1079" s="44" t="str">
        <f>VLOOKUP(F1079,'Set up'!$A$2:$E$70,5,FALSE)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si="207"/>
        <v>10</v>
      </c>
      <c r="C1080" s="5">
        <f t="shared" si="208"/>
        <v>2022</v>
      </c>
      <c r="D1080" s="5" t="s">
        <v>999</v>
      </c>
      <c r="E1080" s="5" t="str">
        <f>VLOOKUP(F1080,'Set up'!$A$2:$C$70,2,FALSE)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up'!$A$2:$C$70,3,FALSE)</f>
        <v>Cash</v>
      </c>
      <c r="J1080" s="5">
        <f>VLOOKUP(F1080,'Set up'!$A$2:$D$70,4,FALSE)</f>
        <v>0</v>
      </c>
      <c r="K1080" s="4">
        <f t="shared" si="209"/>
        <v>44847</v>
      </c>
      <c r="L1080" s="5">
        <f t="shared" si="210"/>
        <v>10</v>
      </c>
      <c r="M1080" s="5">
        <f t="shared" si="211"/>
        <v>2022</v>
      </c>
      <c r="N1080" s="6">
        <v>5412</v>
      </c>
      <c r="O1080" s="6">
        <f t="shared" si="224"/>
        <v>-5412</v>
      </c>
      <c r="P1080" s="6">
        <f t="shared" ref="P1080:P1143" si="225">SUM(N1080+O1080)</f>
        <v>0</v>
      </c>
      <c r="Q1080" s="7">
        <f t="shared" ref="Q1080:Q1143" si="226">SUM(Q1079+N1080)</f>
        <v>1947573.6500000008</v>
      </c>
      <c r="R1080" s="44" t="str">
        <f>VLOOKUP(F1080,'Set up'!$A$2:$E$70,5,FALSE)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07"/>
        <v>10</v>
      </c>
      <c r="C1081" s="5">
        <f t="shared" si="208"/>
        <v>2022</v>
      </c>
      <c r="D1081" s="5" t="s">
        <v>999</v>
      </c>
      <c r="E1081" s="5" t="str">
        <f>VLOOKUP(F1081,'Set up'!$A$2:$C$70,2,FALSE)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up'!$A$2:$C$70,3,FALSE)</f>
        <v>Cash</v>
      </c>
      <c r="J1081" s="5">
        <f>VLOOKUP(F1081,'Set up'!$A$2:$D$70,4,FALSE)</f>
        <v>0</v>
      </c>
      <c r="K1081" s="4">
        <f t="shared" si="209"/>
        <v>44847</v>
      </c>
      <c r="L1081" s="5">
        <f t="shared" si="210"/>
        <v>10</v>
      </c>
      <c r="M1081" s="5">
        <f t="shared" si="211"/>
        <v>2022</v>
      </c>
      <c r="N1081" s="6">
        <v>1764</v>
      </c>
      <c r="O1081" s="6">
        <f t="shared" si="224"/>
        <v>-1764</v>
      </c>
      <c r="P1081" s="6">
        <f t="shared" si="225"/>
        <v>0</v>
      </c>
      <c r="Q1081" s="7">
        <f t="shared" si="226"/>
        <v>1949337.6500000008</v>
      </c>
      <c r="R1081" s="44" t="str">
        <f>VLOOKUP(F1081,'Set up'!$A$2:$E$70,5,FALSE)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07"/>
        <v>10</v>
      </c>
      <c r="C1082" s="5">
        <f t="shared" si="208"/>
        <v>2022</v>
      </c>
      <c r="D1082" s="5" t="s">
        <v>999</v>
      </c>
      <c r="E1082" s="5" t="str">
        <f>VLOOKUP(F1082,'Set up'!$A$2:$C$70,2,FALSE)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up'!$A$2:$C$70,3,FALSE)</f>
        <v>Cash</v>
      </c>
      <c r="J1082" s="5">
        <f>VLOOKUP(F1082,'Set up'!$A$2:$D$70,4,FALSE)</f>
        <v>0</v>
      </c>
      <c r="K1082" s="4">
        <f t="shared" si="209"/>
        <v>44847</v>
      </c>
      <c r="L1082" s="5">
        <f t="shared" si="210"/>
        <v>10</v>
      </c>
      <c r="M1082" s="5">
        <f t="shared" si="211"/>
        <v>2022</v>
      </c>
      <c r="N1082" s="6">
        <v>562.79999999999995</v>
      </c>
      <c r="O1082" s="6">
        <f t="shared" si="224"/>
        <v>-562.79999999999995</v>
      </c>
      <c r="P1082" s="6">
        <f t="shared" si="225"/>
        <v>0</v>
      </c>
      <c r="Q1082" s="7">
        <f t="shared" si="226"/>
        <v>1949900.4500000009</v>
      </c>
      <c r="R1082" s="44" t="str">
        <f>VLOOKUP(F1082,'Set up'!$A$2:$E$70,5,FALSE)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07"/>
        <v>10</v>
      </c>
      <c r="C1083" s="5">
        <f t="shared" si="208"/>
        <v>2022</v>
      </c>
      <c r="D1083" s="5" t="s">
        <v>999</v>
      </c>
      <c r="E1083" s="5" t="str">
        <f>VLOOKUP(F1083,'Set up'!$A$2:$C$70,2,FALSE)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up'!$A$2:$C$70,3,FALSE)</f>
        <v>Cash</v>
      </c>
      <c r="J1083" s="5">
        <f>VLOOKUP(F1083,'Set up'!$A$2:$D$70,4,FALSE)</f>
        <v>0</v>
      </c>
      <c r="K1083" s="4">
        <f t="shared" si="209"/>
        <v>44847</v>
      </c>
      <c r="L1083" s="5">
        <f t="shared" si="210"/>
        <v>10</v>
      </c>
      <c r="M1083" s="5">
        <f t="shared" si="211"/>
        <v>2022</v>
      </c>
      <c r="N1083" s="6">
        <v>1040</v>
      </c>
      <c r="O1083" s="6">
        <f t="shared" si="224"/>
        <v>-1040</v>
      </c>
      <c r="P1083" s="6">
        <f t="shared" si="225"/>
        <v>0</v>
      </c>
      <c r="Q1083" s="7">
        <f t="shared" si="226"/>
        <v>1950940.4500000009</v>
      </c>
      <c r="R1083" s="44" t="str">
        <f>VLOOKUP(F1083,'Set up'!$A$2:$E$70,5,FALSE)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07"/>
        <v>10</v>
      </c>
      <c r="C1084" s="5">
        <f t="shared" si="208"/>
        <v>2022</v>
      </c>
      <c r="D1084" s="5" t="s">
        <v>999</v>
      </c>
      <c r="E1084" s="5" t="str">
        <f>VLOOKUP(F1084,'Set up'!$A$2:$C$70,2,FALSE)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up'!$A$2:$C$70,3,FALSE)</f>
        <v>Cash</v>
      </c>
      <c r="J1084" s="5">
        <f>VLOOKUP(F1084,'Set up'!$A$2:$D$70,4,FALSE)</f>
        <v>0</v>
      </c>
      <c r="K1084" s="4">
        <f t="shared" si="209"/>
        <v>44847</v>
      </c>
      <c r="L1084" s="5">
        <f t="shared" si="210"/>
        <v>10</v>
      </c>
      <c r="M1084" s="5">
        <f t="shared" si="211"/>
        <v>2022</v>
      </c>
      <c r="N1084" s="6">
        <v>187.5</v>
      </c>
      <c r="O1084" s="6">
        <f t="shared" si="224"/>
        <v>-187.5</v>
      </c>
      <c r="P1084" s="6">
        <f t="shared" si="225"/>
        <v>0</v>
      </c>
      <c r="Q1084" s="7">
        <f t="shared" si="226"/>
        <v>1951127.9500000009</v>
      </c>
      <c r="R1084" s="44" t="str">
        <f>VLOOKUP(F1084,'Set up'!$A$2:$E$70,5,FALSE)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07"/>
        <v>10</v>
      </c>
      <c r="C1085" s="5">
        <f t="shared" si="208"/>
        <v>2022</v>
      </c>
      <c r="D1085" s="5" t="s">
        <v>999</v>
      </c>
      <c r="E1085" s="5" t="str">
        <f>VLOOKUP(F1085,'Set up'!$A$2:$C$70,2,FALSE)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up'!$A$2:$C$70,3,FALSE)</f>
        <v>Cash</v>
      </c>
      <c r="J1085" s="5">
        <f>VLOOKUP(F1085,'Set up'!$A$2:$D$70,4,FALSE)</f>
        <v>0</v>
      </c>
      <c r="K1085" s="4">
        <f t="shared" si="209"/>
        <v>44847</v>
      </c>
      <c r="L1085" s="5">
        <f t="shared" si="210"/>
        <v>10</v>
      </c>
      <c r="M1085" s="5">
        <f t="shared" si="211"/>
        <v>2022</v>
      </c>
      <c r="N1085" s="6">
        <v>1000</v>
      </c>
      <c r="O1085" s="6">
        <f t="shared" si="224"/>
        <v>-1000</v>
      </c>
      <c r="P1085" s="6">
        <f t="shared" si="225"/>
        <v>0</v>
      </c>
      <c r="Q1085" s="7">
        <f t="shared" si="226"/>
        <v>1952127.9500000009</v>
      </c>
      <c r="R1085" s="44" t="str">
        <f>VLOOKUP(F1085,'Set up'!$A$2:$E$70,5,FALSE)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07"/>
        <v>10</v>
      </c>
      <c r="C1086" s="5">
        <f t="shared" si="208"/>
        <v>2022</v>
      </c>
      <c r="D1086" s="5" t="s">
        <v>999</v>
      </c>
      <c r="E1086" s="5" t="str">
        <f>VLOOKUP(F1086,'Set up'!$A$2:$C$70,2,FALSE)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up'!$A$2:$C$70,3,FALSE)</f>
        <v>Cash</v>
      </c>
      <c r="J1086" s="5">
        <f>VLOOKUP(F1086,'Set up'!$A$2:$D$70,4,FALSE)</f>
        <v>0</v>
      </c>
      <c r="K1086" s="4">
        <f t="shared" si="209"/>
        <v>44847</v>
      </c>
      <c r="L1086" s="5">
        <f t="shared" si="210"/>
        <v>10</v>
      </c>
      <c r="M1086" s="5">
        <f t="shared" si="211"/>
        <v>2022</v>
      </c>
      <c r="N1086" s="6">
        <v>200</v>
      </c>
      <c r="O1086" s="104">
        <f t="shared" si="224"/>
        <v>-200</v>
      </c>
      <c r="P1086" s="6">
        <f t="shared" si="225"/>
        <v>0</v>
      </c>
      <c r="Q1086" s="7">
        <f t="shared" si="226"/>
        <v>1952327.9500000009</v>
      </c>
      <c r="R1086" s="44" t="str">
        <f>VLOOKUP(F1086,'Set up'!$A$2:$E$70,5,FALSE)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07"/>
        <v>10</v>
      </c>
      <c r="C1087" s="5">
        <f t="shared" si="208"/>
        <v>2022</v>
      </c>
      <c r="D1087" s="5" t="s">
        <v>1000</v>
      </c>
      <c r="E1087" s="5" t="str">
        <f>VLOOKUP(F1087,'Set up'!$A$2:$C$70,2,FALSE)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up'!$A$2:$C$70,3,FALSE)</f>
        <v>Cash</v>
      </c>
      <c r="J1087" s="5">
        <f>VLOOKUP(F1087,'Set up'!$A$2:$D$70,4,FALSE)</f>
        <v>0</v>
      </c>
      <c r="K1087" s="4">
        <f t="shared" si="209"/>
        <v>44847</v>
      </c>
      <c r="L1087" s="5">
        <f t="shared" si="210"/>
        <v>10</v>
      </c>
      <c r="M1087" s="5">
        <f t="shared" si="211"/>
        <v>2022</v>
      </c>
      <c r="N1087" s="6">
        <v>1936</v>
      </c>
      <c r="O1087" s="6">
        <f t="shared" ref="O1087:O1094" si="227">-N1087</f>
        <v>-1936</v>
      </c>
      <c r="P1087" s="6">
        <f t="shared" si="225"/>
        <v>0</v>
      </c>
      <c r="Q1087" s="7">
        <f t="shared" si="226"/>
        <v>1954263.9500000009</v>
      </c>
      <c r="R1087" s="44" t="str">
        <f>VLOOKUP(F1087,'Set up'!$A$2:$E$70,5,FALSE)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07"/>
        <v>10</v>
      </c>
      <c r="C1088" s="5">
        <f t="shared" si="208"/>
        <v>2022</v>
      </c>
      <c r="D1088" s="5" t="s">
        <v>1000</v>
      </c>
      <c r="E1088" s="5" t="str">
        <f>VLOOKUP(F1088,'Set up'!$A$2:$C$70,2,FALSE)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up'!$A$2:$C$70,3,FALSE)</f>
        <v>Cash</v>
      </c>
      <c r="J1088" s="5">
        <f>VLOOKUP(F1088,'Set up'!$A$2:$D$70,4,FALSE)</f>
        <v>0</v>
      </c>
      <c r="K1088" s="4">
        <f t="shared" si="209"/>
        <v>44847</v>
      </c>
      <c r="L1088" s="5">
        <f t="shared" si="210"/>
        <v>10</v>
      </c>
      <c r="M1088" s="5">
        <f t="shared" si="211"/>
        <v>2022</v>
      </c>
      <c r="N1088" s="6">
        <v>534</v>
      </c>
      <c r="O1088" s="6">
        <f t="shared" si="227"/>
        <v>-534</v>
      </c>
      <c r="P1088" s="6">
        <f t="shared" si="225"/>
        <v>0</v>
      </c>
      <c r="Q1088" s="7">
        <f t="shared" si="226"/>
        <v>1954797.9500000009</v>
      </c>
      <c r="R1088" s="44" t="str">
        <f>VLOOKUP(F1088,'Set up'!$A$2:$E$70,5,FALSE)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07"/>
        <v>10</v>
      </c>
      <c r="C1089" s="5">
        <f t="shared" si="208"/>
        <v>2022</v>
      </c>
      <c r="D1089" s="5" t="s">
        <v>1000</v>
      </c>
      <c r="E1089" s="5" t="str">
        <f>VLOOKUP(F1089,'Set up'!$A$2:$C$70,2,FALSE)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up'!$A$2:$C$70,3,FALSE)</f>
        <v>Cash</v>
      </c>
      <c r="J1089" s="5">
        <f>VLOOKUP(F1089,'Set up'!$A$2:$D$70,4,FALSE)</f>
        <v>0</v>
      </c>
      <c r="K1089" s="4">
        <f t="shared" si="209"/>
        <v>44847</v>
      </c>
      <c r="L1089" s="5">
        <f t="shared" si="210"/>
        <v>10</v>
      </c>
      <c r="M1089" s="5">
        <f t="shared" si="211"/>
        <v>2022</v>
      </c>
      <c r="N1089" s="6">
        <v>100</v>
      </c>
      <c r="O1089" s="6">
        <f t="shared" si="227"/>
        <v>-100</v>
      </c>
      <c r="P1089" s="6">
        <f t="shared" si="225"/>
        <v>0</v>
      </c>
      <c r="Q1089" s="7">
        <f t="shared" si="226"/>
        <v>1954897.9500000009</v>
      </c>
      <c r="R1089" s="44" t="str">
        <f>VLOOKUP(F1089,'Set up'!$A$2:$E$70,5,FALSE)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07"/>
        <v>10</v>
      </c>
      <c r="C1090" s="5">
        <f t="shared" si="208"/>
        <v>2022</v>
      </c>
      <c r="D1090" s="5" t="s">
        <v>1001</v>
      </c>
      <c r="E1090" s="5" t="str">
        <f>VLOOKUP(F1090,'Set up'!$A$2:$C$70,2,FALSE)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up'!$A$2:$C$70,3,FALSE)</f>
        <v>120</v>
      </c>
      <c r="J1090" s="5">
        <f>VLOOKUP(F1090,'Set up'!$A$2:$D$70,4,FALSE)</f>
        <v>120</v>
      </c>
      <c r="K1090" s="4">
        <f t="shared" si="209"/>
        <v>44969</v>
      </c>
      <c r="L1090" s="5">
        <f t="shared" si="210"/>
        <v>2</v>
      </c>
      <c r="M1090" s="5">
        <f t="shared" si="211"/>
        <v>2023</v>
      </c>
      <c r="N1090" s="6">
        <v>9020</v>
      </c>
      <c r="O1090" s="6">
        <f t="shared" si="227"/>
        <v>-9020</v>
      </c>
      <c r="P1090" s="6">
        <f t="shared" si="225"/>
        <v>0</v>
      </c>
      <c r="Q1090" s="7">
        <f t="shared" si="226"/>
        <v>1963917.9500000009</v>
      </c>
      <c r="R1090" s="44" t="str">
        <f>VLOOKUP(F1090,'Set up'!$A$2:$E$70,5,FALSE)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ref="B1091:B1154" si="228">MONTH(A1091)</f>
        <v>10</v>
      </c>
      <c r="C1091" s="5">
        <f t="shared" ref="C1091:C1154" si="229">YEAR(A1091)</f>
        <v>2022</v>
      </c>
      <c r="D1091" s="5" t="s">
        <v>1001</v>
      </c>
      <c r="E1091" s="5" t="str">
        <f>VLOOKUP(F1091,'Set up'!$A$2:$C$70,2,FALSE)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up'!$A$2:$C$70,3,FALSE)</f>
        <v>120</v>
      </c>
      <c r="J1091" s="5">
        <f>VLOOKUP(F1091,'Set up'!$A$2:$D$70,4,FALSE)</f>
        <v>120</v>
      </c>
      <c r="K1091" s="4">
        <f t="shared" ref="K1091:K1154" si="230">A1091+J1091</f>
        <v>44969</v>
      </c>
      <c r="L1091" s="5">
        <f t="shared" ref="L1091:L1154" si="231">MONTH(K1091)</f>
        <v>2</v>
      </c>
      <c r="M1091" s="5">
        <f t="shared" ref="M1091:M1154" si="232">YEAR(K1091)</f>
        <v>2023</v>
      </c>
      <c r="N1091" s="6">
        <v>1245</v>
      </c>
      <c r="O1091" s="6">
        <f t="shared" si="227"/>
        <v>-1245</v>
      </c>
      <c r="P1091" s="6">
        <f t="shared" si="225"/>
        <v>0</v>
      </c>
      <c r="Q1091" s="7">
        <f t="shared" si="226"/>
        <v>1965162.9500000009</v>
      </c>
      <c r="R1091" s="44" t="str">
        <f>VLOOKUP(F1091,'Set up'!$A$2:$E$70,5,FALSE)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28"/>
        <v>10</v>
      </c>
      <c r="C1092" s="5">
        <f t="shared" si="229"/>
        <v>2022</v>
      </c>
      <c r="D1092" s="5" t="s">
        <v>1001</v>
      </c>
      <c r="E1092" s="5" t="str">
        <f>VLOOKUP(F1092,'Set up'!$A$2:$C$70,2,FALSE)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up'!$A$2:$C$70,3,FALSE)</f>
        <v>120</v>
      </c>
      <c r="J1092" s="5">
        <f>VLOOKUP(F1092,'Set up'!$A$2:$D$70,4,FALSE)</f>
        <v>120</v>
      </c>
      <c r="K1092" s="4">
        <f t="shared" si="230"/>
        <v>44969</v>
      </c>
      <c r="L1092" s="5">
        <f t="shared" si="231"/>
        <v>2</v>
      </c>
      <c r="M1092" s="5">
        <f t="shared" si="232"/>
        <v>2023</v>
      </c>
      <c r="N1092" s="6">
        <v>575</v>
      </c>
      <c r="O1092" s="6">
        <f t="shared" si="227"/>
        <v>-575</v>
      </c>
      <c r="P1092" s="6">
        <f t="shared" si="225"/>
        <v>0</v>
      </c>
      <c r="Q1092" s="7">
        <f t="shared" si="226"/>
        <v>1965737.9500000009</v>
      </c>
      <c r="R1092" s="44" t="str">
        <f>VLOOKUP(F1092,'Set up'!$A$2:$E$70,5,FALSE)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28"/>
        <v>10</v>
      </c>
      <c r="C1093" s="5">
        <f t="shared" si="229"/>
        <v>2022</v>
      </c>
      <c r="D1093" s="5" t="s">
        <v>1001</v>
      </c>
      <c r="E1093" s="5" t="str">
        <f>VLOOKUP(F1093,'Set up'!$A$2:$C$70,2,FALSE)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up'!$A$2:$C$70,3,FALSE)</f>
        <v>120</v>
      </c>
      <c r="J1093" s="5">
        <f>VLOOKUP(F1093,'Set up'!$A$2:$D$70,4,FALSE)</f>
        <v>120</v>
      </c>
      <c r="K1093" s="4">
        <f t="shared" si="230"/>
        <v>44969</v>
      </c>
      <c r="L1093" s="5">
        <f t="shared" si="231"/>
        <v>2</v>
      </c>
      <c r="M1093" s="5">
        <f t="shared" si="232"/>
        <v>2023</v>
      </c>
      <c r="N1093" s="6">
        <v>420</v>
      </c>
      <c r="O1093" s="6">
        <f t="shared" si="227"/>
        <v>-420</v>
      </c>
      <c r="P1093" s="6">
        <f t="shared" si="225"/>
        <v>0</v>
      </c>
      <c r="Q1093" s="7">
        <f t="shared" si="226"/>
        <v>1966157.9500000009</v>
      </c>
      <c r="R1093" s="44" t="str">
        <f>VLOOKUP(F1093,'Set up'!$A$2:$E$70,5,FALSE)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28"/>
        <v>10</v>
      </c>
      <c r="C1094" s="5">
        <f t="shared" si="229"/>
        <v>2022</v>
      </c>
      <c r="D1094" s="5" t="s">
        <v>1001</v>
      </c>
      <c r="E1094" s="5" t="str">
        <f>VLOOKUP(F1094,'Set up'!$A$2:$C$70,2,FALSE)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up'!$A$2:$C$70,3,FALSE)</f>
        <v>120</v>
      </c>
      <c r="J1094" s="5">
        <f>VLOOKUP(F1094,'Set up'!$A$2:$D$70,4,FALSE)</f>
        <v>120</v>
      </c>
      <c r="K1094" s="4">
        <f t="shared" si="230"/>
        <v>44969</v>
      </c>
      <c r="L1094" s="5">
        <f t="shared" si="231"/>
        <v>2</v>
      </c>
      <c r="M1094" s="5">
        <f t="shared" si="232"/>
        <v>2023</v>
      </c>
      <c r="N1094" s="6">
        <v>220</v>
      </c>
      <c r="O1094" s="6">
        <f t="shared" si="227"/>
        <v>-220</v>
      </c>
      <c r="P1094" s="6">
        <f t="shared" si="225"/>
        <v>0</v>
      </c>
      <c r="Q1094" s="7">
        <f t="shared" si="226"/>
        <v>1966377.9500000009</v>
      </c>
      <c r="R1094" s="44" t="str">
        <f>VLOOKUP(F1094,'Set up'!$A$2:$E$70,5,FALSE)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28"/>
        <v>10</v>
      </c>
      <c r="C1095" s="5">
        <f t="shared" si="229"/>
        <v>2022</v>
      </c>
      <c r="D1095" s="5" t="s">
        <v>1004</v>
      </c>
      <c r="E1095" s="5" t="str">
        <f>VLOOKUP(F1095,'Set up'!$A$2:$C$70,2,FALSE)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up'!$A$2:$C$70,3,FALSE)</f>
        <v>Cash</v>
      </c>
      <c r="J1095" s="5">
        <f>VLOOKUP(F1095,'Set up'!$A$2:$D$70,4,FALSE)</f>
        <v>0</v>
      </c>
      <c r="K1095" s="4">
        <f t="shared" si="230"/>
        <v>44851</v>
      </c>
      <c r="L1095" s="5">
        <f t="shared" si="231"/>
        <v>10</v>
      </c>
      <c r="M1095" s="5">
        <f t="shared" si="232"/>
        <v>2022</v>
      </c>
      <c r="N1095" s="6">
        <v>1958</v>
      </c>
      <c r="O1095" s="6">
        <f t="shared" ref="O1095:O1104" si="233">-N1095</f>
        <v>-1958</v>
      </c>
      <c r="P1095" s="6">
        <f t="shared" si="225"/>
        <v>0</v>
      </c>
      <c r="Q1095" s="7">
        <f t="shared" si="226"/>
        <v>1968335.9500000009</v>
      </c>
      <c r="R1095" s="44" t="str">
        <f>VLOOKUP(F1095,'Set up'!$A$2:$E$70,5,FALSE)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28"/>
        <v>10</v>
      </c>
      <c r="C1096" s="5">
        <f t="shared" si="229"/>
        <v>2022</v>
      </c>
      <c r="D1096" s="5" t="s">
        <v>1004</v>
      </c>
      <c r="E1096" s="5" t="str">
        <f>VLOOKUP(F1096,'Set up'!$A$2:$C$70,2,FALSE)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up'!$A$2:$C$70,3,FALSE)</f>
        <v>Cash</v>
      </c>
      <c r="J1096" s="5">
        <f>VLOOKUP(F1096,'Set up'!$A$2:$D$70,4,FALSE)</f>
        <v>0</v>
      </c>
      <c r="K1096" s="4">
        <f t="shared" si="230"/>
        <v>44851</v>
      </c>
      <c r="L1096" s="5">
        <f t="shared" si="231"/>
        <v>10</v>
      </c>
      <c r="M1096" s="5">
        <f t="shared" si="232"/>
        <v>2022</v>
      </c>
      <c r="N1096" s="6">
        <v>603</v>
      </c>
      <c r="O1096" s="6">
        <f t="shared" si="233"/>
        <v>-603</v>
      </c>
      <c r="P1096" s="6">
        <f t="shared" si="225"/>
        <v>0</v>
      </c>
      <c r="Q1096" s="7">
        <f t="shared" si="226"/>
        <v>1968938.9500000009</v>
      </c>
      <c r="R1096" s="44" t="str">
        <f>VLOOKUP(F1096,'Set up'!$A$2:$E$70,5,FALSE)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28"/>
        <v>10</v>
      </c>
      <c r="C1097" s="5">
        <f t="shared" si="229"/>
        <v>2022</v>
      </c>
      <c r="D1097" s="5" t="s">
        <v>1004</v>
      </c>
      <c r="E1097" s="5" t="str">
        <f>VLOOKUP(F1097,'Set up'!$A$2:$C$70,2,FALSE)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up'!$A$2:$C$70,3,FALSE)</f>
        <v>Cash</v>
      </c>
      <c r="J1097" s="5">
        <f>VLOOKUP(F1097,'Set up'!$A$2:$D$70,4,FALSE)</f>
        <v>0</v>
      </c>
      <c r="K1097" s="4">
        <f t="shared" si="230"/>
        <v>44851</v>
      </c>
      <c r="L1097" s="5">
        <f t="shared" si="231"/>
        <v>10</v>
      </c>
      <c r="M1097" s="5">
        <f t="shared" si="232"/>
        <v>2022</v>
      </c>
      <c r="N1097" s="6">
        <v>254</v>
      </c>
      <c r="O1097" s="6">
        <f t="shared" si="233"/>
        <v>-254</v>
      </c>
      <c r="P1097" s="6">
        <f t="shared" si="225"/>
        <v>0</v>
      </c>
      <c r="Q1097" s="7">
        <f t="shared" si="226"/>
        <v>1969192.9500000009</v>
      </c>
      <c r="R1097" s="44" t="str">
        <f>VLOOKUP(F1097,'Set up'!$A$2:$E$70,5,FALSE)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28"/>
        <v>10</v>
      </c>
      <c r="C1098" s="5">
        <f t="shared" si="229"/>
        <v>2022</v>
      </c>
      <c r="D1098" s="5" t="s">
        <v>1004</v>
      </c>
      <c r="E1098" s="5" t="str">
        <f>VLOOKUP(F1098,'Set up'!$A$2:$C$70,2,FALSE)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up'!$A$2:$C$70,3,FALSE)</f>
        <v>Cash</v>
      </c>
      <c r="J1098" s="5">
        <f>VLOOKUP(F1098,'Set up'!$A$2:$D$70,4,FALSE)</f>
        <v>0</v>
      </c>
      <c r="K1098" s="4">
        <f t="shared" si="230"/>
        <v>44851</v>
      </c>
      <c r="L1098" s="5">
        <f t="shared" si="231"/>
        <v>10</v>
      </c>
      <c r="M1098" s="5">
        <f t="shared" si="232"/>
        <v>2022</v>
      </c>
      <c r="N1098" s="6">
        <v>55</v>
      </c>
      <c r="O1098" s="6">
        <f t="shared" si="233"/>
        <v>-55</v>
      </c>
      <c r="P1098" s="6">
        <f t="shared" si="225"/>
        <v>0</v>
      </c>
      <c r="Q1098" s="7">
        <f t="shared" si="226"/>
        <v>1969247.9500000009</v>
      </c>
      <c r="R1098" s="44" t="str">
        <f>VLOOKUP(F1098,'Set up'!$A$2:$E$70,5,FALSE)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28"/>
        <v>10</v>
      </c>
      <c r="C1099" s="5">
        <f t="shared" si="229"/>
        <v>2022</v>
      </c>
      <c r="D1099" s="5" t="s">
        <v>1004</v>
      </c>
      <c r="E1099" s="5" t="str">
        <f>VLOOKUP(F1099,'Set up'!$A$2:$C$70,2,FALSE)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up'!$A$2:$C$70,3,FALSE)</f>
        <v>Cash</v>
      </c>
      <c r="J1099" s="5">
        <f>VLOOKUP(F1099,'Set up'!$A$2:$D$70,4,FALSE)</f>
        <v>0</v>
      </c>
      <c r="K1099" s="4">
        <f t="shared" si="230"/>
        <v>44851</v>
      </c>
      <c r="L1099" s="5">
        <f t="shared" si="231"/>
        <v>10</v>
      </c>
      <c r="M1099" s="5">
        <f t="shared" si="232"/>
        <v>2022</v>
      </c>
      <c r="N1099" s="6">
        <v>160</v>
      </c>
      <c r="O1099" s="6">
        <f t="shared" si="233"/>
        <v>-160</v>
      </c>
      <c r="P1099" s="6">
        <f t="shared" si="225"/>
        <v>0</v>
      </c>
      <c r="Q1099" s="7">
        <f t="shared" si="226"/>
        <v>1969407.9500000009</v>
      </c>
      <c r="R1099" s="44" t="str">
        <f>VLOOKUP(F1099,'Set up'!$A$2:$E$70,5,FALSE)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28"/>
        <v>10</v>
      </c>
      <c r="C1100" s="5">
        <f t="shared" si="229"/>
        <v>2022</v>
      </c>
      <c r="D1100" s="5" t="s">
        <v>1004</v>
      </c>
      <c r="E1100" s="5" t="str">
        <f>VLOOKUP(F1100,'Set up'!$A$2:$C$70,2,FALSE)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up'!$A$2:$C$70,3,FALSE)</f>
        <v>Cash</v>
      </c>
      <c r="J1100" s="5">
        <f>VLOOKUP(F1100,'Set up'!$A$2:$D$70,4,FALSE)</f>
        <v>0</v>
      </c>
      <c r="K1100" s="4">
        <f t="shared" si="230"/>
        <v>44851</v>
      </c>
      <c r="L1100" s="5">
        <f t="shared" si="231"/>
        <v>10</v>
      </c>
      <c r="M1100" s="5">
        <f t="shared" si="232"/>
        <v>2022</v>
      </c>
      <c r="N1100" s="6">
        <v>240</v>
      </c>
      <c r="O1100" s="6">
        <f t="shared" si="233"/>
        <v>-240</v>
      </c>
      <c r="P1100" s="6">
        <f t="shared" si="225"/>
        <v>0</v>
      </c>
      <c r="Q1100" s="7">
        <f t="shared" si="226"/>
        <v>1969647.9500000009</v>
      </c>
      <c r="R1100" s="44" t="str">
        <f>VLOOKUP(F1100,'Set up'!$A$2:$E$70,5,FALSE)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28"/>
        <v>10</v>
      </c>
      <c r="C1101" s="5">
        <f t="shared" si="229"/>
        <v>2022</v>
      </c>
      <c r="D1101" s="5" t="s">
        <v>1004</v>
      </c>
      <c r="E1101" s="5" t="str">
        <f>VLOOKUP(F1101,'Set up'!$A$2:$C$70,2,FALSE)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up'!$A$2:$C$70,3,FALSE)</f>
        <v>Cash</v>
      </c>
      <c r="J1101" s="5">
        <f>VLOOKUP(F1101,'Set up'!$A$2:$D$70,4,FALSE)</f>
        <v>0</v>
      </c>
      <c r="K1101" s="4">
        <f t="shared" si="230"/>
        <v>44851</v>
      </c>
      <c r="L1101" s="5">
        <f t="shared" si="231"/>
        <v>10</v>
      </c>
      <c r="M1101" s="5">
        <f t="shared" si="232"/>
        <v>2022</v>
      </c>
      <c r="N1101" s="6">
        <v>105</v>
      </c>
      <c r="O1101" s="6">
        <f t="shared" si="233"/>
        <v>-105</v>
      </c>
      <c r="P1101" s="6">
        <f t="shared" si="225"/>
        <v>0</v>
      </c>
      <c r="Q1101" s="7">
        <f t="shared" si="226"/>
        <v>1969752.9500000009</v>
      </c>
      <c r="R1101" s="44" t="str">
        <f>VLOOKUP(F1101,'Set up'!$A$2:$E$70,5,FALSE)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28"/>
        <v>10</v>
      </c>
      <c r="C1102" s="5">
        <f t="shared" si="229"/>
        <v>2022</v>
      </c>
      <c r="D1102" s="5" t="s">
        <v>1004</v>
      </c>
      <c r="E1102" s="5" t="str">
        <f>VLOOKUP(F1102,'Set up'!$A$2:$C$70,2,FALSE)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up'!$A$2:$C$70,3,FALSE)</f>
        <v>Cash</v>
      </c>
      <c r="J1102" s="5">
        <f>VLOOKUP(F1102,'Set up'!$A$2:$D$70,4,FALSE)</f>
        <v>0</v>
      </c>
      <c r="K1102" s="4">
        <f t="shared" si="230"/>
        <v>44851</v>
      </c>
      <c r="L1102" s="5">
        <f t="shared" si="231"/>
        <v>10</v>
      </c>
      <c r="M1102" s="5">
        <f t="shared" si="232"/>
        <v>2022</v>
      </c>
      <c r="N1102" s="6">
        <v>125</v>
      </c>
      <c r="O1102" s="6">
        <f t="shared" si="233"/>
        <v>-125</v>
      </c>
      <c r="P1102" s="6">
        <f t="shared" si="225"/>
        <v>0</v>
      </c>
      <c r="Q1102" s="7">
        <f t="shared" si="226"/>
        <v>1969877.9500000009</v>
      </c>
      <c r="R1102" s="44" t="str">
        <f>VLOOKUP(F1102,'Set up'!$A$2:$E$70,5,FALSE)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28"/>
        <v>10</v>
      </c>
      <c r="C1103" s="5">
        <f t="shared" si="229"/>
        <v>2022</v>
      </c>
      <c r="D1103" s="5" t="s">
        <v>1004</v>
      </c>
      <c r="E1103" s="5" t="str">
        <f>VLOOKUP(F1103,'Set up'!$A$2:$C$70,2,FALSE)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up'!$A$2:$C$70,3,FALSE)</f>
        <v>Cash</v>
      </c>
      <c r="J1103" s="5">
        <f>VLOOKUP(F1103,'Set up'!$A$2:$D$70,4,FALSE)</f>
        <v>0</v>
      </c>
      <c r="K1103" s="4">
        <f t="shared" si="230"/>
        <v>44851</v>
      </c>
      <c r="L1103" s="5">
        <f t="shared" si="231"/>
        <v>10</v>
      </c>
      <c r="M1103" s="5">
        <f t="shared" si="232"/>
        <v>2022</v>
      </c>
      <c r="N1103" s="6">
        <v>100</v>
      </c>
      <c r="O1103" s="6">
        <f t="shared" si="233"/>
        <v>-100</v>
      </c>
      <c r="P1103" s="6">
        <f t="shared" si="225"/>
        <v>0</v>
      </c>
      <c r="Q1103" s="7">
        <f t="shared" si="226"/>
        <v>1969977.9500000009</v>
      </c>
      <c r="R1103" s="44" t="str">
        <f>VLOOKUP(F1103,'Set up'!$A$2:$E$70,5,FALSE)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28"/>
        <v>10</v>
      </c>
      <c r="C1104" s="5">
        <f t="shared" si="229"/>
        <v>2022</v>
      </c>
      <c r="D1104" s="5" t="s">
        <v>1005</v>
      </c>
      <c r="E1104" s="5" t="str">
        <f>VLOOKUP(F1104,'Set up'!$A$2:$C$70,2,FALSE)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up'!$A$2:$C$70,3,FALSE)</f>
        <v>120</v>
      </c>
      <c r="J1104" s="5">
        <f>VLOOKUP(F1104,'Set up'!$A$2:$D$70,4,FALSE)</f>
        <v>120</v>
      </c>
      <c r="K1104" s="4">
        <f t="shared" si="230"/>
        <v>44971</v>
      </c>
      <c r="L1104" s="5">
        <f t="shared" si="231"/>
        <v>2</v>
      </c>
      <c r="M1104" s="5">
        <f t="shared" si="232"/>
        <v>2023</v>
      </c>
      <c r="N1104" s="6">
        <v>395</v>
      </c>
      <c r="O1104" s="6">
        <f t="shared" si="233"/>
        <v>-395</v>
      </c>
      <c r="P1104" s="6">
        <f t="shared" si="225"/>
        <v>0</v>
      </c>
      <c r="Q1104" s="7">
        <f t="shared" si="226"/>
        <v>1970372.9500000009</v>
      </c>
      <c r="R1104" s="44" t="str">
        <f>VLOOKUP(F1104,'Set up'!$A$2:$E$70,5,FALSE)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28"/>
        <v>10</v>
      </c>
      <c r="C1105" s="5">
        <f t="shared" si="229"/>
        <v>2022</v>
      </c>
      <c r="D1105" s="5" t="s">
        <v>1006</v>
      </c>
      <c r="E1105" s="5" t="str">
        <f>VLOOKUP(F1105,'Set up'!$A$2:$C$70,2,FALSE)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up'!$A$2:$C$70,3,FALSE)</f>
        <v>60</v>
      </c>
      <c r="J1105" s="5">
        <f>VLOOKUP(F1105,'Set up'!$A$2:$D$70,4,FALSE)</f>
        <v>60</v>
      </c>
      <c r="K1105" s="4">
        <f t="shared" si="230"/>
        <v>44912</v>
      </c>
      <c r="L1105" s="5">
        <f t="shared" si="231"/>
        <v>12</v>
      </c>
      <c r="M1105" s="5">
        <f t="shared" si="232"/>
        <v>2022</v>
      </c>
      <c r="N1105" s="6">
        <v>1085.4000000000001</v>
      </c>
      <c r="O1105" s="6">
        <f>-N1105</f>
        <v>-1085.4000000000001</v>
      </c>
      <c r="P1105" s="6">
        <f t="shared" si="225"/>
        <v>0</v>
      </c>
      <c r="Q1105" s="7">
        <f t="shared" si="226"/>
        <v>1971458.3500000008</v>
      </c>
      <c r="R1105" s="44" t="str">
        <f>VLOOKUP(F1105,'Set up'!$A$2:$E$70,5,FALSE)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28"/>
        <v>10</v>
      </c>
      <c r="C1106" s="5">
        <f t="shared" si="229"/>
        <v>2022</v>
      </c>
      <c r="D1106" s="5" t="s">
        <v>1006</v>
      </c>
      <c r="E1106" s="5" t="str">
        <f>VLOOKUP(F1106,'Set up'!$A$2:$C$70,2,FALSE)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up'!$A$2:$C$70,3,FALSE)</f>
        <v>60</v>
      </c>
      <c r="J1106" s="5">
        <f>VLOOKUP(F1106,'Set up'!$A$2:$D$70,4,FALSE)</f>
        <v>60</v>
      </c>
      <c r="K1106" s="4">
        <f t="shared" si="230"/>
        <v>44912</v>
      </c>
      <c r="L1106" s="5">
        <f t="shared" si="231"/>
        <v>12</v>
      </c>
      <c r="M1106" s="5">
        <f t="shared" si="232"/>
        <v>2022</v>
      </c>
      <c r="N1106" s="6">
        <v>874.8</v>
      </c>
      <c r="O1106" s="6">
        <f>-N1106</f>
        <v>-874.8</v>
      </c>
      <c r="P1106" s="6">
        <f t="shared" si="225"/>
        <v>0</v>
      </c>
      <c r="Q1106" s="7">
        <f t="shared" si="226"/>
        <v>1972333.1500000008</v>
      </c>
      <c r="R1106" s="44" t="str">
        <f>VLOOKUP(F1106,'Set up'!$A$2:$E$70,5,FALSE)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28"/>
        <v>10</v>
      </c>
      <c r="C1107" s="5">
        <f t="shared" si="229"/>
        <v>2022</v>
      </c>
      <c r="D1107" s="5" t="s">
        <v>1008</v>
      </c>
      <c r="E1107" s="5" t="str">
        <f>VLOOKUP(F1107,'Set up'!$A$2:$C$70,2,FALSE)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up'!$A$2:$C$70,3,FALSE)</f>
        <v>120</v>
      </c>
      <c r="J1107" s="5">
        <f>VLOOKUP(F1107,'Set up'!$A$2:$D$70,4,FALSE)</f>
        <v>120</v>
      </c>
      <c r="K1107" s="4">
        <f t="shared" si="230"/>
        <v>44974</v>
      </c>
      <c r="L1107" s="5">
        <f t="shared" si="231"/>
        <v>2</v>
      </c>
      <c r="M1107" s="5">
        <f t="shared" si="232"/>
        <v>2023</v>
      </c>
      <c r="N1107" s="6">
        <v>10824</v>
      </c>
      <c r="O1107" s="6">
        <f t="shared" ref="O1107:O1111" si="234">-N1107</f>
        <v>-10824</v>
      </c>
      <c r="P1107" s="6">
        <f t="shared" si="225"/>
        <v>0</v>
      </c>
      <c r="Q1107" s="7">
        <f t="shared" si="226"/>
        <v>1983157.1500000008</v>
      </c>
      <c r="R1107" s="44" t="str">
        <f>VLOOKUP(F1107,'Set up'!$A$2:$E$70,5,FALSE)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28"/>
        <v>10</v>
      </c>
      <c r="C1108" s="5">
        <f t="shared" si="229"/>
        <v>2022</v>
      </c>
      <c r="D1108" s="5" t="s">
        <v>1008</v>
      </c>
      <c r="E1108" s="5" t="str">
        <f>VLOOKUP(F1108,'Set up'!$A$2:$C$70,2,FALSE)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up'!$A$2:$C$70,3,FALSE)</f>
        <v>120</v>
      </c>
      <c r="J1108" s="5">
        <f>VLOOKUP(F1108,'Set up'!$A$2:$D$70,4,FALSE)</f>
        <v>120</v>
      </c>
      <c r="K1108" s="4">
        <f t="shared" si="230"/>
        <v>44974</v>
      </c>
      <c r="L1108" s="5">
        <f t="shared" si="231"/>
        <v>2</v>
      </c>
      <c r="M1108" s="5">
        <f t="shared" si="232"/>
        <v>2023</v>
      </c>
      <c r="N1108" s="6">
        <v>1804</v>
      </c>
      <c r="O1108" s="6">
        <f t="shared" si="234"/>
        <v>-1804</v>
      </c>
      <c r="P1108" s="6">
        <f t="shared" si="225"/>
        <v>0</v>
      </c>
      <c r="Q1108" s="7">
        <f t="shared" si="226"/>
        <v>1984961.1500000008</v>
      </c>
      <c r="R1108" s="44" t="str">
        <f>VLOOKUP(F1108,'Set up'!$A$2:$E$70,5,FALSE)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28"/>
        <v>10</v>
      </c>
      <c r="C1109" s="5">
        <f t="shared" si="229"/>
        <v>2022</v>
      </c>
      <c r="D1109" s="5" t="s">
        <v>1008</v>
      </c>
      <c r="E1109" s="5" t="str">
        <f>VLOOKUP(F1109,'Set up'!$A$2:$C$70,2,FALSE)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up'!$A$2:$C$70,3,FALSE)</f>
        <v>120</v>
      </c>
      <c r="J1109" s="5">
        <f>VLOOKUP(F1109,'Set up'!$A$2:$D$70,4,FALSE)</f>
        <v>120</v>
      </c>
      <c r="K1109" s="4">
        <f t="shared" si="230"/>
        <v>44974</v>
      </c>
      <c r="L1109" s="5">
        <f t="shared" si="231"/>
        <v>2</v>
      </c>
      <c r="M1109" s="5">
        <f t="shared" si="232"/>
        <v>2023</v>
      </c>
      <c r="N1109" s="6">
        <v>1344.6</v>
      </c>
      <c r="O1109" s="6">
        <f t="shared" si="234"/>
        <v>-1344.6</v>
      </c>
      <c r="P1109" s="6">
        <f t="shared" si="225"/>
        <v>0</v>
      </c>
      <c r="Q1109" s="7">
        <f t="shared" si="226"/>
        <v>1986305.7500000009</v>
      </c>
      <c r="R1109" s="44" t="str">
        <f>VLOOKUP(F1109,'Set up'!$A$2:$E$70,5,FALSE)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28"/>
        <v>10</v>
      </c>
      <c r="C1110" s="5">
        <f t="shared" si="229"/>
        <v>2022</v>
      </c>
      <c r="D1110" s="5" t="s">
        <v>1008</v>
      </c>
      <c r="E1110" s="5" t="str">
        <f>VLOOKUP(F1110,'Set up'!$A$2:$C$70,2,FALSE)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up'!$A$2:$C$70,3,FALSE)</f>
        <v>120</v>
      </c>
      <c r="J1110" s="5">
        <f>VLOOKUP(F1110,'Set up'!$A$2:$D$70,4,FALSE)</f>
        <v>120</v>
      </c>
      <c r="K1110" s="4">
        <f t="shared" si="230"/>
        <v>44974</v>
      </c>
      <c r="L1110" s="5">
        <f t="shared" si="231"/>
        <v>2</v>
      </c>
      <c r="M1110" s="5">
        <f t="shared" si="232"/>
        <v>2023</v>
      </c>
      <c r="N1110" s="6">
        <v>1344.6</v>
      </c>
      <c r="O1110" s="6">
        <f t="shared" si="234"/>
        <v>-1344.6</v>
      </c>
      <c r="P1110" s="6">
        <f t="shared" si="225"/>
        <v>0</v>
      </c>
      <c r="Q1110" s="7">
        <f t="shared" si="226"/>
        <v>1987650.350000001</v>
      </c>
      <c r="R1110" s="44" t="str">
        <f>VLOOKUP(F1110,'Set up'!$A$2:$E$70,5,FALSE)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28"/>
        <v>10</v>
      </c>
      <c r="C1111" s="5">
        <f t="shared" si="229"/>
        <v>2022</v>
      </c>
      <c r="D1111" s="5" t="s">
        <v>1008</v>
      </c>
      <c r="E1111" s="5" t="str">
        <f>VLOOKUP(F1111,'Set up'!$A$2:$C$70,2,FALSE)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up'!$A$2:$C$70,3,FALSE)</f>
        <v>120</v>
      </c>
      <c r="J1111" s="5">
        <f>VLOOKUP(F1111,'Set up'!$A$2:$D$70,4,FALSE)</f>
        <v>120</v>
      </c>
      <c r="K1111" s="4">
        <f t="shared" si="230"/>
        <v>44974</v>
      </c>
      <c r="L1111" s="5">
        <f t="shared" si="231"/>
        <v>2</v>
      </c>
      <c r="M1111" s="5">
        <f t="shared" si="232"/>
        <v>2023</v>
      </c>
      <c r="N1111" s="6">
        <v>360</v>
      </c>
      <c r="O1111" s="6">
        <f t="shared" si="234"/>
        <v>-360</v>
      </c>
      <c r="P1111" s="6">
        <f t="shared" si="225"/>
        <v>0</v>
      </c>
      <c r="Q1111" s="7">
        <f t="shared" si="226"/>
        <v>1988010.350000001</v>
      </c>
      <c r="R1111" s="44" t="str">
        <f>VLOOKUP(F1111,'Set up'!$A$2:$E$70,5,FALSE)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28"/>
        <v>10</v>
      </c>
      <c r="C1112" s="5">
        <f t="shared" si="229"/>
        <v>2022</v>
      </c>
      <c r="D1112" s="5" t="s">
        <v>1009</v>
      </c>
      <c r="E1112" s="5" t="str">
        <f>VLOOKUP(F1112,'Set up'!$A$2:$C$70,2,FALSE)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up'!$A$2:$C$70,3,FALSE)</f>
        <v>Cash</v>
      </c>
      <c r="J1112" s="5">
        <f>VLOOKUP(F1112,'Set up'!$A$2:$D$70,4,FALSE)</f>
        <v>0</v>
      </c>
      <c r="K1112" s="4">
        <f t="shared" si="230"/>
        <v>44855</v>
      </c>
      <c r="L1112" s="5">
        <f t="shared" si="231"/>
        <v>10</v>
      </c>
      <c r="M1112" s="5">
        <f t="shared" si="232"/>
        <v>2022</v>
      </c>
      <c r="N1112" s="6">
        <v>1936</v>
      </c>
      <c r="O1112" s="6">
        <f t="shared" ref="O1112:O1113" si="235">-N1112</f>
        <v>-1936</v>
      </c>
      <c r="P1112" s="6">
        <f t="shared" si="225"/>
        <v>0</v>
      </c>
      <c r="Q1112" s="7">
        <f t="shared" si="226"/>
        <v>1989946.350000001</v>
      </c>
      <c r="R1112" s="44" t="str">
        <f>VLOOKUP(F1112,'Set up'!$A$2:$E$70,5,FALSE)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28"/>
        <v>10</v>
      </c>
      <c r="C1113" s="5">
        <f t="shared" si="229"/>
        <v>2022</v>
      </c>
      <c r="D1113" s="5" t="s">
        <v>1009</v>
      </c>
      <c r="E1113" s="5" t="str">
        <f>VLOOKUP(F1113,'Set up'!$A$2:$C$70,2,FALSE)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up'!$A$2:$C$70,3,FALSE)</f>
        <v>Cash</v>
      </c>
      <c r="J1113" s="5">
        <f>VLOOKUP(F1113,'Set up'!$A$2:$D$70,4,FALSE)</f>
        <v>0</v>
      </c>
      <c r="K1113" s="4">
        <f t="shared" si="230"/>
        <v>44855</v>
      </c>
      <c r="L1113" s="5">
        <f t="shared" si="231"/>
        <v>10</v>
      </c>
      <c r="M1113" s="5">
        <f t="shared" si="232"/>
        <v>2022</v>
      </c>
      <c r="N1113" s="6">
        <v>1068</v>
      </c>
      <c r="O1113" s="6">
        <f t="shared" si="235"/>
        <v>-1068</v>
      </c>
      <c r="P1113" s="6">
        <f t="shared" si="225"/>
        <v>0</v>
      </c>
      <c r="Q1113" s="7">
        <f t="shared" si="226"/>
        <v>1991014.350000001</v>
      </c>
      <c r="R1113" s="44" t="str">
        <f>VLOOKUP(F1113,'Set up'!$A$2:$E$70,5,FALSE)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28"/>
        <v>10</v>
      </c>
      <c r="C1114" s="5">
        <f t="shared" si="229"/>
        <v>2022</v>
      </c>
      <c r="D1114" s="5" t="s">
        <v>1010</v>
      </c>
      <c r="E1114" s="5" t="str">
        <f>VLOOKUP(F1114,'Set up'!$A$2:$C$70,2,FALSE)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up'!$A$2:$C$70,3,FALSE)</f>
        <v>Cash</v>
      </c>
      <c r="J1114" s="5">
        <f>VLOOKUP(F1114,'Set up'!$A$2:$D$70,4,FALSE)</f>
        <v>0</v>
      </c>
      <c r="K1114" s="4">
        <f t="shared" si="230"/>
        <v>44856</v>
      </c>
      <c r="L1114" s="5">
        <f t="shared" si="231"/>
        <v>10</v>
      </c>
      <c r="M1114" s="5">
        <f t="shared" si="232"/>
        <v>2022</v>
      </c>
      <c r="N1114" s="6">
        <v>3608</v>
      </c>
      <c r="O1114" s="6">
        <f>-N1114</f>
        <v>-3608</v>
      </c>
      <c r="P1114" s="6">
        <f t="shared" si="225"/>
        <v>0</v>
      </c>
      <c r="Q1114" s="7">
        <f t="shared" si="226"/>
        <v>1994622.350000001</v>
      </c>
      <c r="R1114" s="44" t="str">
        <f>VLOOKUP(F1114,'Set up'!$A$2:$E$70,5,FALSE)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28"/>
        <v>10</v>
      </c>
      <c r="C1115" s="5">
        <f t="shared" si="229"/>
        <v>2022</v>
      </c>
      <c r="D1115" s="5" t="s">
        <v>1010</v>
      </c>
      <c r="E1115" s="5" t="str">
        <f>VLOOKUP(F1115,'Set up'!$A$2:$C$70,2,FALSE)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up'!$A$2:$C$70,3,FALSE)</f>
        <v>Cash</v>
      </c>
      <c r="J1115" s="5">
        <f>VLOOKUP(F1115,'Set up'!$A$2:$D$70,4,FALSE)</f>
        <v>0</v>
      </c>
      <c r="K1115" s="4">
        <f t="shared" si="230"/>
        <v>44856</v>
      </c>
      <c r="L1115" s="5">
        <f t="shared" si="231"/>
        <v>10</v>
      </c>
      <c r="M1115" s="5">
        <f t="shared" si="232"/>
        <v>2022</v>
      </c>
      <c r="N1115" s="6">
        <v>2520</v>
      </c>
      <c r="O1115" s="6">
        <f>-N1115</f>
        <v>-2520</v>
      </c>
      <c r="P1115" s="6">
        <f t="shared" si="225"/>
        <v>0</v>
      </c>
      <c r="Q1115" s="7">
        <f t="shared" si="226"/>
        <v>1997142.350000001</v>
      </c>
      <c r="R1115" s="44" t="str">
        <f>VLOOKUP(F1115,'Set up'!$A$2:$E$70,5,FALSE)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28"/>
        <v>10</v>
      </c>
      <c r="C1116" s="5">
        <f t="shared" si="229"/>
        <v>2022</v>
      </c>
      <c r="D1116" s="5" t="s">
        <v>1010</v>
      </c>
      <c r="E1116" s="5" t="str">
        <f>VLOOKUP(F1116,'Set up'!$A$2:$C$70,2,FALSE)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up'!$A$2:$C$70,3,FALSE)</f>
        <v>Cash</v>
      </c>
      <c r="J1116" s="5">
        <f>VLOOKUP(F1116,'Set up'!$A$2:$D$70,4,FALSE)</f>
        <v>0</v>
      </c>
      <c r="K1116" s="4">
        <f t="shared" si="230"/>
        <v>44856</v>
      </c>
      <c r="L1116" s="5">
        <f t="shared" si="231"/>
        <v>10</v>
      </c>
      <c r="M1116" s="5">
        <f t="shared" si="232"/>
        <v>2022</v>
      </c>
      <c r="N1116" s="6">
        <v>1462.5</v>
      </c>
      <c r="O1116" s="6">
        <f>-N1116</f>
        <v>-1462.5</v>
      </c>
      <c r="P1116" s="6">
        <f t="shared" si="225"/>
        <v>0</v>
      </c>
      <c r="Q1116" s="7">
        <f t="shared" si="226"/>
        <v>1998604.850000001</v>
      </c>
      <c r="R1116" s="44" t="str">
        <f>VLOOKUP(F1116,'Set up'!$A$2:$E$70,5,FALSE)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28"/>
        <v>10</v>
      </c>
      <c r="C1117" s="5">
        <f t="shared" si="229"/>
        <v>2022</v>
      </c>
      <c r="D1117" s="5" t="s">
        <v>1011</v>
      </c>
      <c r="E1117" s="5" t="str">
        <f>VLOOKUP(F1117,'Set up'!$A$2:$C$70,2,FALSE)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up'!$A$2:$C$70,3,FALSE)</f>
        <v>Cash</v>
      </c>
      <c r="J1117" s="5">
        <f>VLOOKUP(F1117,'Set up'!$A$2:$D$70,4,FALSE)</f>
        <v>0</v>
      </c>
      <c r="K1117" s="4">
        <f t="shared" si="230"/>
        <v>44856</v>
      </c>
      <c r="L1117" s="5">
        <f t="shared" si="231"/>
        <v>10</v>
      </c>
      <c r="M1117" s="5">
        <f t="shared" si="232"/>
        <v>2022</v>
      </c>
      <c r="N1117" s="6">
        <v>1936</v>
      </c>
      <c r="O1117" s="6">
        <f t="shared" ref="O1117:O1119" si="236">-N1117</f>
        <v>-1936</v>
      </c>
      <c r="P1117" s="6">
        <f t="shared" si="225"/>
        <v>0</v>
      </c>
      <c r="Q1117" s="7">
        <f t="shared" si="226"/>
        <v>2000540.850000001</v>
      </c>
      <c r="R1117" s="44" t="str">
        <f>VLOOKUP(F1117,'Set up'!$A$2:$E$70,5,FALSE)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28"/>
        <v>10</v>
      </c>
      <c r="C1118" s="5">
        <f t="shared" si="229"/>
        <v>2022</v>
      </c>
      <c r="D1118" s="5" t="s">
        <v>1011</v>
      </c>
      <c r="E1118" s="5" t="str">
        <f>VLOOKUP(F1118,'Set up'!$A$2:$C$70,2,FALSE)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up'!$A$2:$C$70,3,FALSE)</f>
        <v>Cash</v>
      </c>
      <c r="J1118" s="5">
        <f>VLOOKUP(F1118,'Set up'!$A$2:$D$70,4,FALSE)</f>
        <v>0</v>
      </c>
      <c r="K1118" s="4">
        <f t="shared" si="230"/>
        <v>44856</v>
      </c>
      <c r="L1118" s="5">
        <f t="shared" si="231"/>
        <v>10</v>
      </c>
      <c r="M1118" s="5">
        <f t="shared" si="232"/>
        <v>2022</v>
      </c>
      <c r="N1118" s="6">
        <v>801</v>
      </c>
      <c r="O1118" s="6">
        <f t="shared" si="236"/>
        <v>-801</v>
      </c>
      <c r="P1118" s="6">
        <f t="shared" si="225"/>
        <v>0</v>
      </c>
      <c r="Q1118" s="7">
        <f t="shared" si="226"/>
        <v>2001341.850000001</v>
      </c>
      <c r="R1118" s="44" t="str">
        <f>VLOOKUP(F1118,'Set up'!$A$2:$E$70,5,FALSE)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28"/>
        <v>10</v>
      </c>
      <c r="C1119" s="5">
        <f t="shared" si="229"/>
        <v>2022</v>
      </c>
      <c r="D1119" s="5" t="s">
        <v>1011</v>
      </c>
      <c r="E1119" s="5" t="str">
        <f>VLOOKUP(F1119,'Set up'!$A$2:$C$70,2,FALSE)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up'!$A$2:$C$70,3,FALSE)</f>
        <v>Cash</v>
      </c>
      <c r="J1119" s="5">
        <f>VLOOKUP(F1119,'Set up'!$A$2:$D$70,4,FALSE)</f>
        <v>0</v>
      </c>
      <c r="K1119" s="4">
        <f t="shared" si="230"/>
        <v>44856</v>
      </c>
      <c r="L1119" s="5">
        <f t="shared" si="231"/>
        <v>10</v>
      </c>
      <c r="M1119" s="5">
        <f t="shared" si="232"/>
        <v>2022</v>
      </c>
      <c r="N1119" s="6">
        <v>100</v>
      </c>
      <c r="O1119" s="6">
        <f t="shared" si="236"/>
        <v>-100</v>
      </c>
      <c r="P1119" s="6">
        <f t="shared" si="225"/>
        <v>0</v>
      </c>
      <c r="Q1119" s="7">
        <f t="shared" si="226"/>
        <v>2001441.850000001</v>
      </c>
      <c r="R1119" s="44" t="str">
        <f>VLOOKUP(F1119,'Set up'!$A$2:$E$70,5,FALSE)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28"/>
        <v>10</v>
      </c>
      <c r="C1120" s="5">
        <f t="shared" si="229"/>
        <v>2022</v>
      </c>
      <c r="D1120" s="5" t="s">
        <v>1012</v>
      </c>
      <c r="E1120" s="5" t="str">
        <f>VLOOKUP(F1120,'Set up'!$A$2:$C$70,2,FALSE)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up'!$A$2:$C$70,3,FALSE)</f>
        <v>Cash</v>
      </c>
      <c r="J1120" s="5">
        <f>VLOOKUP(F1120,'Set up'!$A$2:$D$70,4,FALSE)</f>
        <v>0</v>
      </c>
      <c r="K1120" s="4">
        <f t="shared" si="230"/>
        <v>44861</v>
      </c>
      <c r="L1120" s="5">
        <f t="shared" si="231"/>
        <v>10</v>
      </c>
      <c r="M1120" s="5">
        <f t="shared" si="232"/>
        <v>2022</v>
      </c>
      <c r="N1120" s="6">
        <v>250</v>
      </c>
      <c r="O1120" s="6">
        <f>-N1120</f>
        <v>-250</v>
      </c>
      <c r="P1120" s="6">
        <f t="shared" si="225"/>
        <v>0</v>
      </c>
      <c r="Q1120" s="7">
        <f t="shared" si="226"/>
        <v>2001691.850000001</v>
      </c>
      <c r="R1120" s="44" t="str">
        <f>VLOOKUP(F1120,'Set up'!$A$2:$E$70,5,FALSE)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28"/>
        <v>10</v>
      </c>
      <c r="C1121" s="5">
        <f t="shared" si="229"/>
        <v>2022</v>
      </c>
      <c r="D1121" s="5" t="s">
        <v>1014</v>
      </c>
      <c r="E1121" s="5" t="str">
        <f>VLOOKUP(F1121,'Set up'!$A$2:$C$70,2,FALSE)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up'!$A$2:$C$70,3,FALSE)</f>
        <v>Cash</v>
      </c>
      <c r="J1121" s="5">
        <f>VLOOKUP(F1121,'Set up'!$A$2:$D$70,4,FALSE)</f>
        <v>0</v>
      </c>
      <c r="K1121" s="4">
        <f t="shared" si="230"/>
        <v>44865</v>
      </c>
      <c r="L1121" s="5">
        <f t="shared" si="231"/>
        <v>10</v>
      </c>
      <c r="M1121" s="5">
        <f t="shared" si="232"/>
        <v>2022</v>
      </c>
      <c r="N1121" s="6">
        <v>27060</v>
      </c>
      <c r="O1121" s="6">
        <f>-789.4-11000-10000-5270.6</f>
        <v>-27060</v>
      </c>
      <c r="P1121" s="6">
        <f t="shared" si="225"/>
        <v>0</v>
      </c>
      <c r="Q1121" s="7">
        <f t="shared" si="226"/>
        <v>2028751.850000001</v>
      </c>
      <c r="R1121" s="44" t="str">
        <f>VLOOKUP(F1121,'Set up'!$A$2:$E$70,5,FALSE)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28"/>
        <v>10</v>
      </c>
      <c r="C1122" s="5">
        <f t="shared" si="229"/>
        <v>2022</v>
      </c>
      <c r="D1122" s="5" t="s">
        <v>1014</v>
      </c>
      <c r="E1122" s="5" t="str">
        <f>VLOOKUP(F1122,'Set up'!$A$2:$C$70,2,FALSE)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up'!$A$2:$C$70,3,FALSE)</f>
        <v>Cash</v>
      </c>
      <c r="J1122" s="5">
        <f>VLOOKUP(F1122,'Set up'!$A$2:$D$70,4,FALSE)</f>
        <v>0</v>
      </c>
      <c r="K1122" s="4">
        <f t="shared" si="230"/>
        <v>44865</v>
      </c>
      <c r="L1122" s="5">
        <f t="shared" si="231"/>
        <v>10</v>
      </c>
      <c r="M1122" s="5">
        <f t="shared" si="232"/>
        <v>2022</v>
      </c>
      <c r="N1122" s="6">
        <v>11340</v>
      </c>
      <c r="O1122" s="6">
        <f t="shared" ref="O1122:O1127" si="237">-N1122</f>
        <v>-11340</v>
      </c>
      <c r="P1122" s="6">
        <f t="shared" si="225"/>
        <v>0</v>
      </c>
      <c r="Q1122" s="7">
        <f t="shared" si="226"/>
        <v>2040091.850000001</v>
      </c>
      <c r="R1122" s="44" t="str">
        <f>VLOOKUP(F1122,'Set up'!$A$2:$E$70,5,FALSE)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28"/>
        <v>10</v>
      </c>
      <c r="C1123" s="5">
        <f t="shared" si="229"/>
        <v>2022</v>
      </c>
      <c r="D1123" s="5" t="s">
        <v>1014</v>
      </c>
      <c r="E1123" s="5" t="str">
        <f>VLOOKUP(F1123,'Set up'!$A$2:$C$70,2,FALSE)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up'!$A$2:$C$70,3,FALSE)</f>
        <v>Cash</v>
      </c>
      <c r="J1123" s="5">
        <f>VLOOKUP(F1123,'Set up'!$A$2:$D$70,4,FALSE)</f>
        <v>0</v>
      </c>
      <c r="K1123" s="4">
        <f t="shared" si="230"/>
        <v>44865</v>
      </c>
      <c r="L1123" s="5">
        <f t="shared" si="231"/>
        <v>10</v>
      </c>
      <c r="M1123" s="5">
        <f t="shared" si="232"/>
        <v>2022</v>
      </c>
      <c r="N1123" s="6">
        <v>2047.5</v>
      </c>
      <c r="O1123" s="6">
        <f t="shared" si="237"/>
        <v>-2047.5</v>
      </c>
      <c r="P1123" s="6">
        <f t="shared" si="225"/>
        <v>0</v>
      </c>
      <c r="Q1123" s="7">
        <f t="shared" si="226"/>
        <v>2042139.350000001</v>
      </c>
      <c r="R1123" s="44" t="str">
        <f>VLOOKUP(F1123,'Set up'!$A$2:$E$70,5,FALSE)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28"/>
        <v>10</v>
      </c>
      <c r="C1124" s="5">
        <f t="shared" si="229"/>
        <v>2022</v>
      </c>
      <c r="D1124" s="5" t="s">
        <v>1014</v>
      </c>
      <c r="E1124" s="5" t="str">
        <f>VLOOKUP(F1124,'Set up'!$A$2:$C$70,2,FALSE)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up'!$A$2:$C$70,3,FALSE)</f>
        <v>Cash</v>
      </c>
      <c r="J1124" s="5">
        <f>VLOOKUP(F1124,'Set up'!$A$2:$D$70,4,FALSE)</f>
        <v>0</v>
      </c>
      <c r="K1124" s="4">
        <f t="shared" si="230"/>
        <v>44865</v>
      </c>
      <c r="L1124" s="5">
        <f t="shared" si="231"/>
        <v>10</v>
      </c>
      <c r="M1124" s="5">
        <f t="shared" si="232"/>
        <v>2022</v>
      </c>
      <c r="N1124" s="6">
        <v>3900</v>
      </c>
      <c r="O1124" s="6">
        <f t="shared" si="237"/>
        <v>-3900</v>
      </c>
      <c r="P1124" s="6">
        <f t="shared" si="225"/>
        <v>0</v>
      </c>
      <c r="Q1124" s="7">
        <f t="shared" si="226"/>
        <v>2046039.350000001</v>
      </c>
      <c r="R1124" s="44" t="str">
        <f>VLOOKUP(F1124,'Set up'!$A$2:$E$70,5,FALSE)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28"/>
        <v>10</v>
      </c>
      <c r="C1125" s="5">
        <f t="shared" si="229"/>
        <v>2022</v>
      </c>
      <c r="D1125" s="5" t="s">
        <v>1014</v>
      </c>
      <c r="E1125" s="5" t="str">
        <f>VLOOKUP(F1125,'Set up'!$A$2:$C$70,2,FALSE)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up'!$A$2:$C$70,3,FALSE)</f>
        <v>Cash</v>
      </c>
      <c r="J1125" s="5">
        <f>VLOOKUP(F1125,'Set up'!$A$2:$D$70,4,FALSE)</f>
        <v>0</v>
      </c>
      <c r="K1125" s="4">
        <f t="shared" si="230"/>
        <v>44865</v>
      </c>
      <c r="L1125" s="5">
        <f t="shared" si="231"/>
        <v>10</v>
      </c>
      <c r="M1125" s="5">
        <f t="shared" si="232"/>
        <v>2022</v>
      </c>
      <c r="N1125" s="6">
        <v>937.5</v>
      </c>
      <c r="O1125" s="6">
        <f t="shared" si="237"/>
        <v>-937.5</v>
      </c>
      <c r="P1125" s="6">
        <f t="shared" si="225"/>
        <v>0</v>
      </c>
      <c r="Q1125" s="7">
        <f t="shared" si="226"/>
        <v>2046976.850000001</v>
      </c>
      <c r="R1125" s="44" t="str">
        <f>VLOOKUP(F1125,'Set up'!$A$2:$E$70,5,FALSE)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28"/>
        <v>10</v>
      </c>
      <c r="C1126" s="5">
        <f t="shared" si="229"/>
        <v>2022</v>
      </c>
      <c r="D1126" s="5" t="s">
        <v>1014</v>
      </c>
      <c r="E1126" s="5" t="str">
        <f>VLOOKUP(F1126,'Set up'!$A$2:$C$70,2,FALSE)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up'!$A$2:$C$70,3,FALSE)</f>
        <v>Cash</v>
      </c>
      <c r="J1126" s="5">
        <f>VLOOKUP(F1126,'Set up'!$A$2:$D$70,4,FALSE)</f>
        <v>0</v>
      </c>
      <c r="K1126" s="4">
        <f t="shared" si="230"/>
        <v>44865</v>
      </c>
      <c r="L1126" s="5">
        <f t="shared" si="231"/>
        <v>10</v>
      </c>
      <c r="M1126" s="5">
        <f t="shared" si="232"/>
        <v>2022</v>
      </c>
      <c r="N1126" s="6">
        <v>2000</v>
      </c>
      <c r="O1126" s="6">
        <f t="shared" si="237"/>
        <v>-2000</v>
      </c>
      <c r="P1126" s="6">
        <f t="shared" si="225"/>
        <v>0</v>
      </c>
      <c r="Q1126" s="7">
        <f t="shared" si="226"/>
        <v>2048976.850000001</v>
      </c>
      <c r="R1126" s="44" t="str">
        <f>VLOOKUP(F1126,'Set up'!$A$2:$E$70,5,FALSE)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28"/>
        <v>10</v>
      </c>
      <c r="C1127" s="5">
        <f t="shared" si="229"/>
        <v>2022</v>
      </c>
      <c r="D1127" s="5" t="s">
        <v>1014</v>
      </c>
      <c r="E1127" s="5" t="str">
        <f>VLOOKUP(F1127,'Set up'!$A$2:$C$70,2,FALSE)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up'!$A$2:$C$70,3,FALSE)</f>
        <v>Cash</v>
      </c>
      <c r="J1127" s="5">
        <f>VLOOKUP(F1127,'Set up'!$A$2:$D$70,4,FALSE)</f>
        <v>0</v>
      </c>
      <c r="K1127" s="4">
        <f t="shared" si="230"/>
        <v>44865</v>
      </c>
      <c r="L1127" s="5">
        <f t="shared" si="231"/>
        <v>10</v>
      </c>
      <c r="M1127" s="5">
        <f t="shared" si="232"/>
        <v>2022</v>
      </c>
      <c r="N1127" s="6">
        <v>400</v>
      </c>
      <c r="O1127" s="6">
        <f t="shared" si="237"/>
        <v>-400</v>
      </c>
      <c r="P1127" s="6">
        <f t="shared" si="225"/>
        <v>0</v>
      </c>
      <c r="Q1127" s="7">
        <f t="shared" si="226"/>
        <v>2049376.850000001</v>
      </c>
      <c r="R1127" s="44" t="str">
        <f>VLOOKUP(F1127,'Set up'!$A$2:$E$70,5,FALSE)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28"/>
        <v>10</v>
      </c>
      <c r="C1128" s="5">
        <f t="shared" si="229"/>
        <v>2022</v>
      </c>
      <c r="D1128" s="5" t="s">
        <v>1015</v>
      </c>
      <c r="E1128" s="5" t="str">
        <f>VLOOKUP(F1128,'Set up'!$A$2:$C$70,2,FALSE)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up'!$A$2:$C$70,3,FALSE)</f>
        <v>Cash</v>
      </c>
      <c r="J1128" s="5">
        <f>VLOOKUP(F1128,'Set up'!$A$2:$D$70,4,FALSE)</f>
        <v>0</v>
      </c>
      <c r="K1128" s="4">
        <f t="shared" si="230"/>
        <v>44865</v>
      </c>
      <c r="L1128" s="5">
        <f t="shared" si="231"/>
        <v>10</v>
      </c>
      <c r="M1128" s="5">
        <f t="shared" si="232"/>
        <v>2022</v>
      </c>
      <c r="N1128" s="6">
        <v>1936</v>
      </c>
      <c r="O1128" s="6">
        <f t="shared" ref="O1128:O1137" si="238">-N1128</f>
        <v>-1936</v>
      </c>
      <c r="P1128" s="6">
        <f t="shared" si="225"/>
        <v>0</v>
      </c>
      <c r="Q1128" s="7">
        <f t="shared" si="226"/>
        <v>2051312.850000001</v>
      </c>
      <c r="R1128" s="44" t="str">
        <f>VLOOKUP(F1128,'Set up'!$A$2:$E$70,5,FALSE)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28"/>
        <v>10</v>
      </c>
      <c r="C1129" s="5">
        <f t="shared" si="229"/>
        <v>2022</v>
      </c>
      <c r="D1129" s="5" t="s">
        <v>1015</v>
      </c>
      <c r="E1129" s="5" t="str">
        <f>VLOOKUP(F1129,'Set up'!$A$2:$C$70,2,FALSE)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up'!$A$2:$C$70,3,FALSE)</f>
        <v>Cash</v>
      </c>
      <c r="J1129" s="5">
        <f>VLOOKUP(F1129,'Set up'!$A$2:$D$70,4,FALSE)</f>
        <v>0</v>
      </c>
      <c r="K1129" s="4">
        <f t="shared" si="230"/>
        <v>44865</v>
      </c>
      <c r="L1129" s="5">
        <f t="shared" si="231"/>
        <v>10</v>
      </c>
      <c r="M1129" s="5">
        <f t="shared" si="232"/>
        <v>2022</v>
      </c>
      <c r="N1129" s="6">
        <v>801</v>
      </c>
      <c r="O1129" s="6">
        <f t="shared" si="238"/>
        <v>-801</v>
      </c>
      <c r="P1129" s="6">
        <f t="shared" si="225"/>
        <v>0</v>
      </c>
      <c r="Q1129" s="7">
        <f t="shared" si="226"/>
        <v>2052113.850000001</v>
      </c>
      <c r="R1129" s="44" t="str">
        <f>VLOOKUP(F1129,'Set up'!$A$2:$E$70,5,FALSE)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28"/>
        <v>10</v>
      </c>
      <c r="C1130" s="5">
        <f t="shared" si="229"/>
        <v>2022</v>
      </c>
      <c r="D1130" s="5" t="s">
        <v>1015</v>
      </c>
      <c r="E1130" s="5" t="str">
        <f>VLOOKUP(F1130,'Set up'!$A$2:$C$70,2,FALSE)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up'!$A$2:$C$70,3,FALSE)</f>
        <v>Cash</v>
      </c>
      <c r="J1130" s="5">
        <f>VLOOKUP(F1130,'Set up'!$A$2:$D$70,4,FALSE)</f>
        <v>0</v>
      </c>
      <c r="K1130" s="4">
        <f t="shared" si="230"/>
        <v>44865</v>
      </c>
      <c r="L1130" s="5">
        <f t="shared" si="231"/>
        <v>10</v>
      </c>
      <c r="M1130" s="5">
        <f t="shared" si="232"/>
        <v>2022</v>
      </c>
      <c r="N1130" s="6">
        <v>100</v>
      </c>
      <c r="O1130" s="6">
        <f t="shared" si="238"/>
        <v>-100</v>
      </c>
      <c r="P1130" s="6">
        <f t="shared" si="225"/>
        <v>0</v>
      </c>
      <c r="Q1130" s="7">
        <f t="shared" si="226"/>
        <v>2052213.850000001</v>
      </c>
      <c r="R1130" s="44" t="str">
        <f>VLOOKUP(F1130,'Set up'!$A$2:$E$70,5,FALSE)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28"/>
        <v>10</v>
      </c>
      <c r="C1131" s="5">
        <f t="shared" si="229"/>
        <v>2022</v>
      </c>
      <c r="D1131" s="5" t="s">
        <v>1015</v>
      </c>
      <c r="E1131" s="5" t="str">
        <f>VLOOKUP(F1131,'Set up'!$A$2:$C$70,2,FALSE)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up'!$A$2:$C$70,3,FALSE)</f>
        <v>Cash</v>
      </c>
      <c r="J1131" s="5">
        <f>VLOOKUP(F1131,'Set up'!$A$2:$D$70,4,FALSE)</f>
        <v>0</v>
      </c>
      <c r="K1131" s="4">
        <f t="shared" si="230"/>
        <v>44865</v>
      </c>
      <c r="L1131" s="5">
        <f t="shared" si="231"/>
        <v>10</v>
      </c>
      <c r="M1131" s="5">
        <f t="shared" si="232"/>
        <v>2022</v>
      </c>
      <c r="N1131" s="6">
        <v>258</v>
      </c>
      <c r="O1131" s="6">
        <f t="shared" si="238"/>
        <v>-258</v>
      </c>
      <c r="P1131" s="6">
        <f t="shared" si="225"/>
        <v>0</v>
      </c>
      <c r="Q1131" s="7">
        <f t="shared" si="226"/>
        <v>2052471.850000001</v>
      </c>
      <c r="R1131" s="44" t="str">
        <f>VLOOKUP(F1131,'Set up'!$A$2:$E$70,5,FALSE)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28"/>
        <v>11</v>
      </c>
      <c r="C1132" s="5">
        <f t="shared" si="229"/>
        <v>2022</v>
      </c>
      <c r="D1132" s="5" t="s">
        <v>1046</v>
      </c>
      <c r="E1132" s="5" t="str">
        <f>VLOOKUP(F1132,'Set up'!$A$2:$C$70,2,FALSE)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up'!$A$2:$C$70,3,FALSE)</f>
        <v>120</v>
      </c>
      <c r="J1132" s="5">
        <f>VLOOKUP(F1132,'Set up'!$A$2:$D$70,4,FALSE)</f>
        <v>120</v>
      </c>
      <c r="K1132" s="4">
        <f t="shared" si="230"/>
        <v>44986</v>
      </c>
      <c r="L1132" s="5">
        <f t="shared" si="231"/>
        <v>3</v>
      </c>
      <c r="M1132" s="5">
        <f t="shared" si="232"/>
        <v>2023</v>
      </c>
      <c r="N1132" s="6">
        <v>9020</v>
      </c>
      <c r="O1132" s="6">
        <f t="shared" si="238"/>
        <v>-9020</v>
      </c>
      <c r="P1132" s="6">
        <f t="shared" si="225"/>
        <v>0</v>
      </c>
      <c r="Q1132" s="7">
        <f t="shared" si="226"/>
        <v>2061491.850000001</v>
      </c>
      <c r="R1132" s="44" t="str">
        <f>VLOOKUP(F1132,'Set up'!$A$2:$E$70,5,FALSE)</f>
        <v>Chq</v>
      </c>
      <c r="S1132" s="1" t="s">
        <v>1785</v>
      </c>
    </row>
    <row r="1133" spans="1:19" x14ac:dyDescent="0.35">
      <c r="A1133" s="4">
        <v>44866</v>
      </c>
      <c r="B1133" s="5">
        <f t="shared" si="228"/>
        <v>11</v>
      </c>
      <c r="C1133" s="5">
        <f t="shared" si="229"/>
        <v>2022</v>
      </c>
      <c r="D1133" s="5" t="s">
        <v>1046</v>
      </c>
      <c r="E1133" s="5" t="str">
        <f>VLOOKUP(F1133,'Set up'!$A$2:$C$70,2,FALSE)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up'!$A$2:$C$70,3,FALSE)</f>
        <v>120</v>
      </c>
      <c r="J1133" s="5">
        <f>VLOOKUP(F1133,'Set up'!$A$2:$D$70,4,FALSE)</f>
        <v>120</v>
      </c>
      <c r="K1133" s="4">
        <f t="shared" si="230"/>
        <v>44986</v>
      </c>
      <c r="L1133" s="5">
        <f t="shared" si="231"/>
        <v>3</v>
      </c>
      <c r="M1133" s="5">
        <f t="shared" si="232"/>
        <v>2023</v>
      </c>
      <c r="N1133" s="6">
        <v>1804</v>
      </c>
      <c r="O1133" s="6">
        <f t="shared" si="238"/>
        <v>-1804</v>
      </c>
      <c r="P1133" s="6">
        <f t="shared" si="225"/>
        <v>0</v>
      </c>
      <c r="Q1133" s="7">
        <f t="shared" si="226"/>
        <v>2063295.850000001</v>
      </c>
      <c r="R1133" s="44" t="str">
        <f>VLOOKUP(F1133,'Set up'!$A$2:$E$70,5,FALSE)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28"/>
        <v>11</v>
      </c>
      <c r="C1134" s="5">
        <f t="shared" si="229"/>
        <v>2022</v>
      </c>
      <c r="D1134" s="5" t="s">
        <v>1047</v>
      </c>
      <c r="E1134" s="5" t="str">
        <f>VLOOKUP(F1134,'Set up'!$A$2:$C$70,2,FALSE)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up'!$A$2:$C$70,3,FALSE)</f>
        <v>120</v>
      </c>
      <c r="J1134" s="5">
        <f>VLOOKUP(F1134,'Set up'!$A$2:$D$70,4,FALSE)</f>
        <v>120</v>
      </c>
      <c r="K1134" s="4">
        <f t="shared" si="230"/>
        <v>44986</v>
      </c>
      <c r="L1134" s="5">
        <f t="shared" si="231"/>
        <v>3</v>
      </c>
      <c r="M1134" s="5">
        <f t="shared" si="232"/>
        <v>2023</v>
      </c>
      <c r="N1134" s="6">
        <v>9020</v>
      </c>
      <c r="O1134" s="6">
        <f t="shared" si="238"/>
        <v>-9020</v>
      </c>
      <c r="P1134" s="6">
        <f t="shared" si="225"/>
        <v>0</v>
      </c>
      <c r="Q1134" s="7">
        <f t="shared" si="226"/>
        <v>2072315.850000001</v>
      </c>
      <c r="R1134" s="44" t="str">
        <f>VLOOKUP(F1134,'Set up'!$A$2:$E$70,5,FALSE)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28"/>
        <v>11</v>
      </c>
      <c r="C1135" s="5">
        <f t="shared" si="229"/>
        <v>2022</v>
      </c>
      <c r="D1135" s="5" t="s">
        <v>1047</v>
      </c>
      <c r="E1135" s="5" t="str">
        <f>VLOOKUP(F1135,'Set up'!$A$2:$C$70,2,FALSE)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up'!$A$2:$C$70,3,FALSE)</f>
        <v>120</v>
      </c>
      <c r="J1135" s="5">
        <f>VLOOKUP(F1135,'Set up'!$A$2:$D$70,4,FALSE)</f>
        <v>120</v>
      </c>
      <c r="K1135" s="4">
        <f t="shared" si="230"/>
        <v>44986</v>
      </c>
      <c r="L1135" s="5">
        <f t="shared" si="231"/>
        <v>3</v>
      </c>
      <c r="M1135" s="5">
        <f t="shared" si="232"/>
        <v>2023</v>
      </c>
      <c r="N1135" s="6">
        <v>1245</v>
      </c>
      <c r="O1135" s="6">
        <f t="shared" si="238"/>
        <v>-1245</v>
      </c>
      <c r="P1135" s="6">
        <f t="shared" si="225"/>
        <v>0</v>
      </c>
      <c r="Q1135" s="7">
        <f t="shared" si="226"/>
        <v>2073560.850000001</v>
      </c>
      <c r="R1135" s="44" t="str">
        <f>VLOOKUP(F1135,'Set up'!$A$2:$E$70,5,FALSE)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28"/>
        <v>11</v>
      </c>
      <c r="C1136" s="5">
        <f t="shared" si="229"/>
        <v>2022</v>
      </c>
      <c r="D1136" s="5" t="s">
        <v>1047</v>
      </c>
      <c r="E1136" s="5" t="str">
        <f>VLOOKUP(F1136,'Set up'!$A$2:$C$70,2,FALSE)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up'!$A$2:$C$70,3,FALSE)</f>
        <v>120</v>
      </c>
      <c r="J1136" s="5">
        <f>VLOOKUP(F1136,'Set up'!$A$2:$D$70,4,FALSE)</f>
        <v>120</v>
      </c>
      <c r="K1136" s="4">
        <f t="shared" si="230"/>
        <v>44986</v>
      </c>
      <c r="L1136" s="5">
        <f t="shared" si="231"/>
        <v>3</v>
      </c>
      <c r="M1136" s="5">
        <f t="shared" si="232"/>
        <v>2023</v>
      </c>
      <c r="N1136" s="6">
        <v>575</v>
      </c>
      <c r="O1136" s="6">
        <f t="shared" si="238"/>
        <v>-575</v>
      </c>
      <c r="P1136" s="6">
        <f t="shared" si="225"/>
        <v>0</v>
      </c>
      <c r="Q1136" s="7">
        <f t="shared" si="226"/>
        <v>2074135.850000001</v>
      </c>
      <c r="R1136" s="44" t="str">
        <f>VLOOKUP(F1136,'Set up'!$A$2:$E$70,5,FALSE)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28"/>
        <v>11</v>
      </c>
      <c r="C1137" s="5">
        <f t="shared" si="229"/>
        <v>2022</v>
      </c>
      <c r="D1137" s="5" t="s">
        <v>1047</v>
      </c>
      <c r="E1137" s="5" t="str">
        <f>VLOOKUP(F1137,'Set up'!$A$2:$C$70,2,FALSE)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up'!$A$2:$C$70,3,FALSE)</f>
        <v>120</v>
      </c>
      <c r="J1137" s="5">
        <f>VLOOKUP(F1137,'Set up'!$A$2:$D$70,4,FALSE)</f>
        <v>120</v>
      </c>
      <c r="K1137" s="4">
        <f t="shared" si="230"/>
        <v>44986</v>
      </c>
      <c r="L1137" s="5">
        <f t="shared" si="231"/>
        <v>3</v>
      </c>
      <c r="M1137" s="5">
        <f t="shared" si="232"/>
        <v>2023</v>
      </c>
      <c r="N1137" s="6">
        <v>420</v>
      </c>
      <c r="O1137" s="6">
        <f t="shared" si="238"/>
        <v>-420</v>
      </c>
      <c r="P1137" s="6">
        <f t="shared" si="225"/>
        <v>0</v>
      </c>
      <c r="Q1137" s="7">
        <f t="shared" si="226"/>
        <v>2074555.850000001</v>
      </c>
      <c r="R1137" s="44" t="str">
        <f>VLOOKUP(F1137,'Set up'!$A$2:$E$70,5,FALSE)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28"/>
        <v>11</v>
      </c>
      <c r="C1138" s="5">
        <f t="shared" si="229"/>
        <v>2022</v>
      </c>
      <c r="D1138" s="5" t="s">
        <v>1048</v>
      </c>
      <c r="E1138" s="5" t="str">
        <f>VLOOKUP(F1138,'Set up'!$A$2:$C$70,2,FALSE)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up'!$A$2:$C$70,3,FALSE)</f>
        <v>60</v>
      </c>
      <c r="J1138" s="5">
        <f>VLOOKUP(F1138,'Set up'!$A$2:$D$70,4,FALSE)</f>
        <v>60</v>
      </c>
      <c r="K1138" s="4">
        <f t="shared" si="230"/>
        <v>44928</v>
      </c>
      <c r="L1138" s="5">
        <f t="shared" si="231"/>
        <v>1</v>
      </c>
      <c r="M1138" s="5">
        <f t="shared" si="232"/>
        <v>2023</v>
      </c>
      <c r="N1138" s="6">
        <v>3608</v>
      </c>
      <c r="O1138" s="6">
        <f t="shared" ref="O1138:O1145" si="239">-N1138</f>
        <v>-3608</v>
      </c>
      <c r="P1138" s="6">
        <f t="shared" si="225"/>
        <v>0</v>
      </c>
      <c r="Q1138" s="7">
        <f t="shared" si="226"/>
        <v>2078163.850000001</v>
      </c>
      <c r="R1138" s="44" t="str">
        <f>VLOOKUP(F1138,'Set up'!$A$2:$E$70,5,FALSE)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28"/>
        <v>11</v>
      </c>
      <c r="C1139" s="5">
        <f t="shared" si="229"/>
        <v>2022</v>
      </c>
      <c r="D1139" s="5" t="s">
        <v>1048</v>
      </c>
      <c r="E1139" s="5" t="str">
        <f>VLOOKUP(F1139,'Set up'!$A$2:$C$70,2,FALSE)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up'!$A$2:$C$70,3,FALSE)</f>
        <v>60</v>
      </c>
      <c r="J1139" s="5">
        <f>VLOOKUP(F1139,'Set up'!$A$2:$D$70,4,FALSE)</f>
        <v>60</v>
      </c>
      <c r="K1139" s="4">
        <f t="shared" si="230"/>
        <v>44928</v>
      </c>
      <c r="L1139" s="5">
        <f t="shared" si="231"/>
        <v>1</v>
      </c>
      <c r="M1139" s="5">
        <f t="shared" si="232"/>
        <v>2023</v>
      </c>
      <c r="N1139" s="6">
        <v>437.4</v>
      </c>
      <c r="O1139" s="6">
        <f t="shared" si="239"/>
        <v>-437.4</v>
      </c>
      <c r="P1139" s="6">
        <f t="shared" si="225"/>
        <v>0</v>
      </c>
      <c r="Q1139" s="7">
        <f t="shared" si="226"/>
        <v>2078601.2500000009</v>
      </c>
      <c r="R1139" s="44" t="str">
        <f>VLOOKUP(F1139,'Set up'!$A$2:$E$70,5,FALSE)</f>
        <v>Chq</v>
      </c>
      <c r="S1139" s="1" t="s">
        <v>1382</v>
      </c>
    </row>
    <row r="1140" spans="1:19" x14ac:dyDescent="0.35">
      <c r="A1140" s="4">
        <v>44868</v>
      </c>
      <c r="B1140" s="5">
        <f t="shared" si="228"/>
        <v>11</v>
      </c>
      <c r="C1140" s="5">
        <f t="shared" si="229"/>
        <v>2022</v>
      </c>
      <c r="D1140" s="5" t="s">
        <v>1048</v>
      </c>
      <c r="E1140" s="5" t="str">
        <f>VLOOKUP(F1140,'Set up'!$A$2:$C$70,2,FALSE)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up'!$A$2:$C$70,3,FALSE)</f>
        <v>60</v>
      </c>
      <c r="J1140" s="5">
        <f>VLOOKUP(F1140,'Set up'!$A$2:$D$70,4,FALSE)</f>
        <v>60</v>
      </c>
      <c r="K1140" s="4">
        <f t="shared" si="230"/>
        <v>44928</v>
      </c>
      <c r="L1140" s="5">
        <f t="shared" si="231"/>
        <v>1</v>
      </c>
      <c r="M1140" s="5">
        <f t="shared" si="232"/>
        <v>2023</v>
      </c>
      <c r="N1140" s="6">
        <v>437.4</v>
      </c>
      <c r="O1140" s="6">
        <f t="shared" si="239"/>
        <v>-437.4</v>
      </c>
      <c r="P1140" s="6">
        <f t="shared" si="225"/>
        <v>0</v>
      </c>
      <c r="Q1140" s="7">
        <f t="shared" si="226"/>
        <v>2079038.6500000008</v>
      </c>
      <c r="R1140" s="44" t="str">
        <f>VLOOKUP(F1140,'Set up'!$A$2:$E$70,5,FALSE)</f>
        <v>Chq</v>
      </c>
      <c r="S1140" s="1" t="s">
        <v>1382</v>
      </c>
    </row>
    <row r="1141" spans="1:19" x14ac:dyDescent="0.35">
      <c r="A1141" s="4">
        <v>44869</v>
      </c>
      <c r="B1141" s="5">
        <f t="shared" si="228"/>
        <v>11</v>
      </c>
      <c r="C1141" s="5">
        <f t="shared" si="229"/>
        <v>2022</v>
      </c>
      <c r="D1141" s="5" t="s">
        <v>1050</v>
      </c>
      <c r="E1141" s="5" t="str">
        <f>VLOOKUP(F1141,'Set up'!$A$2:$C$70,2,FALSE)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up'!$A$2:$C$70,3,FALSE)</f>
        <v>Cash</v>
      </c>
      <c r="J1141" s="5">
        <f>VLOOKUP(F1141,'Set up'!$A$2:$D$70,4,FALSE)</f>
        <v>0</v>
      </c>
      <c r="K1141" s="4">
        <f t="shared" si="230"/>
        <v>44869</v>
      </c>
      <c r="L1141" s="5">
        <f t="shared" si="231"/>
        <v>11</v>
      </c>
      <c r="M1141" s="5">
        <f t="shared" si="232"/>
        <v>2022</v>
      </c>
      <c r="N1141" s="6">
        <v>360</v>
      </c>
      <c r="O1141" s="6">
        <f t="shared" si="239"/>
        <v>-360</v>
      </c>
      <c r="P1141" s="6">
        <f t="shared" si="225"/>
        <v>0</v>
      </c>
      <c r="Q1141" s="7">
        <f t="shared" si="226"/>
        <v>2079398.6500000008</v>
      </c>
      <c r="R1141" s="44" t="str">
        <f>VLOOKUP(F1141,'Set up'!$A$2:$E$70,5,FALSE)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28"/>
        <v>11</v>
      </c>
      <c r="C1142" s="5">
        <f t="shared" si="229"/>
        <v>2022</v>
      </c>
      <c r="D1142" s="5" t="s">
        <v>1050</v>
      </c>
      <c r="E1142" s="5" t="str">
        <f>VLOOKUP(F1142,'Set up'!$A$2:$C$70,2,FALSE)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up'!$A$2:$C$70,3,FALSE)</f>
        <v>Cash</v>
      </c>
      <c r="J1142" s="5">
        <f>VLOOKUP(F1142,'Set up'!$A$2:$D$70,4,FALSE)</f>
        <v>0</v>
      </c>
      <c r="K1142" s="4">
        <f t="shared" si="230"/>
        <v>44869</v>
      </c>
      <c r="L1142" s="5">
        <f t="shared" si="231"/>
        <v>11</v>
      </c>
      <c r="M1142" s="5">
        <f t="shared" si="232"/>
        <v>2022</v>
      </c>
      <c r="N1142" s="6">
        <v>43.8</v>
      </c>
      <c r="O1142" s="6">
        <f t="shared" si="239"/>
        <v>-43.8</v>
      </c>
      <c r="P1142" s="6">
        <f t="shared" si="225"/>
        <v>0</v>
      </c>
      <c r="Q1142" s="7">
        <f t="shared" si="226"/>
        <v>2079442.4500000009</v>
      </c>
      <c r="R1142" s="44" t="str">
        <f>VLOOKUP(F1142,'Set up'!$A$2:$E$70,5,FALSE)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28"/>
        <v>11</v>
      </c>
      <c r="C1143" s="5">
        <f t="shared" si="229"/>
        <v>2022</v>
      </c>
      <c r="D1143" s="5" t="s">
        <v>1053</v>
      </c>
      <c r="E1143" s="5" t="str">
        <f>VLOOKUP(F1143,'Set up'!$A$2:$C$70,2,FALSE)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up'!$A$2:$C$70,3,FALSE)</f>
        <v>Cash</v>
      </c>
      <c r="J1143" s="5">
        <f>VLOOKUP(F1143,'Set up'!$A$2:$D$70,4,FALSE)</f>
        <v>0</v>
      </c>
      <c r="K1143" s="4">
        <f t="shared" si="230"/>
        <v>44870</v>
      </c>
      <c r="L1143" s="5">
        <f t="shared" si="231"/>
        <v>11</v>
      </c>
      <c r="M1143" s="5">
        <f t="shared" si="232"/>
        <v>2022</v>
      </c>
      <c r="N1143" s="6">
        <v>260</v>
      </c>
      <c r="O1143" s="6">
        <f t="shared" si="239"/>
        <v>-260</v>
      </c>
      <c r="P1143" s="6">
        <f t="shared" si="225"/>
        <v>0</v>
      </c>
      <c r="Q1143" s="7">
        <f t="shared" si="226"/>
        <v>2079702.4500000009</v>
      </c>
      <c r="R1143" s="44" t="str">
        <f>VLOOKUP(F1143,'Set up'!$A$2:$E$70,5,FALSE)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28"/>
        <v>11</v>
      </c>
      <c r="C1144" s="5">
        <f t="shared" si="229"/>
        <v>2022</v>
      </c>
      <c r="D1144" s="5" t="s">
        <v>1053</v>
      </c>
      <c r="E1144" s="5" t="str">
        <f>VLOOKUP(F1144,'Set up'!$A$2:$C$70,2,FALSE)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up'!$A$2:$C$70,3,FALSE)</f>
        <v>Cash</v>
      </c>
      <c r="J1144" s="5">
        <f>VLOOKUP(F1144,'Set up'!$A$2:$D$70,4,FALSE)</f>
        <v>0</v>
      </c>
      <c r="K1144" s="4">
        <f t="shared" si="230"/>
        <v>44870</v>
      </c>
      <c r="L1144" s="5">
        <f t="shared" si="231"/>
        <v>11</v>
      </c>
      <c r="M1144" s="5">
        <f t="shared" si="232"/>
        <v>2022</v>
      </c>
      <c r="N1144" s="6">
        <v>534.6</v>
      </c>
      <c r="O1144" s="6">
        <f t="shared" si="239"/>
        <v>-534.6</v>
      </c>
      <c r="P1144" s="6">
        <f t="shared" ref="P1144:P1150" si="240">SUM(N1144+O1144)</f>
        <v>0</v>
      </c>
      <c r="Q1144" s="7">
        <f t="shared" ref="Q1144:Q1150" si="241">SUM(Q1143+N1144)</f>
        <v>2080237.050000001</v>
      </c>
      <c r="R1144" s="44" t="str">
        <f>VLOOKUP(F1144,'Set up'!$A$2:$E$70,5,FALSE)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28"/>
        <v>11</v>
      </c>
      <c r="C1145" s="5">
        <f t="shared" si="229"/>
        <v>2022</v>
      </c>
      <c r="D1145" s="5" t="s">
        <v>1053</v>
      </c>
      <c r="E1145" s="5" t="str">
        <f>VLOOKUP(F1145,'Set up'!$A$2:$C$70,2,FALSE)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up'!$A$2:$C$70,3,FALSE)</f>
        <v>Cash</v>
      </c>
      <c r="J1145" s="5">
        <f>VLOOKUP(F1145,'Set up'!$A$2:$D$70,4,FALSE)</f>
        <v>0</v>
      </c>
      <c r="K1145" s="4">
        <f t="shared" si="230"/>
        <v>44870</v>
      </c>
      <c r="L1145" s="5">
        <f t="shared" si="231"/>
        <v>11</v>
      </c>
      <c r="M1145" s="5">
        <f t="shared" si="232"/>
        <v>2022</v>
      </c>
      <c r="N1145" s="6">
        <v>98</v>
      </c>
      <c r="O1145" s="6">
        <f t="shared" si="239"/>
        <v>-98</v>
      </c>
      <c r="P1145" s="6">
        <f t="shared" si="240"/>
        <v>0</v>
      </c>
      <c r="Q1145" s="7">
        <f t="shared" si="241"/>
        <v>2080335.050000001</v>
      </c>
      <c r="R1145" s="44" t="str">
        <f>VLOOKUP(F1145,'Set up'!$A$2:$E$70,5,FALSE)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28"/>
        <v>11</v>
      </c>
      <c r="C1146" s="5">
        <f t="shared" si="229"/>
        <v>2022</v>
      </c>
      <c r="D1146" s="5" t="s">
        <v>1055</v>
      </c>
      <c r="E1146" s="5" t="str">
        <f>VLOOKUP(F1146,'Set up'!$A$2:$C$70,2,FALSE)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up'!$A$2:$C$70,3,FALSE)</f>
        <v>Cash</v>
      </c>
      <c r="J1146" s="5">
        <f>VLOOKUP(F1146,'Set up'!$A$2:$D$70,4,FALSE)</f>
        <v>0</v>
      </c>
      <c r="K1146" s="4">
        <f t="shared" si="230"/>
        <v>44872</v>
      </c>
      <c r="L1146" s="5">
        <f t="shared" si="231"/>
        <v>11</v>
      </c>
      <c r="M1146" s="5">
        <f t="shared" si="232"/>
        <v>2022</v>
      </c>
      <c r="N1146" s="6">
        <v>1141</v>
      </c>
      <c r="O1146" s="6">
        <f t="shared" ref="O1146:O1147" si="242">-N1146</f>
        <v>-1141</v>
      </c>
      <c r="P1146" s="6">
        <f t="shared" si="240"/>
        <v>0</v>
      </c>
      <c r="Q1146" s="7">
        <f t="shared" si="241"/>
        <v>2081476.050000001</v>
      </c>
      <c r="R1146" s="44" t="str">
        <f>VLOOKUP(F1146,'Set up'!$A$2:$E$70,5,FALSE)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28"/>
        <v>11</v>
      </c>
      <c r="C1147" s="5">
        <f t="shared" si="229"/>
        <v>2022</v>
      </c>
      <c r="D1147" s="5" t="s">
        <v>1055</v>
      </c>
      <c r="E1147" s="5" t="str">
        <f>VLOOKUP(F1147,'Set up'!$A$2:$C$70,2,FALSE)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up'!$A$2:$C$70,3,FALSE)</f>
        <v>Cash</v>
      </c>
      <c r="J1147" s="5">
        <f>VLOOKUP(F1147,'Set up'!$A$2:$D$70,4,FALSE)</f>
        <v>0</v>
      </c>
      <c r="K1147" s="4">
        <f t="shared" si="230"/>
        <v>44872</v>
      </c>
      <c r="L1147" s="5">
        <f t="shared" si="231"/>
        <v>11</v>
      </c>
      <c r="M1147" s="5">
        <f t="shared" si="232"/>
        <v>2022</v>
      </c>
      <c r="N1147" s="6">
        <v>175</v>
      </c>
      <c r="O1147" s="6">
        <f t="shared" si="242"/>
        <v>-175</v>
      </c>
      <c r="P1147" s="6">
        <f t="shared" si="240"/>
        <v>0</v>
      </c>
      <c r="Q1147" s="7">
        <f t="shared" si="241"/>
        <v>2081651.050000001</v>
      </c>
      <c r="R1147" s="44" t="str">
        <f>VLOOKUP(F1147,'Set up'!$A$2:$E$70,5,FALSE)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28"/>
        <v>11</v>
      </c>
      <c r="C1148" s="5">
        <f t="shared" si="229"/>
        <v>2022</v>
      </c>
      <c r="D1148" s="5" t="s">
        <v>1062</v>
      </c>
      <c r="E1148" s="5" t="str">
        <f>VLOOKUP(F1148,'Set up'!$A$2:$C$70,2,FALSE)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up'!$A$2:$C$70,3,FALSE)</f>
        <v>Cash</v>
      </c>
      <c r="J1148" s="5">
        <f>VLOOKUP(F1148,'Set up'!$A$2:$D$70,4,FALSE)</f>
        <v>0</v>
      </c>
      <c r="K1148" s="4">
        <f t="shared" si="230"/>
        <v>44873</v>
      </c>
      <c r="L1148" s="5">
        <f t="shared" si="231"/>
        <v>11</v>
      </c>
      <c r="M1148" s="5">
        <f t="shared" si="232"/>
        <v>2022</v>
      </c>
      <c r="N1148" s="6">
        <v>1170</v>
      </c>
      <c r="O1148" s="6">
        <f>-N1148</f>
        <v>-1170</v>
      </c>
      <c r="P1148" s="6">
        <f t="shared" si="240"/>
        <v>0</v>
      </c>
      <c r="Q1148" s="7">
        <f t="shared" si="241"/>
        <v>2082821.050000001</v>
      </c>
      <c r="R1148" s="44" t="str">
        <f>VLOOKUP(F1148,'Set up'!$A$2:$E$70,5,FALSE)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28"/>
        <v>11</v>
      </c>
      <c r="C1149" s="5">
        <f t="shared" si="229"/>
        <v>2022</v>
      </c>
      <c r="D1149" s="5" t="s">
        <v>1062</v>
      </c>
      <c r="E1149" s="5" t="str">
        <f>VLOOKUP(F1149,'Set up'!$A$2:$C$70,2,FALSE)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up'!$A$2:$C$70,3,FALSE)</f>
        <v>Cash</v>
      </c>
      <c r="J1149" s="5">
        <f>VLOOKUP(F1149,'Set up'!$A$2:$D$70,4,FALSE)</f>
        <v>0</v>
      </c>
      <c r="K1149" s="4">
        <f t="shared" si="230"/>
        <v>44873</v>
      </c>
      <c r="L1149" s="5">
        <f t="shared" si="231"/>
        <v>11</v>
      </c>
      <c r="M1149" s="5">
        <f t="shared" si="232"/>
        <v>2022</v>
      </c>
      <c r="N1149" s="6">
        <v>2250</v>
      </c>
      <c r="O1149" s="6">
        <f>-N1149</f>
        <v>-2250</v>
      </c>
      <c r="P1149" s="6">
        <f t="shared" si="240"/>
        <v>0</v>
      </c>
      <c r="Q1149" s="7">
        <f t="shared" si="241"/>
        <v>2085071.050000001</v>
      </c>
      <c r="R1149" s="44" t="str">
        <f>VLOOKUP(F1149,'Set up'!$A$2:$E$70,5,FALSE)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28"/>
        <v>11</v>
      </c>
      <c r="C1150" s="5">
        <f t="shared" si="229"/>
        <v>2022</v>
      </c>
      <c r="D1150" s="5" t="s">
        <v>1062</v>
      </c>
      <c r="E1150" s="5" t="str">
        <f>VLOOKUP(F1150,'Set up'!$A$2:$C$70,2,FALSE)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up'!$A$2:$C$70,3,FALSE)</f>
        <v>Cash</v>
      </c>
      <c r="J1150" s="5">
        <f>VLOOKUP(F1150,'Set up'!$A$2:$D$70,4,FALSE)</f>
        <v>0</v>
      </c>
      <c r="K1150" s="4">
        <f t="shared" si="230"/>
        <v>44873</v>
      </c>
      <c r="L1150" s="5">
        <f t="shared" si="231"/>
        <v>11</v>
      </c>
      <c r="M1150" s="5">
        <f t="shared" si="232"/>
        <v>2022</v>
      </c>
      <c r="N1150" s="6">
        <v>855</v>
      </c>
      <c r="O1150" s="6">
        <f>-N1150</f>
        <v>-855</v>
      </c>
      <c r="P1150" s="6">
        <f t="shared" si="240"/>
        <v>0</v>
      </c>
      <c r="Q1150" s="7">
        <f t="shared" si="241"/>
        <v>2085926.050000001</v>
      </c>
      <c r="R1150" s="44" t="str">
        <f>VLOOKUP(F1150,'Set up'!$A$2:$E$70,5,FALSE)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si="228"/>
        <v>11</v>
      </c>
      <c r="C1151" s="5">
        <f t="shared" si="229"/>
        <v>2022</v>
      </c>
      <c r="D1151" s="5" t="s">
        <v>1062</v>
      </c>
      <c r="E1151" s="5" t="str">
        <f>VLOOKUP(F1151,'Set up'!$A$2:$C$70,2,FALSE)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up'!$A$2:$C$70,3,FALSE)</f>
        <v>Cash</v>
      </c>
      <c r="J1151" s="5">
        <f>VLOOKUP(F1151,'Set up'!$A$2:$D$70,4,FALSE)</f>
        <v>0</v>
      </c>
      <c r="K1151" s="4">
        <f t="shared" si="230"/>
        <v>44873</v>
      </c>
      <c r="L1151" s="5">
        <f t="shared" si="231"/>
        <v>11</v>
      </c>
      <c r="M1151" s="5">
        <f t="shared" si="232"/>
        <v>2022</v>
      </c>
      <c r="N1151" s="6">
        <v>98</v>
      </c>
      <c r="O1151" s="6">
        <f>-N1151</f>
        <v>-98</v>
      </c>
      <c r="P1151" s="6">
        <f t="shared" ref="P1151:P1214" si="243">SUM(N1151+O1151)</f>
        <v>0</v>
      </c>
      <c r="Q1151" s="7">
        <f t="shared" ref="Q1151:Q1214" si="244">SUM(Q1150+N1151)</f>
        <v>2086024.050000001</v>
      </c>
      <c r="R1151" s="44" t="str">
        <f>VLOOKUP(F1151,'Set up'!$A$2:$E$70,5,FALSE)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28"/>
        <v>11</v>
      </c>
      <c r="C1152" s="5">
        <f t="shared" si="229"/>
        <v>2022</v>
      </c>
      <c r="D1152" s="5" t="s">
        <v>1063</v>
      </c>
      <c r="E1152" s="5" t="str">
        <f>VLOOKUP(F1152,'Set up'!$A$2:$C$70,2,FALSE)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up'!$A$2:$C$70,3,FALSE)</f>
        <v>Cash</v>
      </c>
      <c r="J1152" s="5">
        <f>VLOOKUP(F1152,'Set up'!$A$2:$D$70,4,FALSE)</f>
        <v>0</v>
      </c>
      <c r="K1152" s="4">
        <f t="shared" si="230"/>
        <v>44874</v>
      </c>
      <c r="L1152" s="5">
        <f t="shared" si="231"/>
        <v>11</v>
      </c>
      <c r="M1152" s="5">
        <f t="shared" si="232"/>
        <v>2022</v>
      </c>
      <c r="N1152" s="6">
        <v>1936</v>
      </c>
      <c r="O1152" s="6">
        <f t="shared" ref="O1152:O1154" si="245">-N1152</f>
        <v>-1936</v>
      </c>
      <c r="P1152" s="6">
        <f t="shared" si="243"/>
        <v>0</v>
      </c>
      <c r="Q1152" s="7">
        <f t="shared" si="244"/>
        <v>2087960.050000001</v>
      </c>
      <c r="R1152" s="44" t="str">
        <f>VLOOKUP(F1152,'Set up'!$A$2:$E$70,5,FALSE)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28"/>
        <v>11</v>
      </c>
      <c r="C1153" s="5">
        <f t="shared" si="229"/>
        <v>2022</v>
      </c>
      <c r="D1153" s="5" t="s">
        <v>1063</v>
      </c>
      <c r="E1153" s="5" t="str">
        <f>VLOOKUP(F1153,'Set up'!$A$2:$C$70,2,FALSE)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up'!$A$2:$C$70,3,FALSE)</f>
        <v>Cash</v>
      </c>
      <c r="J1153" s="5">
        <f>VLOOKUP(F1153,'Set up'!$A$2:$D$70,4,FALSE)</f>
        <v>0</v>
      </c>
      <c r="K1153" s="4">
        <f t="shared" si="230"/>
        <v>44874</v>
      </c>
      <c r="L1153" s="5">
        <f t="shared" si="231"/>
        <v>11</v>
      </c>
      <c r="M1153" s="5">
        <f t="shared" si="232"/>
        <v>2022</v>
      </c>
      <c r="N1153" s="6">
        <v>1068</v>
      </c>
      <c r="O1153" s="6">
        <f t="shared" si="245"/>
        <v>-1068</v>
      </c>
      <c r="P1153" s="6">
        <f t="shared" si="243"/>
        <v>0</v>
      </c>
      <c r="Q1153" s="7">
        <f t="shared" si="244"/>
        <v>2089028.050000001</v>
      </c>
      <c r="R1153" s="44" t="str">
        <f>VLOOKUP(F1153,'Set up'!$A$2:$E$70,5,FALSE)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28"/>
        <v>11</v>
      </c>
      <c r="C1154" s="5">
        <f t="shared" si="229"/>
        <v>2022</v>
      </c>
      <c r="D1154" s="5" t="s">
        <v>1063</v>
      </c>
      <c r="E1154" s="5" t="str">
        <f>VLOOKUP(F1154,'Set up'!$A$2:$C$70,2,FALSE)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up'!$A$2:$C$70,3,FALSE)</f>
        <v>Cash</v>
      </c>
      <c r="J1154" s="5">
        <f>VLOOKUP(F1154,'Set up'!$A$2:$D$70,4,FALSE)</f>
        <v>0</v>
      </c>
      <c r="K1154" s="4">
        <f t="shared" si="230"/>
        <v>44874</v>
      </c>
      <c r="L1154" s="5">
        <f t="shared" si="231"/>
        <v>11</v>
      </c>
      <c r="M1154" s="5">
        <f t="shared" si="232"/>
        <v>2022</v>
      </c>
      <c r="N1154" s="6">
        <v>90</v>
      </c>
      <c r="O1154" s="6">
        <f t="shared" si="245"/>
        <v>-90</v>
      </c>
      <c r="P1154" s="6">
        <f t="shared" si="243"/>
        <v>0</v>
      </c>
      <c r="Q1154" s="7">
        <f t="shared" si="244"/>
        <v>2089118.050000001</v>
      </c>
      <c r="R1154" s="44" t="str">
        <f>VLOOKUP(F1154,'Set up'!$A$2:$E$70,5,FALSE)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ref="B1155:B1218" si="246">MONTH(A1155)</f>
        <v>11</v>
      </c>
      <c r="C1155" s="5">
        <f t="shared" ref="C1155:C1218" si="247">YEAR(A1155)</f>
        <v>2022</v>
      </c>
      <c r="D1155" s="5" t="s">
        <v>1064</v>
      </c>
      <c r="E1155" s="5" t="str">
        <f>VLOOKUP(F1155,'Set up'!$A$2:$C$70,2,FALSE)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up'!$A$2:$C$70,3,FALSE)</f>
        <v>Cash</v>
      </c>
      <c r="J1155" s="5">
        <f>VLOOKUP(F1155,'Set up'!$A$2:$D$70,4,FALSE)</f>
        <v>0</v>
      </c>
      <c r="K1155" s="4">
        <f t="shared" ref="K1155:K1218" si="248">A1155+J1155</f>
        <v>44876</v>
      </c>
      <c r="L1155" s="5">
        <f t="shared" ref="L1155:L1218" si="249">MONTH(K1155)</f>
        <v>11</v>
      </c>
      <c r="M1155" s="5">
        <f t="shared" ref="M1155:M1218" si="250">YEAR(K1155)</f>
        <v>2022</v>
      </c>
      <c r="N1155" s="6">
        <v>9020</v>
      </c>
      <c r="O1155" s="6">
        <f>-8104.4-915.6</f>
        <v>-9020</v>
      </c>
      <c r="P1155" s="6">
        <f t="shared" si="243"/>
        <v>0</v>
      </c>
      <c r="Q1155" s="7">
        <f t="shared" si="244"/>
        <v>2098138.0500000007</v>
      </c>
      <c r="R1155" s="44" t="str">
        <f>VLOOKUP(F1155,'Set up'!$A$2:$E$70,5,FALSE)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46"/>
        <v>11</v>
      </c>
      <c r="C1156" s="5">
        <f t="shared" si="247"/>
        <v>2022</v>
      </c>
      <c r="D1156" s="5" t="s">
        <v>1064</v>
      </c>
      <c r="E1156" s="5" t="str">
        <f>VLOOKUP(F1156,'Set up'!$A$2:$C$70,2,FALSE)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up'!$A$2:$C$70,3,FALSE)</f>
        <v>Cash</v>
      </c>
      <c r="J1156" s="5">
        <f>VLOOKUP(F1156,'Set up'!$A$2:$D$70,4,FALSE)</f>
        <v>0</v>
      </c>
      <c r="K1156" s="4">
        <f t="shared" si="248"/>
        <v>44876</v>
      </c>
      <c r="L1156" s="5">
        <f t="shared" si="249"/>
        <v>11</v>
      </c>
      <c r="M1156" s="5">
        <f t="shared" si="250"/>
        <v>2022</v>
      </c>
      <c r="N1156" s="6">
        <v>3024</v>
      </c>
      <c r="O1156" s="6">
        <f t="shared" ref="O1156" si="251">-N1156</f>
        <v>-3024</v>
      </c>
      <c r="P1156" s="6">
        <f t="shared" si="243"/>
        <v>0</v>
      </c>
      <c r="Q1156" s="7">
        <f t="shared" si="244"/>
        <v>2101162.0500000007</v>
      </c>
      <c r="R1156" s="44" t="str">
        <f>VLOOKUP(F1156,'Set up'!$A$2:$E$70,5,FALSE)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46"/>
        <v>11</v>
      </c>
      <c r="C1157" s="5">
        <f t="shared" si="247"/>
        <v>2022</v>
      </c>
      <c r="D1157" s="5" t="s">
        <v>1064</v>
      </c>
      <c r="E1157" s="5" t="str">
        <f>VLOOKUP(F1157,'Set up'!$A$2:$C$70,2,FALSE)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up'!$A$2:$C$70,3,FALSE)</f>
        <v>Cash</v>
      </c>
      <c r="J1157" s="5">
        <f>VLOOKUP(F1157,'Set up'!$A$2:$D$70,4,FALSE)</f>
        <v>0</v>
      </c>
      <c r="K1157" s="4">
        <f t="shared" si="248"/>
        <v>44876</v>
      </c>
      <c r="L1157" s="5">
        <f t="shared" si="249"/>
        <v>11</v>
      </c>
      <c r="M1157" s="5">
        <f t="shared" si="250"/>
        <v>2022</v>
      </c>
      <c r="N1157" s="6">
        <v>1170</v>
      </c>
      <c r="O1157" s="6">
        <f>-1060.4-109.6</f>
        <v>-1170</v>
      </c>
      <c r="P1157" s="6">
        <f t="shared" si="243"/>
        <v>0</v>
      </c>
      <c r="Q1157" s="7">
        <f t="shared" si="244"/>
        <v>2102332.0500000007</v>
      </c>
      <c r="R1157" s="44" t="str">
        <f>VLOOKUP(F1157,'Set up'!$A$2:$E$70,5,FALSE)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46"/>
        <v>11</v>
      </c>
      <c r="C1158" s="5">
        <f t="shared" si="247"/>
        <v>2022</v>
      </c>
      <c r="D1158" s="5" t="s">
        <v>1064</v>
      </c>
      <c r="E1158" s="5" t="str">
        <f>VLOOKUP(F1158,'Set up'!$A$2:$C$70,2,FALSE)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up'!$A$2:$C$70,3,FALSE)</f>
        <v>Cash</v>
      </c>
      <c r="J1158" s="5">
        <f>VLOOKUP(F1158,'Set up'!$A$2:$D$70,4,FALSE)</f>
        <v>0</v>
      </c>
      <c r="K1158" s="4">
        <f t="shared" si="248"/>
        <v>44876</v>
      </c>
      <c r="L1158" s="5">
        <f t="shared" si="249"/>
        <v>11</v>
      </c>
      <c r="M1158" s="5">
        <f t="shared" si="250"/>
        <v>2022</v>
      </c>
      <c r="N1158" s="6">
        <v>312.5</v>
      </c>
      <c r="O1158" s="6">
        <f t="shared" ref="O1158:O1160" si="252">-N1158</f>
        <v>-312.5</v>
      </c>
      <c r="P1158" s="6">
        <f t="shared" si="243"/>
        <v>0</v>
      </c>
      <c r="Q1158" s="7">
        <f t="shared" si="244"/>
        <v>2102644.5500000007</v>
      </c>
      <c r="R1158" s="44" t="str">
        <f>VLOOKUP(F1158,'Set up'!$A$2:$E$70,5,FALSE)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46"/>
        <v>11</v>
      </c>
      <c r="C1159" s="5">
        <f t="shared" si="247"/>
        <v>2022</v>
      </c>
      <c r="D1159" s="5" t="s">
        <v>1064</v>
      </c>
      <c r="E1159" s="5" t="str">
        <f>VLOOKUP(F1159,'Set up'!$A$2:$C$70,2,FALSE)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up'!$A$2:$C$70,3,FALSE)</f>
        <v>Cash</v>
      </c>
      <c r="J1159" s="5">
        <f>VLOOKUP(F1159,'Set up'!$A$2:$D$70,4,FALSE)</f>
        <v>0</v>
      </c>
      <c r="K1159" s="4">
        <f t="shared" si="248"/>
        <v>44876</v>
      </c>
      <c r="L1159" s="5">
        <f t="shared" si="249"/>
        <v>11</v>
      </c>
      <c r="M1159" s="5">
        <f t="shared" si="250"/>
        <v>2022</v>
      </c>
      <c r="N1159" s="6">
        <v>1000</v>
      </c>
      <c r="O1159" s="6">
        <f t="shared" si="252"/>
        <v>-1000</v>
      </c>
      <c r="P1159" s="6">
        <f t="shared" si="243"/>
        <v>0</v>
      </c>
      <c r="Q1159" s="7">
        <f t="shared" si="244"/>
        <v>2103644.5500000007</v>
      </c>
      <c r="R1159" s="44" t="str">
        <f>VLOOKUP(F1159,'Set up'!$A$2:$E$70,5,FALSE)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46"/>
        <v>11</v>
      </c>
      <c r="C1160" s="5">
        <f t="shared" si="247"/>
        <v>2022</v>
      </c>
      <c r="D1160" s="5" t="s">
        <v>1064</v>
      </c>
      <c r="E1160" s="5" t="str">
        <f>VLOOKUP(F1160,'Set up'!$A$2:$C$70,2,FALSE)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up'!$A$2:$C$70,3,FALSE)</f>
        <v>Cash</v>
      </c>
      <c r="J1160" s="5">
        <f>VLOOKUP(F1160,'Set up'!$A$2:$D$70,4,FALSE)</f>
        <v>0</v>
      </c>
      <c r="K1160" s="4">
        <f t="shared" si="248"/>
        <v>44876</v>
      </c>
      <c r="L1160" s="5">
        <f t="shared" si="249"/>
        <v>11</v>
      </c>
      <c r="M1160" s="5">
        <f t="shared" si="250"/>
        <v>2022</v>
      </c>
      <c r="N1160" s="6">
        <v>360</v>
      </c>
      <c r="O1160" s="6">
        <f t="shared" si="252"/>
        <v>-360</v>
      </c>
      <c r="P1160" s="6">
        <f t="shared" si="243"/>
        <v>0</v>
      </c>
      <c r="Q1160" s="7">
        <f t="shared" si="244"/>
        <v>2104004.5500000007</v>
      </c>
      <c r="R1160" s="44" t="str">
        <f>VLOOKUP(F1160,'Set up'!$A$2:$E$70,5,FALSE)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46"/>
        <v>11</v>
      </c>
      <c r="C1161" s="5">
        <f t="shared" si="247"/>
        <v>2022</v>
      </c>
      <c r="D1161" s="5" t="s">
        <v>1065</v>
      </c>
      <c r="E1161" s="5" t="str">
        <f>VLOOKUP(F1161,'Set up'!$A$2:$C$70,2,FALSE)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up'!$A$2:$C$70,3,FALSE)</f>
        <v>Cash</v>
      </c>
      <c r="J1161" s="5">
        <f>VLOOKUP(F1161,'Set up'!$A$2:$D$70,4,FALSE)</f>
        <v>0</v>
      </c>
      <c r="K1161" s="4">
        <f t="shared" si="248"/>
        <v>44879</v>
      </c>
      <c r="L1161" s="5">
        <f t="shared" si="249"/>
        <v>11</v>
      </c>
      <c r="M1161" s="5">
        <f t="shared" si="250"/>
        <v>2022</v>
      </c>
      <c r="N1161" s="6">
        <v>7920</v>
      </c>
      <c r="O1161" s="6">
        <f t="shared" ref="O1161:O1170" si="253">-N1161</f>
        <v>-7920</v>
      </c>
      <c r="P1161" s="6">
        <f t="shared" si="243"/>
        <v>0</v>
      </c>
      <c r="Q1161" s="7">
        <f t="shared" si="244"/>
        <v>2111924.5500000007</v>
      </c>
      <c r="R1161" s="44" t="str">
        <f>VLOOKUP(F1161,'Set up'!$A$2:$E$70,5,FALSE)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46"/>
        <v>11</v>
      </c>
      <c r="C1162" s="5">
        <f t="shared" si="247"/>
        <v>2022</v>
      </c>
      <c r="D1162" s="5" t="s">
        <v>1065</v>
      </c>
      <c r="E1162" s="5" t="str">
        <f>VLOOKUP(F1162,'Set up'!$A$2:$C$70,2,FALSE)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up'!$A$2:$C$70,3,FALSE)</f>
        <v>Cash</v>
      </c>
      <c r="J1162" s="5">
        <f>VLOOKUP(F1162,'Set up'!$A$2:$D$70,4,FALSE)</f>
        <v>0</v>
      </c>
      <c r="K1162" s="4">
        <f t="shared" si="248"/>
        <v>44879</v>
      </c>
      <c r="L1162" s="5">
        <f t="shared" si="249"/>
        <v>11</v>
      </c>
      <c r="M1162" s="5">
        <f t="shared" si="250"/>
        <v>2022</v>
      </c>
      <c r="N1162" s="6">
        <v>993.6</v>
      </c>
      <c r="O1162" s="6">
        <f t="shared" si="253"/>
        <v>-993.6</v>
      </c>
      <c r="P1162" s="6">
        <f t="shared" si="243"/>
        <v>0</v>
      </c>
      <c r="Q1162" s="7">
        <f t="shared" si="244"/>
        <v>2112918.1500000008</v>
      </c>
      <c r="R1162" s="44" t="str">
        <f>VLOOKUP(F1162,'Set up'!$A$2:$E$70,5,FALSE)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46"/>
        <v>11</v>
      </c>
      <c r="C1163" s="5">
        <f t="shared" si="247"/>
        <v>2022</v>
      </c>
      <c r="D1163" s="5" t="s">
        <v>1065</v>
      </c>
      <c r="E1163" s="5" t="str">
        <f>VLOOKUP(F1163,'Set up'!$A$2:$C$70,2,FALSE)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up'!$A$2:$C$70,3,FALSE)</f>
        <v>Cash</v>
      </c>
      <c r="J1163" s="5">
        <f>VLOOKUP(F1163,'Set up'!$A$2:$D$70,4,FALSE)</f>
        <v>0</v>
      </c>
      <c r="K1163" s="4">
        <f t="shared" si="248"/>
        <v>44879</v>
      </c>
      <c r="L1163" s="5">
        <f t="shared" si="249"/>
        <v>11</v>
      </c>
      <c r="M1163" s="5">
        <f t="shared" si="250"/>
        <v>2022</v>
      </c>
      <c r="N1163" s="6">
        <v>993.6</v>
      </c>
      <c r="O1163" s="6">
        <f t="shared" si="253"/>
        <v>-993.6</v>
      </c>
      <c r="P1163" s="6">
        <f t="shared" si="243"/>
        <v>0</v>
      </c>
      <c r="Q1163" s="7">
        <f t="shared" si="244"/>
        <v>2113911.7500000009</v>
      </c>
      <c r="R1163" s="44" t="str">
        <f>VLOOKUP(F1163,'Set up'!$A$2:$E$70,5,FALSE)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46"/>
        <v>11</v>
      </c>
      <c r="C1164" s="5">
        <f t="shared" si="247"/>
        <v>2022</v>
      </c>
      <c r="D1164" s="5" t="s">
        <v>1065</v>
      </c>
      <c r="E1164" s="5" t="str">
        <f>VLOOKUP(F1164,'Set up'!$A$2:$C$70,2,FALSE)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up'!$A$2:$C$70,3,FALSE)</f>
        <v>Cash</v>
      </c>
      <c r="J1164" s="5">
        <f>VLOOKUP(F1164,'Set up'!$A$2:$D$70,4,FALSE)</f>
        <v>0</v>
      </c>
      <c r="K1164" s="4">
        <f t="shared" si="248"/>
        <v>44879</v>
      </c>
      <c r="L1164" s="5">
        <f t="shared" si="249"/>
        <v>11</v>
      </c>
      <c r="M1164" s="5">
        <f t="shared" si="250"/>
        <v>2022</v>
      </c>
      <c r="N1164" s="6">
        <v>315</v>
      </c>
      <c r="O1164" s="6">
        <f t="shared" si="253"/>
        <v>-315</v>
      </c>
      <c r="P1164" s="6">
        <f t="shared" si="243"/>
        <v>0</v>
      </c>
      <c r="Q1164" s="7">
        <f t="shared" si="244"/>
        <v>2114226.7500000009</v>
      </c>
      <c r="R1164" s="44" t="str">
        <f>VLOOKUP(F1164,'Set up'!$A$2:$E$70,5,FALSE)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46"/>
        <v>11</v>
      </c>
      <c r="C1165" s="5">
        <f t="shared" si="247"/>
        <v>2022</v>
      </c>
      <c r="D1165" s="5" t="s">
        <v>1065</v>
      </c>
      <c r="E1165" s="5" t="str">
        <f>VLOOKUP(F1165,'Set up'!$A$2:$C$70,2,FALSE)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up'!$A$2:$C$70,3,FALSE)</f>
        <v>Cash</v>
      </c>
      <c r="J1165" s="5">
        <f>VLOOKUP(F1165,'Set up'!$A$2:$D$70,4,FALSE)</f>
        <v>0</v>
      </c>
      <c r="K1165" s="4">
        <f t="shared" si="248"/>
        <v>44879</v>
      </c>
      <c r="L1165" s="5">
        <f t="shared" si="249"/>
        <v>11</v>
      </c>
      <c r="M1165" s="5">
        <f t="shared" si="250"/>
        <v>2022</v>
      </c>
      <c r="N1165" s="6">
        <v>640</v>
      </c>
      <c r="O1165" s="6">
        <f t="shared" si="253"/>
        <v>-640</v>
      </c>
      <c r="P1165" s="6">
        <f t="shared" si="243"/>
        <v>0</v>
      </c>
      <c r="Q1165" s="7">
        <f t="shared" si="244"/>
        <v>2114866.7500000009</v>
      </c>
      <c r="R1165" s="44" t="str">
        <f>VLOOKUP(F1165,'Set up'!$A$2:$E$70,5,FALSE)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46"/>
        <v>11</v>
      </c>
      <c r="C1166" s="5">
        <f t="shared" si="247"/>
        <v>2022</v>
      </c>
      <c r="D1166" s="5" t="s">
        <v>1065</v>
      </c>
      <c r="E1166" s="5" t="str">
        <f>VLOOKUP(F1166,'Set up'!$A$2:$C$70,2,FALSE)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up'!$A$2:$C$70,3,FALSE)</f>
        <v>Cash</v>
      </c>
      <c r="J1166" s="5">
        <f>VLOOKUP(F1166,'Set up'!$A$2:$D$70,4,FALSE)</f>
        <v>0</v>
      </c>
      <c r="K1166" s="4">
        <f t="shared" si="248"/>
        <v>44879</v>
      </c>
      <c r="L1166" s="5">
        <f t="shared" si="249"/>
        <v>11</v>
      </c>
      <c r="M1166" s="5">
        <f t="shared" si="250"/>
        <v>2022</v>
      </c>
      <c r="N1166" s="6">
        <v>360</v>
      </c>
      <c r="O1166" s="6">
        <f t="shared" si="253"/>
        <v>-360</v>
      </c>
      <c r="P1166" s="6">
        <f t="shared" si="243"/>
        <v>0</v>
      </c>
      <c r="Q1166" s="7">
        <f t="shared" si="244"/>
        <v>2115226.7500000009</v>
      </c>
      <c r="R1166" s="44" t="str">
        <f>VLOOKUP(F1166,'Set up'!$A$2:$E$70,5,FALSE)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46"/>
        <v>11</v>
      </c>
      <c r="C1167" s="5">
        <f t="shared" si="247"/>
        <v>2022</v>
      </c>
      <c r="D1167" s="5" t="s">
        <v>1065</v>
      </c>
      <c r="E1167" s="5" t="str">
        <f>VLOOKUP(F1167,'Set up'!$A$2:$C$70,2,FALSE)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up'!$A$2:$C$70,3,FALSE)</f>
        <v>Cash</v>
      </c>
      <c r="J1167" s="5">
        <f>VLOOKUP(F1167,'Set up'!$A$2:$D$70,4,FALSE)</f>
        <v>0</v>
      </c>
      <c r="K1167" s="4">
        <f t="shared" si="248"/>
        <v>44879</v>
      </c>
      <c r="L1167" s="5">
        <f t="shared" si="249"/>
        <v>11</v>
      </c>
      <c r="M1167" s="5">
        <f t="shared" si="250"/>
        <v>2022</v>
      </c>
      <c r="N1167" s="6">
        <v>270</v>
      </c>
      <c r="O1167" s="6">
        <f t="shared" si="253"/>
        <v>-270</v>
      </c>
      <c r="P1167" s="6">
        <f t="shared" si="243"/>
        <v>0</v>
      </c>
      <c r="Q1167" s="7">
        <f t="shared" si="244"/>
        <v>2115496.7500000009</v>
      </c>
      <c r="R1167" s="44" t="str">
        <f>VLOOKUP(F1167,'Set up'!$A$2:$E$70,5,FALSE)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46"/>
        <v>11</v>
      </c>
      <c r="C1168" s="5">
        <f t="shared" si="247"/>
        <v>2022</v>
      </c>
      <c r="D1168" s="5" t="s">
        <v>1065</v>
      </c>
      <c r="E1168" s="5" t="str">
        <f>VLOOKUP(F1168,'Set up'!$A$2:$C$70,2,FALSE)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up'!$A$2:$C$70,3,FALSE)</f>
        <v>Cash</v>
      </c>
      <c r="J1168" s="5">
        <f>VLOOKUP(F1168,'Set up'!$A$2:$D$70,4,FALSE)</f>
        <v>0</v>
      </c>
      <c r="K1168" s="4">
        <f t="shared" si="248"/>
        <v>44879</v>
      </c>
      <c r="L1168" s="5">
        <f t="shared" si="249"/>
        <v>11</v>
      </c>
      <c r="M1168" s="5">
        <f t="shared" si="250"/>
        <v>2022</v>
      </c>
      <c r="N1168" s="6">
        <v>440</v>
      </c>
      <c r="O1168" s="6">
        <f t="shared" si="253"/>
        <v>-440</v>
      </c>
      <c r="P1168" s="6">
        <f t="shared" si="243"/>
        <v>0</v>
      </c>
      <c r="Q1168" s="7">
        <f t="shared" si="244"/>
        <v>2115936.7500000009</v>
      </c>
      <c r="R1168" s="44" t="str">
        <f>VLOOKUP(F1168,'Set up'!$A$2:$E$70,5,FALSE)</f>
        <v>Trsf</v>
      </c>
      <c r="S1168" s="1" t="s">
        <v>1477</v>
      </c>
    </row>
    <row r="1169" spans="1:21" x14ac:dyDescent="0.35">
      <c r="A1169" s="4">
        <v>44879</v>
      </c>
      <c r="B1169" s="5">
        <f t="shared" si="246"/>
        <v>11</v>
      </c>
      <c r="C1169" s="5">
        <f t="shared" si="247"/>
        <v>2022</v>
      </c>
      <c r="D1169" s="5" t="s">
        <v>1065</v>
      </c>
      <c r="E1169" s="5" t="str">
        <f>VLOOKUP(F1169,'Set up'!$A$2:$C$70,2,FALSE)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up'!$A$2:$C$70,3,FALSE)</f>
        <v>Cash</v>
      </c>
      <c r="J1169" s="5">
        <f>VLOOKUP(F1169,'Set up'!$A$2:$D$70,4,FALSE)</f>
        <v>0</v>
      </c>
      <c r="K1169" s="4">
        <f t="shared" si="248"/>
        <v>44879</v>
      </c>
      <c r="L1169" s="5">
        <f t="shared" si="249"/>
        <v>11</v>
      </c>
      <c r="M1169" s="5">
        <f t="shared" si="250"/>
        <v>2022</v>
      </c>
      <c r="N1169" s="6">
        <v>1524</v>
      </c>
      <c r="O1169" s="6">
        <f t="shared" si="253"/>
        <v>-1524</v>
      </c>
      <c r="P1169" s="6">
        <f t="shared" si="243"/>
        <v>0</v>
      </c>
      <c r="Q1169" s="7">
        <f t="shared" si="244"/>
        <v>2117460.7500000009</v>
      </c>
      <c r="R1169" s="44" t="str">
        <f>VLOOKUP(F1169,'Set up'!$A$2:$E$70,5,FALSE)</f>
        <v>Trsf</v>
      </c>
      <c r="S1169" s="1" t="s">
        <v>1477</v>
      </c>
    </row>
    <row r="1170" spans="1:21" x14ac:dyDescent="0.35">
      <c r="A1170" s="4">
        <v>44879</v>
      </c>
      <c r="B1170" s="5">
        <f t="shared" si="246"/>
        <v>11</v>
      </c>
      <c r="C1170" s="5">
        <f t="shared" si="247"/>
        <v>2022</v>
      </c>
      <c r="D1170" s="5" t="s">
        <v>1065</v>
      </c>
      <c r="E1170" s="5" t="str">
        <f>VLOOKUP(F1170,'Set up'!$A$2:$C$70,2,FALSE)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up'!$A$2:$C$70,3,FALSE)</f>
        <v>Cash</v>
      </c>
      <c r="J1170" s="5">
        <f>VLOOKUP(F1170,'Set up'!$A$2:$D$70,4,FALSE)</f>
        <v>0</v>
      </c>
      <c r="K1170" s="4">
        <f t="shared" si="248"/>
        <v>44879</v>
      </c>
      <c r="L1170" s="5">
        <f t="shared" si="249"/>
        <v>11</v>
      </c>
      <c r="M1170" s="5">
        <f t="shared" si="250"/>
        <v>2022</v>
      </c>
      <c r="N1170" s="6">
        <v>1108.4000000000001</v>
      </c>
      <c r="O1170" s="6">
        <f t="shared" si="253"/>
        <v>-1108.4000000000001</v>
      </c>
      <c r="P1170" s="6">
        <f t="shared" si="243"/>
        <v>0</v>
      </c>
      <c r="Q1170" s="7">
        <f t="shared" si="244"/>
        <v>2118569.1500000008</v>
      </c>
      <c r="R1170" s="44" t="str">
        <f>VLOOKUP(F1170,'Set up'!$A$2:$E$70,5,FALSE)</f>
        <v>Trsf</v>
      </c>
      <c r="S1170" s="1" t="s">
        <v>1477</v>
      </c>
    </row>
    <row r="1171" spans="1:21" x14ac:dyDescent="0.35">
      <c r="A1171" s="4">
        <v>44880</v>
      </c>
      <c r="B1171" s="5">
        <f t="shared" si="246"/>
        <v>11</v>
      </c>
      <c r="C1171" s="5">
        <f t="shared" si="247"/>
        <v>2022</v>
      </c>
      <c r="D1171" s="5" t="s">
        <v>1066</v>
      </c>
      <c r="E1171" s="5" t="str">
        <f>VLOOKUP(F1171,'Set up'!$A$2:$C$70,2,FALSE)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up'!$A$2:$C$70,3,FALSE)</f>
        <v>Cash</v>
      </c>
      <c r="J1171" s="5">
        <f>VLOOKUP(F1171,'Set up'!$A$2:$D$70,4,FALSE)</f>
        <v>0</v>
      </c>
      <c r="K1171" s="4">
        <f t="shared" si="248"/>
        <v>44880</v>
      </c>
      <c r="L1171" s="5">
        <f t="shared" si="249"/>
        <v>11</v>
      </c>
      <c r="M1171" s="5">
        <f t="shared" si="250"/>
        <v>2022</v>
      </c>
      <c r="N1171" s="6">
        <v>3872</v>
      </c>
      <c r="O1171" s="6">
        <f>-1500-1500-872</f>
        <v>-3872</v>
      </c>
      <c r="P1171" s="6">
        <f t="shared" si="243"/>
        <v>0</v>
      </c>
      <c r="Q1171" s="7">
        <f t="shared" si="244"/>
        <v>2122441.1500000008</v>
      </c>
      <c r="R1171" s="44" t="str">
        <f>VLOOKUP(F1171,'Set up'!$A$2:$E$70,5,FALSE)</f>
        <v>Trsf</v>
      </c>
      <c r="S1171" s="1" t="s">
        <v>1216</v>
      </c>
    </row>
    <row r="1172" spans="1:21" x14ac:dyDescent="0.35">
      <c r="A1172" s="4">
        <v>44880</v>
      </c>
      <c r="B1172" s="5">
        <f t="shared" si="246"/>
        <v>11</v>
      </c>
      <c r="C1172" s="5">
        <f t="shared" si="247"/>
        <v>2022</v>
      </c>
      <c r="D1172" s="5" t="s">
        <v>1066</v>
      </c>
      <c r="E1172" s="5" t="str">
        <f>VLOOKUP(F1172,'Set up'!$A$2:$C$70,2,FALSE)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up'!$A$2:$C$70,3,FALSE)</f>
        <v>Cash</v>
      </c>
      <c r="J1172" s="5">
        <f>VLOOKUP(F1172,'Set up'!$A$2:$D$70,4,FALSE)</f>
        <v>0</v>
      </c>
      <c r="K1172" s="4">
        <f t="shared" si="248"/>
        <v>44880</v>
      </c>
      <c r="L1172" s="5">
        <f t="shared" si="249"/>
        <v>11</v>
      </c>
      <c r="M1172" s="5">
        <f t="shared" si="250"/>
        <v>2022</v>
      </c>
      <c r="N1172" s="6">
        <v>961.2</v>
      </c>
      <c r="O1172" s="6">
        <f t="shared" ref="O1172" si="254">-N1172</f>
        <v>-961.2</v>
      </c>
      <c r="P1172" s="6">
        <f t="shared" si="243"/>
        <v>0</v>
      </c>
      <c r="Q1172" s="7">
        <f t="shared" si="244"/>
        <v>2123402.350000001</v>
      </c>
      <c r="R1172" s="44" t="str">
        <f>VLOOKUP(F1172,'Set up'!$A$2:$E$70,5,FALSE)</f>
        <v>Trsf</v>
      </c>
      <c r="S1172" s="1" t="s">
        <v>1215</v>
      </c>
    </row>
    <row r="1173" spans="1:21" x14ac:dyDescent="0.35">
      <c r="A1173" s="4">
        <v>44880</v>
      </c>
      <c r="B1173" s="5">
        <f t="shared" si="246"/>
        <v>11</v>
      </c>
      <c r="C1173" s="5">
        <f t="shared" si="247"/>
        <v>2022</v>
      </c>
      <c r="D1173" s="5" t="s">
        <v>1066</v>
      </c>
      <c r="E1173" s="5" t="str">
        <f>VLOOKUP(F1173,'Set up'!$A$2:$C$70,2,FALSE)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up'!$A$2:$C$70,3,FALSE)</f>
        <v>Cash</v>
      </c>
      <c r="J1173" s="5">
        <f>VLOOKUP(F1173,'Set up'!$A$2:$D$70,4,FALSE)</f>
        <v>0</v>
      </c>
      <c r="K1173" s="4">
        <f t="shared" si="248"/>
        <v>44880</v>
      </c>
      <c r="L1173" s="5">
        <f t="shared" si="249"/>
        <v>11</v>
      </c>
      <c r="M1173" s="5">
        <f t="shared" si="250"/>
        <v>2022</v>
      </c>
      <c r="N1173" s="6">
        <v>450</v>
      </c>
      <c r="O1173" s="6">
        <f>-166.8-283.2</f>
        <v>-450</v>
      </c>
      <c r="P1173" s="6">
        <f t="shared" si="243"/>
        <v>0</v>
      </c>
      <c r="Q1173" s="7">
        <f t="shared" si="244"/>
        <v>2123852.350000001</v>
      </c>
      <c r="R1173" s="44" t="str">
        <f>VLOOKUP(F1173,'Set up'!$A$2:$E$70,5,FALSE)</f>
        <v>Trsf</v>
      </c>
      <c r="S1173" s="1" t="s">
        <v>1217</v>
      </c>
    </row>
    <row r="1174" spans="1:21" x14ac:dyDescent="0.35">
      <c r="A1174" s="97" t="s">
        <v>1069</v>
      </c>
      <c r="B1174" s="5">
        <f t="shared" si="246"/>
        <v>11</v>
      </c>
      <c r="C1174" s="5">
        <f t="shared" si="247"/>
        <v>2022</v>
      </c>
      <c r="D1174" s="5" t="s">
        <v>1067</v>
      </c>
      <c r="E1174" s="5" t="str">
        <f>VLOOKUP(F1174,'Set up'!$A$2:$C$70,2,FALSE)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up'!$A$2:$C$70,3,FALSE)</f>
        <v>Cash</v>
      </c>
      <c r="J1174" s="5">
        <f>VLOOKUP(F1174,'Set up'!$A$2:$D$70,4,FALSE)</f>
        <v>0</v>
      </c>
      <c r="K1174" s="4">
        <f t="shared" si="248"/>
        <v>44882</v>
      </c>
      <c r="L1174" s="5">
        <f t="shared" si="249"/>
        <v>11</v>
      </c>
      <c r="M1174" s="5">
        <f t="shared" si="250"/>
        <v>2022</v>
      </c>
      <c r="N1174" s="6">
        <v>105</v>
      </c>
      <c r="O1174" s="6">
        <f t="shared" ref="O1174" si="25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up'!$A$2:$E$70,5,FALSE)</f>
        <v>Trsf</v>
      </c>
      <c r="S1174" s="1" t="s">
        <v>1218</v>
      </c>
    </row>
    <row r="1175" spans="1:21" x14ac:dyDescent="0.35">
      <c r="A1175" s="97" t="s">
        <v>1070</v>
      </c>
      <c r="B1175" s="5">
        <f t="shared" si="246"/>
        <v>11</v>
      </c>
      <c r="C1175" s="5">
        <f t="shared" si="247"/>
        <v>2022</v>
      </c>
      <c r="D1175" s="5" t="s">
        <v>1068</v>
      </c>
      <c r="E1175" s="5" t="str">
        <f>VLOOKUP(F1175,'Set up'!$A$2:$C$70,2,FALSE)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up'!$A$2:$C$70,3,FALSE)</f>
        <v>Cash</v>
      </c>
      <c r="J1175" s="5">
        <f>VLOOKUP(F1175,'Set up'!$A$2:$D$70,4,FALSE)</f>
        <v>0</v>
      </c>
      <c r="K1175" s="4">
        <f t="shared" si="248"/>
        <v>44887</v>
      </c>
      <c r="L1175" s="5">
        <f t="shared" si="249"/>
        <v>11</v>
      </c>
      <c r="M1175" s="5">
        <f t="shared" si="250"/>
        <v>2022</v>
      </c>
      <c r="N1175" s="6">
        <v>1936</v>
      </c>
      <c r="O1175" s="6">
        <f>-N1175</f>
        <v>-1936</v>
      </c>
      <c r="P1175" s="6">
        <f t="shared" si="243"/>
        <v>0</v>
      </c>
      <c r="Q1175" s="7">
        <f t="shared" si="244"/>
        <v>2125893.350000001</v>
      </c>
      <c r="R1175" s="44" t="str">
        <f>VLOOKUP(F1175,'Set up'!$A$2:$E$70,5,FALSE)</f>
        <v>Trsf</v>
      </c>
      <c r="S1175" s="1" t="s">
        <v>1141</v>
      </c>
    </row>
    <row r="1176" spans="1:21" x14ac:dyDescent="0.35">
      <c r="A1176" s="97" t="s">
        <v>1070</v>
      </c>
      <c r="B1176" s="5">
        <f t="shared" si="246"/>
        <v>11</v>
      </c>
      <c r="C1176" s="5">
        <f t="shared" si="247"/>
        <v>2022</v>
      </c>
      <c r="D1176" s="5" t="s">
        <v>1071</v>
      </c>
      <c r="E1176" s="5" t="str">
        <f>VLOOKUP(F1176,'Set up'!$A$2:$C$70,2,FALSE)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up'!$A$2:$C$70,3,FALSE)</f>
        <v>Cash</v>
      </c>
      <c r="J1176" s="5">
        <f>VLOOKUP(F1176,'Set up'!$A$2:$D$70,4,FALSE)</f>
        <v>0</v>
      </c>
      <c r="K1176" s="4">
        <f t="shared" si="248"/>
        <v>44887</v>
      </c>
      <c r="L1176" s="5">
        <f t="shared" si="249"/>
        <v>11</v>
      </c>
      <c r="M1176" s="5">
        <f t="shared" si="250"/>
        <v>2022</v>
      </c>
      <c r="N1176" s="6">
        <v>780</v>
      </c>
      <c r="O1176" s="6">
        <f>-N1176</f>
        <v>-780</v>
      </c>
      <c r="P1176" s="6">
        <f t="shared" si="243"/>
        <v>0</v>
      </c>
      <c r="Q1176" s="7">
        <f t="shared" si="244"/>
        <v>2126673.350000001</v>
      </c>
      <c r="R1176" s="44" t="str">
        <f>VLOOKUP(F1176,'Set up'!$A$2:$E$70,5,FALSE)</f>
        <v>Trsf</v>
      </c>
      <c r="S1176" s="1" t="s">
        <v>1090</v>
      </c>
    </row>
    <row r="1177" spans="1:21" x14ac:dyDescent="0.35">
      <c r="A1177" s="97" t="s">
        <v>1070</v>
      </c>
      <c r="B1177" s="5">
        <f t="shared" si="246"/>
        <v>11</v>
      </c>
      <c r="C1177" s="5">
        <f t="shared" si="247"/>
        <v>2022</v>
      </c>
      <c r="D1177" s="5" t="s">
        <v>1075</v>
      </c>
      <c r="E1177" s="5" t="str">
        <f>VLOOKUP(F1177,'Set up'!$A$2:$C$70,2,FALSE)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up'!$A$2:$C$70,3,FALSE)</f>
        <v>Cash</v>
      </c>
      <c r="J1177" s="5">
        <f>VLOOKUP(F1177,'Set up'!$A$2:$D$70,4,FALSE)</f>
        <v>0</v>
      </c>
      <c r="K1177" s="4">
        <f t="shared" si="248"/>
        <v>44887</v>
      </c>
      <c r="L1177" s="5">
        <f t="shared" si="249"/>
        <v>11</v>
      </c>
      <c r="M1177" s="5">
        <f t="shared" si="250"/>
        <v>2022</v>
      </c>
      <c r="N1177" s="6">
        <v>10824</v>
      </c>
      <c r="O1177" s="6">
        <f t="shared" ref="O1177" si="256">-N1177</f>
        <v>-10824</v>
      </c>
      <c r="P1177" s="6">
        <f t="shared" si="243"/>
        <v>0</v>
      </c>
      <c r="Q1177" s="7">
        <f t="shared" si="244"/>
        <v>2137497.350000001</v>
      </c>
      <c r="R1177" s="44" t="str">
        <f>VLOOKUP(F1177,'Set up'!$A$2:$E$70,5,FALSE)</f>
        <v>Trsf</v>
      </c>
      <c r="S1177" s="1" t="s">
        <v>1506</v>
      </c>
    </row>
    <row r="1178" spans="1:21" x14ac:dyDescent="0.35">
      <c r="A1178" s="97" t="s">
        <v>1070</v>
      </c>
      <c r="B1178" s="5">
        <f t="shared" si="246"/>
        <v>11</v>
      </c>
      <c r="C1178" s="5">
        <f t="shared" si="247"/>
        <v>2022</v>
      </c>
      <c r="D1178" s="5" t="s">
        <v>1075</v>
      </c>
      <c r="E1178" s="5" t="str">
        <f>VLOOKUP(F1178,'Set up'!$A$2:$C$70,2,FALSE)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up'!$A$2:$C$70,3,FALSE)</f>
        <v>Cash</v>
      </c>
      <c r="J1178" s="5">
        <f>VLOOKUP(F1178,'Set up'!$A$2:$D$70,4,FALSE)</f>
        <v>0</v>
      </c>
      <c r="K1178" s="4">
        <f t="shared" si="248"/>
        <v>44887</v>
      </c>
      <c r="L1178" s="5">
        <f t="shared" si="249"/>
        <v>11</v>
      </c>
      <c r="M1178" s="5">
        <f t="shared" si="250"/>
        <v>2022</v>
      </c>
      <c r="N1178" s="6">
        <v>3024</v>
      </c>
      <c r="O1178" s="6">
        <f>-2393.9-630.1</f>
        <v>-3024</v>
      </c>
      <c r="P1178" s="6">
        <f t="shared" si="243"/>
        <v>0</v>
      </c>
      <c r="Q1178" s="7">
        <f t="shared" si="244"/>
        <v>2140521.350000001</v>
      </c>
      <c r="R1178" s="44" t="str">
        <f>VLOOKUP(F1178,'Set up'!$A$2:$E$70,5,FALSE)</f>
        <v>Trsf</v>
      </c>
      <c r="S1178" s="1" t="s">
        <v>1507</v>
      </c>
    </row>
    <row r="1179" spans="1:21" x14ac:dyDescent="0.35">
      <c r="A1179" s="97" t="s">
        <v>1070</v>
      </c>
      <c r="B1179" s="5">
        <f t="shared" si="246"/>
        <v>11</v>
      </c>
      <c r="C1179" s="5">
        <f t="shared" si="247"/>
        <v>2022</v>
      </c>
      <c r="D1179" s="5" t="s">
        <v>1075</v>
      </c>
      <c r="E1179" s="5" t="str">
        <f>VLOOKUP(F1179,'Set up'!$A$2:$C$70,2,FALSE)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up'!$A$2:$C$70,3,FALSE)</f>
        <v>Cash</v>
      </c>
      <c r="J1179" s="5">
        <f>VLOOKUP(F1179,'Set up'!$A$2:$D$70,4,FALSE)</f>
        <v>0</v>
      </c>
      <c r="K1179" s="4">
        <f t="shared" si="248"/>
        <v>44887</v>
      </c>
      <c r="L1179" s="5">
        <f t="shared" si="249"/>
        <v>11</v>
      </c>
      <c r="M1179" s="5">
        <f t="shared" si="250"/>
        <v>2022</v>
      </c>
      <c r="N1179" s="6">
        <v>1560</v>
      </c>
      <c r="O1179" s="6">
        <f t="shared" ref="O1179:O1182" si="257">-N1179</f>
        <v>-1560</v>
      </c>
      <c r="P1179" s="6">
        <f t="shared" si="243"/>
        <v>0</v>
      </c>
      <c r="Q1179" s="7">
        <f t="shared" si="244"/>
        <v>2142081.350000001</v>
      </c>
      <c r="R1179" s="44" t="str">
        <f>VLOOKUP(F1179,'Set up'!$A$2:$E$70,5,FALSE)</f>
        <v>Trsf</v>
      </c>
      <c r="S1179" s="1" t="s">
        <v>1508</v>
      </c>
    </row>
    <row r="1180" spans="1:21" x14ac:dyDescent="0.35">
      <c r="A1180" s="97" t="s">
        <v>1070</v>
      </c>
      <c r="B1180" s="5">
        <f t="shared" si="246"/>
        <v>11</v>
      </c>
      <c r="C1180" s="5">
        <f t="shared" si="247"/>
        <v>2022</v>
      </c>
      <c r="D1180" s="5" t="s">
        <v>1075</v>
      </c>
      <c r="E1180" s="5" t="str">
        <f>VLOOKUP(F1180,'Set up'!$A$2:$C$70,2,FALSE)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up'!$A$2:$C$70,3,FALSE)</f>
        <v>Cash</v>
      </c>
      <c r="J1180" s="5">
        <f>VLOOKUP(F1180,'Set up'!$A$2:$D$70,4,FALSE)</f>
        <v>0</v>
      </c>
      <c r="K1180" s="4">
        <f t="shared" si="248"/>
        <v>44887</v>
      </c>
      <c r="L1180" s="5">
        <f t="shared" si="249"/>
        <v>11</v>
      </c>
      <c r="M1180" s="5">
        <f t="shared" si="250"/>
        <v>2022</v>
      </c>
      <c r="N1180" s="6">
        <v>375</v>
      </c>
      <c r="O1180" s="6">
        <f t="shared" si="257"/>
        <v>-375</v>
      </c>
      <c r="P1180" s="6">
        <f t="shared" si="243"/>
        <v>0</v>
      </c>
      <c r="Q1180" s="7">
        <f t="shared" si="244"/>
        <v>2142456.350000001</v>
      </c>
      <c r="R1180" s="44" t="str">
        <f>VLOOKUP(F1180,'Set up'!$A$2:$E$70,5,FALSE)</f>
        <v>Trsf</v>
      </c>
      <c r="S1180" s="1" t="s">
        <v>1509</v>
      </c>
    </row>
    <row r="1181" spans="1:21" x14ac:dyDescent="0.35">
      <c r="A1181" s="97" t="s">
        <v>1070</v>
      </c>
      <c r="B1181" s="5">
        <f t="shared" si="246"/>
        <v>11</v>
      </c>
      <c r="C1181" s="5">
        <f t="shared" si="247"/>
        <v>2022</v>
      </c>
      <c r="D1181" s="5" t="s">
        <v>1075</v>
      </c>
      <c r="E1181" s="5" t="str">
        <f>VLOOKUP(F1181,'Set up'!$A$2:$C$70,2,FALSE)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up'!$A$2:$C$70,3,FALSE)</f>
        <v>Cash</v>
      </c>
      <c r="J1181" s="5">
        <f>VLOOKUP(F1181,'Set up'!$A$2:$D$70,4,FALSE)</f>
        <v>0</v>
      </c>
      <c r="K1181" s="4">
        <f t="shared" si="248"/>
        <v>44887</v>
      </c>
      <c r="L1181" s="5">
        <f t="shared" si="249"/>
        <v>11</v>
      </c>
      <c r="M1181" s="5">
        <f t="shared" si="250"/>
        <v>2022</v>
      </c>
      <c r="N1181" s="6">
        <v>1000</v>
      </c>
      <c r="O1181" s="6">
        <f t="shared" si="257"/>
        <v>-1000</v>
      </c>
      <c r="P1181" s="6">
        <f t="shared" si="243"/>
        <v>0</v>
      </c>
      <c r="Q1181" s="7">
        <f t="shared" si="244"/>
        <v>2143456.350000001</v>
      </c>
      <c r="R1181" s="44" t="str">
        <f>VLOOKUP(F1181,'Set up'!$A$2:$E$70,5,FALSE)</f>
        <v>Trsf</v>
      </c>
      <c r="S1181" s="1" t="s">
        <v>1511</v>
      </c>
    </row>
    <row r="1182" spans="1:21" x14ac:dyDescent="0.35">
      <c r="A1182" s="97" t="s">
        <v>1070</v>
      </c>
      <c r="B1182" s="5">
        <f t="shared" si="246"/>
        <v>11</v>
      </c>
      <c r="C1182" s="5">
        <f t="shared" si="247"/>
        <v>2022</v>
      </c>
      <c r="D1182" s="5" t="s">
        <v>1075</v>
      </c>
      <c r="E1182" s="5" t="str">
        <f>VLOOKUP(F1182,'Set up'!$A$2:$C$70,2,FALSE)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up'!$A$2:$C$70,3,FALSE)</f>
        <v>Cash</v>
      </c>
      <c r="J1182" s="5">
        <f>VLOOKUP(F1182,'Set up'!$A$2:$D$70,4,FALSE)</f>
        <v>0</v>
      </c>
      <c r="K1182" s="4">
        <f t="shared" si="248"/>
        <v>44887</v>
      </c>
      <c r="L1182" s="5">
        <f t="shared" si="249"/>
        <v>11</v>
      </c>
      <c r="M1182" s="5">
        <f t="shared" si="250"/>
        <v>2022</v>
      </c>
      <c r="N1182" s="6">
        <v>453.59999999999997</v>
      </c>
      <c r="O1182" s="6">
        <f t="shared" si="257"/>
        <v>-453.59999999999997</v>
      </c>
      <c r="P1182" s="6">
        <f t="shared" si="243"/>
        <v>0</v>
      </c>
      <c r="Q1182" s="7">
        <f t="shared" si="244"/>
        <v>2143909.9500000011</v>
      </c>
      <c r="R1182" s="44" t="str">
        <f>VLOOKUP(F1182,'Set up'!$A$2:$E$70,5,FALSE)</f>
        <v>Trsf</v>
      </c>
      <c r="S1182" s="1" t="s">
        <v>1512</v>
      </c>
    </row>
    <row r="1183" spans="1:21" x14ac:dyDescent="0.35">
      <c r="A1183" s="4">
        <v>44894</v>
      </c>
      <c r="B1183" s="5">
        <f t="shared" si="246"/>
        <v>11</v>
      </c>
      <c r="C1183" s="5">
        <f t="shared" si="247"/>
        <v>2022</v>
      </c>
      <c r="D1183" s="5" t="s">
        <v>1091</v>
      </c>
      <c r="E1183" s="5" t="str">
        <f>VLOOKUP(F1183,'Set up'!$A$2:$C$70,2,FALSE)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up'!$A$2:$C$70,3,FALSE)</f>
        <v>45</v>
      </c>
      <c r="J1183" s="5">
        <f>VLOOKUP(F1183,'Set up'!$A$2:$D$70,4,FALSE)</f>
        <v>45</v>
      </c>
      <c r="K1183" s="4">
        <f t="shared" si="248"/>
        <v>44939</v>
      </c>
      <c r="L1183" s="5">
        <f t="shared" si="249"/>
        <v>1</v>
      </c>
      <c r="M1183" s="5">
        <f t="shared" si="250"/>
        <v>2023</v>
      </c>
      <c r="N1183" s="6">
        <v>5808</v>
      </c>
      <c r="O1183" s="6">
        <f>-N1183</f>
        <v>-5808</v>
      </c>
      <c r="P1183" s="6">
        <f t="shared" si="243"/>
        <v>0</v>
      </c>
      <c r="Q1183" s="7">
        <f t="shared" si="244"/>
        <v>2149717.9500000011</v>
      </c>
      <c r="R1183" s="44" t="str">
        <f>VLOOKUP(F1183,'Set up'!$A$2:$E$70,5,FALSE)</f>
        <v>PD Chq</v>
      </c>
      <c r="S1183" s="1" t="s">
        <v>1223</v>
      </c>
      <c r="U1183" s="1" t="s">
        <v>3603</v>
      </c>
    </row>
    <row r="1184" spans="1:21" x14ac:dyDescent="0.35">
      <c r="A1184" s="4">
        <v>44894</v>
      </c>
      <c r="B1184" s="5">
        <f t="shared" si="246"/>
        <v>11</v>
      </c>
      <c r="C1184" s="5">
        <f t="shared" si="247"/>
        <v>2022</v>
      </c>
      <c r="D1184" s="5" t="s">
        <v>1091</v>
      </c>
      <c r="E1184" s="5" t="str">
        <f>VLOOKUP(F1184,'Set up'!$A$2:$C$70,2,FALSE)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up'!$A$2:$C$70,3,FALSE)</f>
        <v>45</v>
      </c>
      <c r="J1184" s="5">
        <f>VLOOKUP(F1184,'Set up'!$A$2:$D$70,4,FALSE)</f>
        <v>45</v>
      </c>
      <c r="K1184" s="4">
        <f t="shared" si="248"/>
        <v>44939</v>
      </c>
      <c r="L1184" s="5">
        <f t="shared" si="249"/>
        <v>1</v>
      </c>
      <c r="M1184" s="5">
        <f t="shared" si="250"/>
        <v>2023</v>
      </c>
      <c r="N1184" s="6">
        <v>306</v>
      </c>
      <c r="O1184" s="6">
        <f>-192-114</f>
        <v>-306</v>
      </c>
      <c r="P1184" s="6">
        <f t="shared" si="243"/>
        <v>0</v>
      </c>
      <c r="Q1184" s="7">
        <f t="shared" si="244"/>
        <v>2150023.9500000011</v>
      </c>
      <c r="R1184" s="44" t="str">
        <f>VLOOKUP(F1184,'Set up'!$A$2:$E$70,5,FALSE)</f>
        <v>PD Chq</v>
      </c>
      <c r="S1184" s="1" t="s">
        <v>1290</v>
      </c>
      <c r="U1184" s="1" t="s">
        <v>3603</v>
      </c>
    </row>
    <row r="1185" spans="1:21" x14ac:dyDescent="0.35">
      <c r="A1185" s="4">
        <v>44894</v>
      </c>
      <c r="B1185" s="5">
        <f t="shared" si="246"/>
        <v>11</v>
      </c>
      <c r="C1185" s="5">
        <f t="shared" si="247"/>
        <v>2022</v>
      </c>
      <c r="D1185" s="5" t="s">
        <v>1091</v>
      </c>
      <c r="E1185" s="5" t="str">
        <f>VLOOKUP(F1185,'Set up'!$A$2:$C$70,2,FALSE)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up'!$A$2:$C$70,3,FALSE)</f>
        <v>45</v>
      </c>
      <c r="J1185" s="5">
        <f>VLOOKUP(F1185,'Set up'!$A$2:$D$70,4,FALSE)</f>
        <v>45</v>
      </c>
      <c r="K1185" s="4">
        <f t="shared" si="248"/>
        <v>44939</v>
      </c>
      <c r="L1185" s="5">
        <f t="shared" si="249"/>
        <v>1</v>
      </c>
      <c r="M1185" s="5">
        <f t="shared" si="250"/>
        <v>2023</v>
      </c>
      <c r="N1185" s="6">
        <v>325</v>
      </c>
      <c r="O1185" s="6">
        <f>-N1185</f>
        <v>-325</v>
      </c>
      <c r="P1185" s="6">
        <f t="shared" si="243"/>
        <v>0</v>
      </c>
      <c r="Q1185" s="7">
        <f t="shared" si="244"/>
        <v>2150348.9500000011</v>
      </c>
      <c r="R1185" s="44" t="str">
        <f>VLOOKUP(F1185,'Set up'!$A$2:$E$70,5,FALSE)</f>
        <v>PD Chq</v>
      </c>
      <c r="S1185" s="1" t="s">
        <v>1291</v>
      </c>
      <c r="U1185" s="1" t="s">
        <v>3603</v>
      </c>
    </row>
    <row r="1186" spans="1:21" x14ac:dyDescent="0.35">
      <c r="A1186" s="4">
        <v>44894</v>
      </c>
      <c r="B1186" s="5">
        <f t="shared" si="246"/>
        <v>11</v>
      </c>
      <c r="C1186" s="5">
        <f t="shared" si="247"/>
        <v>2022</v>
      </c>
      <c r="D1186" s="5" t="s">
        <v>1091</v>
      </c>
      <c r="E1186" s="5" t="str">
        <f>VLOOKUP(F1186,'Set up'!$A$2:$C$70,2,FALSE)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up'!$A$2:$C$70,3,FALSE)</f>
        <v>45</v>
      </c>
      <c r="J1186" s="5">
        <f>VLOOKUP(F1186,'Set up'!$A$2:$D$70,4,FALSE)</f>
        <v>45</v>
      </c>
      <c r="K1186" s="4">
        <f t="shared" si="248"/>
        <v>44939</v>
      </c>
      <c r="L1186" s="5">
        <f t="shared" si="249"/>
        <v>1</v>
      </c>
      <c r="M1186" s="5">
        <f t="shared" si="250"/>
        <v>2023</v>
      </c>
      <c r="N1186" s="6">
        <v>630</v>
      </c>
      <c r="O1186" s="6">
        <f>-N1186</f>
        <v>-630</v>
      </c>
      <c r="P1186" s="6">
        <f t="shared" si="243"/>
        <v>0</v>
      </c>
      <c r="Q1186" s="7">
        <f t="shared" si="244"/>
        <v>2150978.9500000011</v>
      </c>
      <c r="R1186" s="44" t="str">
        <f>VLOOKUP(F1186,'Set up'!$A$2:$E$70,5,FALSE)</f>
        <v>PD Chq</v>
      </c>
      <c r="S1186" s="1" t="s">
        <v>1292</v>
      </c>
      <c r="U1186" s="1" t="s">
        <v>3603</v>
      </c>
    </row>
    <row r="1187" spans="1:21" x14ac:dyDescent="0.35">
      <c r="A1187" s="4">
        <v>44894</v>
      </c>
      <c r="B1187" s="5">
        <f t="shared" si="246"/>
        <v>11</v>
      </c>
      <c r="C1187" s="5">
        <f t="shared" si="247"/>
        <v>2022</v>
      </c>
      <c r="D1187" s="5" t="s">
        <v>1091</v>
      </c>
      <c r="E1187" s="5" t="str">
        <f>VLOOKUP(F1187,'Set up'!$A$2:$C$70,2,FALSE)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up'!$A$2:$C$70,3,FALSE)</f>
        <v>45</v>
      </c>
      <c r="J1187" s="5">
        <f>VLOOKUP(F1187,'Set up'!$A$2:$D$70,4,FALSE)</f>
        <v>45</v>
      </c>
      <c r="K1187" s="4">
        <f t="shared" si="248"/>
        <v>44939</v>
      </c>
      <c r="L1187" s="5">
        <f t="shared" si="249"/>
        <v>1</v>
      </c>
      <c r="M1187" s="5">
        <f t="shared" si="250"/>
        <v>2023</v>
      </c>
      <c r="N1187" s="6">
        <v>150</v>
      </c>
      <c r="O1187" s="6">
        <f>-N1187</f>
        <v>-150</v>
      </c>
      <c r="P1187" s="6">
        <f t="shared" si="243"/>
        <v>0</v>
      </c>
      <c r="Q1187" s="7">
        <f t="shared" si="244"/>
        <v>2151128.9500000011</v>
      </c>
      <c r="R1187" s="44" t="str">
        <f>VLOOKUP(F1187,'Set up'!$A$2:$E$70,5,FALSE)</f>
        <v>PD Chq</v>
      </c>
      <c r="S1187" s="1" t="s">
        <v>1293</v>
      </c>
      <c r="U1187" s="1" t="s">
        <v>3603</v>
      </c>
    </row>
    <row r="1188" spans="1:21" x14ac:dyDescent="0.35">
      <c r="A1188" s="4">
        <v>44894</v>
      </c>
      <c r="B1188" s="5">
        <f t="shared" si="246"/>
        <v>11</v>
      </c>
      <c r="C1188" s="5">
        <f t="shared" si="247"/>
        <v>2022</v>
      </c>
      <c r="D1188" s="5" t="s">
        <v>1092</v>
      </c>
      <c r="E1188" s="5" t="str">
        <f>VLOOKUP(F1188,'Set up'!$A$2:$C$70,2,FALSE)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up'!$A$2:$C$70,3,FALSE)</f>
        <v>120</v>
      </c>
      <c r="J1188" s="5">
        <f>VLOOKUP(F1188,'Set up'!$A$2:$D$70,4,FALSE)</f>
        <v>120</v>
      </c>
      <c r="K1188" s="4">
        <f t="shared" si="248"/>
        <v>45014</v>
      </c>
      <c r="L1188" s="5">
        <f t="shared" si="249"/>
        <v>3</v>
      </c>
      <c r="M1188" s="5">
        <f t="shared" si="250"/>
        <v>2023</v>
      </c>
      <c r="N1188" s="6">
        <v>9020</v>
      </c>
      <c r="O1188" s="6">
        <f t="shared" ref="O1188:O1193" si="258">-N1188</f>
        <v>-9020</v>
      </c>
      <c r="P1188" s="6">
        <f t="shared" si="243"/>
        <v>0</v>
      </c>
      <c r="Q1188" s="7">
        <f t="shared" si="244"/>
        <v>2160148.9500000011</v>
      </c>
      <c r="R1188" s="44" t="str">
        <f>VLOOKUP(F1188,'Set up'!$A$2:$E$70,5,FALSE)</f>
        <v>Trsf</v>
      </c>
      <c r="S1188" s="1" t="s">
        <v>1298</v>
      </c>
    </row>
    <row r="1189" spans="1:21" x14ac:dyDescent="0.35">
      <c r="A1189" s="4">
        <v>44894</v>
      </c>
      <c r="B1189" s="5">
        <f t="shared" si="246"/>
        <v>11</v>
      </c>
      <c r="C1189" s="5">
        <f t="shared" si="247"/>
        <v>2022</v>
      </c>
      <c r="D1189" s="5" t="s">
        <v>1092</v>
      </c>
      <c r="E1189" s="5" t="str">
        <f>VLOOKUP(F1189,'Set up'!$A$2:$C$70,2,FALSE)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up'!$A$2:$C$70,3,FALSE)</f>
        <v>120</v>
      </c>
      <c r="J1189" s="5">
        <f>VLOOKUP(F1189,'Set up'!$A$2:$D$70,4,FALSE)</f>
        <v>120</v>
      </c>
      <c r="K1189" s="4">
        <f t="shared" si="248"/>
        <v>45014</v>
      </c>
      <c r="L1189" s="5">
        <f t="shared" si="249"/>
        <v>3</v>
      </c>
      <c r="M1189" s="5">
        <f t="shared" si="250"/>
        <v>2023</v>
      </c>
      <c r="N1189" s="6">
        <v>1245</v>
      </c>
      <c r="O1189" s="6">
        <f t="shared" si="258"/>
        <v>-1245</v>
      </c>
      <c r="P1189" s="6">
        <f t="shared" si="243"/>
        <v>0</v>
      </c>
      <c r="Q1189" s="7">
        <f t="shared" si="244"/>
        <v>2161393.9500000011</v>
      </c>
      <c r="R1189" s="44" t="str">
        <f>VLOOKUP(F1189,'Set up'!$A$2:$E$70,5,FALSE)</f>
        <v>Trsf</v>
      </c>
      <c r="S1189" s="1" t="s">
        <v>1298</v>
      </c>
    </row>
    <row r="1190" spans="1:21" x14ac:dyDescent="0.35">
      <c r="A1190" s="4">
        <v>44894</v>
      </c>
      <c r="B1190" s="5">
        <f t="shared" si="246"/>
        <v>11</v>
      </c>
      <c r="C1190" s="5">
        <f t="shared" si="247"/>
        <v>2022</v>
      </c>
      <c r="D1190" s="5" t="s">
        <v>1092</v>
      </c>
      <c r="E1190" s="5" t="str">
        <f>VLOOKUP(F1190,'Set up'!$A$2:$C$70,2,FALSE)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up'!$A$2:$C$70,3,FALSE)</f>
        <v>120</v>
      </c>
      <c r="J1190" s="5">
        <f>VLOOKUP(F1190,'Set up'!$A$2:$D$70,4,FALSE)</f>
        <v>120</v>
      </c>
      <c r="K1190" s="4">
        <f t="shared" si="248"/>
        <v>45014</v>
      </c>
      <c r="L1190" s="5">
        <f t="shared" si="249"/>
        <v>3</v>
      </c>
      <c r="M1190" s="5">
        <f t="shared" si="250"/>
        <v>2023</v>
      </c>
      <c r="N1190" s="6">
        <v>287.5</v>
      </c>
      <c r="O1190" s="6">
        <f t="shared" si="258"/>
        <v>-287.5</v>
      </c>
      <c r="P1190" s="6">
        <f t="shared" si="243"/>
        <v>0</v>
      </c>
      <c r="Q1190" s="7">
        <f t="shared" si="244"/>
        <v>2161681.4500000011</v>
      </c>
      <c r="R1190" s="44" t="str">
        <f>VLOOKUP(F1190,'Set up'!$A$2:$E$70,5,FALSE)</f>
        <v>Trsf</v>
      </c>
      <c r="S1190" s="1" t="s">
        <v>1298</v>
      </c>
    </row>
    <row r="1191" spans="1:21" x14ac:dyDescent="0.35">
      <c r="A1191" s="4">
        <v>44894</v>
      </c>
      <c r="B1191" s="5">
        <f t="shared" si="246"/>
        <v>11</v>
      </c>
      <c r="C1191" s="5">
        <f t="shared" si="247"/>
        <v>2022</v>
      </c>
      <c r="D1191" s="5" t="s">
        <v>1092</v>
      </c>
      <c r="E1191" s="5" t="str">
        <f>VLOOKUP(F1191,'Set up'!$A$2:$C$70,2,FALSE)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up'!$A$2:$C$70,3,FALSE)</f>
        <v>120</v>
      </c>
      <c r="J1191" s="5">
        <f>VLOOKUP(F1191,'Set up'!$A$2:$D$70,4,FALSE)</f>
        <v>120</v>
      </c>
      <c r="K1191" s="4">
        <f t="shared" si="248"/>
        <v>45014</v>
      </c>
      <c r="L1191" s="5">
        <f t="shared" si="249"/>
        <v>3</v>
      </c>
      <c r="M1191" s="5">
        <f t="shared" si="250"/>
        <v>2023</v>
      </c>
      <c r="N1191" s="6">
        <v>420</v>
      </c>
      <c r="O1191" s="6">
        <f t="shared" si="258"/>
        <v>-420</v>
      </c>
      <c r="P1191" s="6">
        <f t="shared" si="243"/>
        <v>0</v>
      </c>
      <c r="Q1191" s="7">
        <f t="shared" si="244"/>
        <v>2162101.4500000011</v>
      </c>
      <c r="R1191" s="44" t="str">
        <f>VLOOKUP(F1191,'Set up'!$A$2:$E$70,5,FALSE)</f>
        <v>Trsf</v>
      </c>
      <c r="S1191" s="1" t="s">
        <v>1298</v>
      </c>
    </row>
    <row r="1192" spans="1:21" x14ac:dyDescent="0.35">
      <c r="A1192" s="4">
        <v>44894</v>
      </c>
      <c r="B1192" s="5">
        <f t="shared" si="246"/>
        <v>11</v>
      </c>
      <c r="C1192" s="5">
        <f t="shared" si="247"/>
        <v>2022</v>
      </c>
      <c r="D1192" s="5" t="s">
        <v>1092</v>
      </c>
      <c r="E1192" s="5" t="str">
        <f>VLOOKUP(F1192,'Set up'!$A$2:$C$70,2,FALSE)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up'!$A$2:$C$70,3,FALSE)</f>
        <v>120</v>
      </c>
      <c r="J1192" s="5">
        <f>VLOOKUP(F1192,'Set up'!$A$2:$D$70,4,FALSE)</f>
        <v>120</v>
      </c>
      <c r="K1192" s="4">
        <f t="shared" si="248"/>
        <v>45014</v>
      </c>
      <c r="L1192" s="5">
        <f t="shared" si="249"/>
        <v>3</v>
      </c>
      <c r="M1192" s="5">
        <f t="shared" si="250"/>
        <v>2023</v>
      </c>
      <c r="N1192" s="6">
        <v>200</v>
      </c>
      <c r="O1192" s="6">
        <f t="shared" si="258"/>
        <v>-200</v>
      </c>
      <c r="P1192" s="6">
        <f t="shared" si="243"/>
        <v>0</v>
      </c>
      <c r="Q1192" s="7">
        <f t="shared" si="244"/>
        <v>2162301.4500000011</v>
      </c>
      <c r="R1192" s="44" t="str">
        <f>VLOOKUP(F1192,'Set up'!$A$2:$E$70,5,FALSE)</f>
        <v>Trsf</v>
      </c>
      <c r="S1192" s="1" t="s">
        <v>1298</v>
      </c>
    </row>
    <row r="1193" spans="1:21" x14ac:dyDescent="0.35">
      <c r="A1193" s="4">
        <v>44894</v>
      </c>
      <c r="B1193" s="5">
        <f t="shared" si="246"/>
        <v>11</v>
      </c>
      <c r="C1193" s="5">
        <f t="shared" si="247"/>
        <v>2022</v>
      </c>
      <c r="D1193" s="5" t="s">
        <v>1092</v>
      </c>
      <c r="E1193" s="5" t="str">
        <f>VLOOKUP(F1193,'Set up'!$A$2:$C$70,2,FALSE)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up'!$A$2:$C$70,3,FALSE)</f>
        <v>120</v>
      </c>
      <c r="J1193" s="5">
        <f>VLOOKUP(F1193,'Set up'!$A$2:$D$70,4,FALSE)</f>
        <v>120</v>
      </c>
      <c r="K1193" s="4">
        <f t="shared" si="248"/>
        <v>45014</v>
      </c>
      <c r="L1193" s="5">
        <f t="shared" si="249"/>
        <v>3</v>
      </c>
      <c r="M1193" s="5">
        <f t="shared" si="250"/>
        <v>2023</v>
      </c>
      <c r="N1193" s="6">
        <v>238</v>
      </c>
      <c r="O1193" s="6">
        <f t="shared" si="258"/>
        <v>-238</v>
      </c>
      <c r="P1193" s="6">
        <f t="shared" si="243"/>
        <v>0</v>
      </c>
      <c r="Q1193" s="7">
        <f t="shared" si="244"/>
        <v>2162539.4500000011</v>
      </c>
      <c r="R1193" s="44" t="str">
        <f>VLOOKUP(F1193,'Set up'!$A$2:$E$70,5,FALSE)</f>
        <v>Trsf</v>
      </c>
      <c r="S1193" s="1" t="s">
        <v>1298</v>
      </c>
    </row>
    <row r="1194" spans="1:21" x14ac:dyDescent="0.35">
      <c r="A1194" s="4">
        <v>44895</v>
      </c>
      <c r="B1194" s="5">
        <f t="shared" si="246"/>
        <v>11</v>
      </c>
      <c r="C1194" s="5">
        <f t="shared" si="247"/>
        <v>2022</v>
      </c>
      <c r="D1194" s="5" t="s">
        <v>1096</v>
      </c>
      <c r="E1194" s="5" t="str">
        <f>VLOOKUP(F1194,'Set up'!$A$2:$C$70,2,FALSE)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up'!$A$2:$C$70,3,FALSE)</f>
        <v>Cash</v>
      </c>
      <c r="J1194" s="5">
        <f>VLOOKUP(F1194,'Set up'!$A$2:$D$70,4,FALSE)</f>
        <v>0</v>
      </c>
      <c r="K1194" s="4">
        <f t="shared" si="248"/>
        <v>44895</v>
      </c>
      <c r="L1194" s="5">
        <f t="shared" si="249"/>
        <v>11</v>
      </c>
      <c r="M1194" s="5">
        <f t="shared" si="250"/>
        <v>2022</v>
      </c>
      <c r="N1194" s="6">
        <v>260</v>
      </c>
      <c r="O1194" s="6">
        <f>-N1194</f>
        <v>-260</v>
      </c>
      <c r="P1194" s="6">
        <f t="shared" si="243"/>
        <v>0</v>
      </c>
      <c r="Q1194" s="7">
        <f t="shared" si="244"/>
        <v>2162799.4500000011</v>
      </c>
      <c r="R1194" s="44" t="str">
        <f>VLOOKUP(F1194,'Set up'!$A$2:$E$70,5,FALSE)</f>
        <v>Trsf</v>
      </c>
      <c r="S1194" s="1" t="s">
        <v>1102</v>
      </c>
    </row>
    <row r="1195" spans="1:21" x14ac:dyDescent="0.35">
      <c r="A1195" s="4">
        <v>44895</v>
      </c>
      <c r="B1195" s="5">
        <f t="shared" si="246"/>
        <v>11</v>
      </c>
      <c r="C1195" s="5">
        <f t="shared" si="247"/>
        <v>2022</v>
      </c>
      <c r="D1195" s="5" t="s">
        <v>1097</v>
      </c>
      <c r="E1195" s="5" t="str">
        <f>VLOOKUP(F1195,'Set up'!$A$2:$C$70,2,FALSE)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up'!$A$2:$C$70,3,FALSE)</f>
        <v>Cash</v>
      </c>
      <c r="J1195" s="5">
        <f>VLOOKUP(F1195,'Set up'!$A$2:$D$70,4,FALSE)</f>
        <v>0</v>
      </c>
      <c r="K1195" s="4">
        <f t="shared" si="248"/>
        <v>44895</v>
      </c>
      <c r="L1195" s="5">
        <f t="shared" si="249"/>
        <v>11</v>
      </c>
      <c r="M1195" s="5">
        <f t="shared" si="250"/>
        <v>2022</v>
      </c>
      <c r="N1195" s="6">
        <v>260</v>
      </c>
      <c r="O1195" s="6">
        <f>-N1195</f>
        <v>-260</v>
      </c>
      <c r="P1195" s="6">
        <f t="shared" si="243"/>
        <v>0</v>
      </c>
      <c r="Q1195" s="7">
        <f t="shared" si="244"/>
        <v>2163059.4500000011</v>
      </c>
      <c r="R1195" s="44" t="str">
        <f>VLOOKUP(F1195,'Set up'!$A$2:$E$70,5,FALSE)</f>
        <v>Trsf</v>
      </c>
      <c r="S1195" s="1" t="s">
        <v>1103</v>
      </c>
    </row>
    <row r="1196" spans="1:21" x14ac:dyDescent="0.35">
      <c r="A1196" s="4">
        <v>44895</v>
      </c>
      <c r="B1196" s="5">
        <f t="shared" si="246"/>
        <v>11</v>
      </c>
      <c r="C1196" s="5">
        <f t="shared" si="247"/>
        <v>2022</v>
      </c>
      <c r="D1196" s="5" t="s">
        <v>1097</v>
      </c>
      <c r="E1196" s="5" t="str">
        <f>VLOOKUP(F1196,'Set up'!$A$2:$C$70,2,FALSE)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up'!$A$2:$C$70,3,FALSE)</f>
        <v>Cash</v>
      </c>
      <c r="J1196" s="5">
        <f>VLOOKUP(F1196,'Set up'!$A$2:$D$70,4,FALSE)</f>
        <v>0</v>
      </c>
      <c r="K1196" s="4">
        <f t="shared" si="248"/>
        <v>44895</v>
      </c>
      <c r="L1196" s="5">
        <f t="shared" si="249"/>
        <v>11</v>
      </c>
      <c r="M1196" s="5">
        <f t="shared" si="250"/>
        <v>2022</v>
      </c>
      <c r="N1196" s="6">
        <v>115</v>
      </c>
      <c r="O1196" s="6">
        <f>-N1196</f>
        <v>-115</v>
      </c>
      <c r="P1196" s="6">
        <f t="shared" si="243"/>
        <v>0</v>
      </c>
      <c r="Q1196" s="7">
        <f t="shared" si="244"/>
        <v>2163174.4500000011</v>
      </c>
      <c r="R1196" s="44" t="str">
        <f>VLOOKUP(F1196,'Set up'!$A$2:$E$70,5,FALSE)</f>
        <v>Trsf</v>
      </c>
      <c r="S1196" s="1" t="s">
        <v>1103</v>
      </c>
    </row>
    <row r="1197" spans="1:21" x14ac:dyDescent="0.35">
      <c r="A1197" s="4">
        <v>44896</v>
      </c>
      <c r="B1197" s="5">
        <f t="shared" si="246"/>
        <v>12</v>
      </c>
      <c r="C1197" s="5">
        <f t="shared" si="247"/>
        <v>2022</v>
      </c>
      <c r="D1197" s="5" t="s">
        <v>1106</v>
      </c>
      <c r="E1197" s="5" t="str">
        <f>VLOOKUP(F1197,'Set up'!$A$2:$C$70,2,FALSE)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up'!$A$2:$C$70,3,FALSE)</f>
        <v>Cash</v>
      </c>
      <c r="J1197" s="5">
        <f>VLOOKUP(F1197,'Set up'!$A$2:$D$70,4,FALSE)</f>
        <v>0</v>
      </c>
      <c r="K1197" s="4">
        <f t="shared" si="248"/>
        <v>44896</v>
      </c>
      <c r="L1197" s="5">
        <f t="shared" si="249"/>
        <v>12</v>
      </c>
      <c r="M1197" s="5">
        <f t="shared" si="250"/>
        <v>2022</v>
      </c>
      <c r="N1197" s="6">
        <v>60</v>
      </c>
      <c r="O1197" s="6">
        <f>-N1197</f>
        <v>-60</v>
      </c>
      <c r="P1197" s="6">
        <f t="shared" si="243"/>
        <v>0</v>
      </c>
      <c r="Q1197" s="7">
        <f t="shared" si="244"/>
        <v>2163234.4500000011</v>
      </c>
      <c r="R1197" s="44" t="str">
        <f>VLOOKUP(F1197,'Set up'!$A$2:$E$70,5,FALSE)</f>
        <v>Trsf</v>
      </c>
    </row>
    <row r="1198" spans="1:21" x14ac:dyDescent="0.35">
      <c r="A1198" s="4">
        <v>44896</v>
      </c>
      <c r="B1198" s="5">
        <f t="shared" si="246"/>
        <v>12</v>
      </c>
      <c r="C1198" s="5">
        <f t="shared" si="247"/>
        <v>2022</v>
      </c>
      <c r="D1198" s="5" t="s">
        <v>1108</v>
      </c>
      <c r="E1198" s="5" t="str">
        <f>VLOOKUP(F1198,'Set up'!$A$2:$C$70,2,FALSE)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up'!$A$2:$C$70,3,FALSE)</f>
        <v>Cash</v>
      </c>
      <c r="J1198" s="5">
        <f>VLOOKUP(F1198,'Set up'!$A$2:$D$70,4,FALSE)</f>
        <v>0</v>
      </c>
      <c r="K1198" s="4">
        <f t="shared" si="248"/>
        <v>44896</v>
      </c>
      <c r="L1198" s="5">
        <f t="shared" si="249"/>
        <v>12</v>
      </c>
      <c r="M1198" s="5">
        <f t="shared" si="250"/>
        <v>2022</v>
      </c>
      <c r="N1198" s="6">
        <v>855</v>
      </c>
      <c r="O1198" s="6">
        <f t="shared" ref="O1198:O1210" si="259">-N1198</f>
        <v>-855</v>
      </c>
      <c r="P1198" s="6">
        <f t="shared" si="243"/>
        <v>0</v>
      </c>
      <c r="Q1198" s="7">
        <f t="shared" si="244"/>
        <v>2164089.4500000011</v>
      </c>
      <c r="R1198" s="44" t="str">
        <f>VLOOKUP(F1198,'Set up'!$A$2:$E$70,5,FALSE)</f>
        <v>Trsf</v>
      </c>
      <c r="S1198" s="1" t="s">
        <v>1214</v>
      </c>
    </row>
    <row r="1199" spans="1:21" x14ac:dyDescent="0.35">
      <c r="A1199" s="4">
        <v>44897</v>
      </c>
      <c r="B1199" s="5">
        <f t="shared" si="246"/>
        <v>12</v>
      </c>
      <c r="C1199" s="5">
        <f t="shared" si="247"/>
        <v>2022</v>
      </c>
      <c r="D1199" s="5" t="s">
        <v>1109</v>
      </c>
      <c r="E1199" s="5" t="str">
        <f>VLOOKUP(F1199,'Set up'!$A$2:$C$70,2,FALSE)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up'!$A$2:$C$70,3,FALSE)</f>
        <v>Cash</v>
      </c>
      <c r="J1199" s="5">
        <f>VLOOKUP(F1199,'Set up'!$A$2:$D$70,4,FALSE)</f>
        <v>0</v>
      </c>
      <c r="K1199" s="4">
        <f t="shared" si="248"/>
        <v>44897</v>
      </c>
      <c r="L1199" s="5">
        <f t="shared" si="249"/>
        <v>12</v>
      </c>
      <c r="M1199" s="5">
        <f t="shared" si="250"/>
        <v>2022</v>
      </c>
      <c r="N1199" s="6">
        <v>3608</v>
      </c>
      <c r="O1199" s="6">
        <f t="shared" si="259"/>
        <v>-3608</v>
      </c>
      <c r="P1199" s="6">
        <f t="shared" si="243"/>
        <v>0</v>
      </c>
      <c r="Q1199" s="7">
        <f t="shared" si="244"/>
        <v>2167697.4500000011</v>
      </c>
      <c r="R1199" s="44" t="str">
        <f>VLOOKUP(F1199,'Set up'!$A$2:$E$70,5,FALSE)</f>
        <v>Trsf</v>
      </c>
      <c r="S1199" s="1" t="s">
        <v>1513</v>
      </c>
    </row>
    <row r="1200" spans="1:21" x14ac:dyDescent="0.35">
      <c r="A1200" s="4">
        <v>44897</v>
      </c>
      <c r="B1200" s="5">
        <f t="shared" si="246"/>
        <v>12</v>
      </c>
      <c r="C1200" s="5">
        <f t="shared" si="247"/>
        <v>2022</v>
      </c>
      <c r="D1200" s="5" t="s">
        <v>1109</v>
      </c>
      <c r="E1200" s="5" t="str">
        <f>VLOOKUP(F1200,'Set up'!$A$2:$C$70,2,FALSE)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up'!$A$2:$C$70,3,FALSE)</f>
        <v>Cash</v>
      </c>
      <c r="J1200" s="5">
        <f>VLOOKUP(F1200,'Set up'!$A$2:$D$70,4,FALSE)</f>
        <v>0</v>
      </c>
      <c r="K1200" s="4">
        <f t="shared" si="248"/>
        <v>44897</v>
      </c>
      <c r="L1200" s="5">
        <f t="shared" si="249"/>
        <v>12</v>
      </c>
      <c r="M1200" s="5">
        <f t="shared" si="250"/>
        <v>2022</v>
      </c>
      <c r="N1200" s="6">
        <v>756</v>
      </c>
      <c r="O1200" s="6">
        <f t="shared" si="259"/>
        <v>-756</v>
      </c>
      <c r="P1200" s="6">
        <f t="shared" si="243"/>
        <v>0</v>
      </c>
      <c r="Q1200" s="7">
        <f t="shared" si="244"/>
        <v>2168453.4500000011</v>
      </c>
      <c r="R1200" s="44" t="str">
        <f>VLOOKUP(F1200,'Set up'!$A$2:$E$70,5,FALSE)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246"/>
        <v>12</v>
      </c>
      <c r="C1201" s="5">
        <f t="shared" si="247"/>
        <v>2022</v>
      </c>
      <c r="D1201" s="5" t="s">
        <v>1109</v>
      </c>
      <c r="E1201" s="5" t="str">
        <f>VLOOKUP(F1201,'Set up'!$A$2:$C$70,2,FALSE)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up'!$A$2:$C$70,3,FALSE)</f>
        <v>Cash</v>
      </c>
      <c r="J1201" s="5">
        <f>VLOOKUP(F1201,'Set up'!$A$2:$D$70,4,FALSE)</f>
        <v>0</v>
      </c>
      <c r="K1201" s="4">
        <f t="shared" si="248"/>
        <v>44897</v>
      </c>
      <c r="L1201" s="5">
        <f t="shared" si="249"/>
        <v>12</v>
      </c>
      <c r="M1201" s="5">
        <f t="shared" si="250"/>
        <v>2022</v>
      </c>
      <c r="N1201" s="6">
        <v>125</v>
      </c>
      <c r="O1201" s="6">
        <f t="shared" si="259"/>
        <v>-125</v>
      </c>
      <c r="P1201" s="6">
        <f t="shared" si="243"/>
        <v>0</v>
      </c>
      <c r="Q1201" s="7">
        <f t="shared" si="244"/>
        <v>2168578.4500000011</v>
      </c>
      <c r="R1201" s="44" t="str">
        <f>VLOOKUP(F1201,'Set up'!$A$2:$E$70,5,FALSE)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246"/>
        <v>12</v>
      </c>
      <c r="C1202" s="5">
        <f t="shared" si="247"/>
        <v>2022</v>
      </c>
      <c r="D1202" s="5" t="s">
        <v>1111</v>
      </c>
      <c r="E1202" s="5" t="str">
        <f>VLOOKUP(F1202,'Set up'!$A$2:$C$70,2,FALSE)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up'!$A$2:$C$70,3,FALSE)</f>
        <v>Cash</v>
      </c>
      <c r="J1202" s="5">
        <f>VLOOKUP(F1202,'Set up'!$A$2:$D$70,4,FALSE)</f>
        <v>0</v>
      </c>
      <c r="K1202" s="4">
        <f t="shared" si="248"/>
        <v>44897</v>
      </c>
      <c r="L1202" s="5">
        <f t="shared" si="249"/>
        <v>12</v>
      </c>
      <c r="M1202" s="5">
        <f t="shared" si="250"/>
        <v>2022</v>
      </c>
      <c r="N1202" s="6">
        <v>1804</v>
      </c>
      <c r="O1202" s="6">
        <f>-1492.3-311.7</f>
        <v>-1804</v>
      </c>
      <c r="P1202" s="6">
        <f t="shared" si="243"/>
        <v>0</v>
      </c>
      <c r="Q1202" s="7">
        <f t="shared" si="244"/>
        <v>2170382.4500000011</v>
      </c>
      <c r="R1202" s="44" t="str">
        <f>VLOOKUP(F1202,'Set up'!$A$2:$E$70,5,FALSE)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246"/>
        <v>12</v>
      </c>
      <c r="C1203" s="5">
        <f t="shared" si="247"/>
        <v>2022</v>
      </c>
      <c r="D1203" s="5" t="s">
        <v>1111</v>
      </c>
      <c r="E1203" s="5" t="str">
        <f>VLOOKUP(F1203,'Set up'!$A$2:$C$70,2,FALSE)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up'!$A$2:$C$70,3,FALSE)</f>
        <v>Cash</v>
      </c>
      <c r="J1203" s="5">
        <f>VLOOKUP(F1203,'Set up'!$A$2:$D$70,4,FALSE)</f>
        <v>0</v>
      </c>
      <c r="K1203" s="4">
        <f t="shared" si="248"/>
        <v>44897</v>
      </c>
      <c r="L1203" s="5">
        <f t="shared" si="249"/>
        <v>12</v>
      </c>
      <c r="M1203" s="5">
        <f t="shared" si="250"/>
        <v>2022</v>
      </c>
      <c r="N1203" s="6">
        <v>756</v>
      </c>
      <c r="O1203" s="6">
        <f t="shared" si="259"/>
        <v>-756</v>
      </c>
      <c r="P1203" s="6">
        <f t="shared" si="243"/>
        <v>0</v>
      </c>
      <c r="Q1203" s="7">
        <f t="shared" si="244"/>
        <v>2171138.4500000011</v>
      </c>
      <c r="R1203" s="44" t="str">
        <f>VLOOKUP(F1203,'Set up'!$A$2:$E$70,5,FALSE)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246"/>
        <v>12</v>
      </c>
      <c r="C1204" s="5">
        <f t="shared" si="247"/>
        <v>2022</v>
      </c>
      <c r="D1204" s="5" t="s">
        <v>1111</v>
      </c>
      <c r="E1204" s="5" t="str">
        <f>VLOOKUP(F1204,'Set up'!$A$2:$C$70,2,FALSE)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up'!$A$2:$C$70,3,FALSE)</f>
        <v>Cash</v>
      </c>
      <c r="J1204" s="5">
        <f>VLOOKUP(F1204,'Set up'!$A$2:$D$70,4,FALSE)</f>
        <v>0</v>
      </c>
      <c r="K1204" s="4">
        <f t="shared" si="248"/>
        <v>44897</v>
      </c>
      <c r="L1204" s="5">
        <f t="shared" si="249"/>
        <v>12</v>
      </c>
      <c r="M1204" s="5">
        <f t="shared" si="250"/>
        <v>2022</v>
      </c>
      <c r="N1204" s="6">
        <v>292.5</v>
      </c>
      <c r="O1204" s="6">
        <f t="shared" si="259"/>
        <v>-292.5</v>
      </c>
      <c r="P1204" s="6">
        <f t="shared" si="243"/>
        <v>0</v>
      </c>
      <c r="Q1204" s="7">
        <f t="shared" si="244"/>
        <v>2171430.9500000011</v>
      </c>
      <c r="R1204" s="44" t="str">
        <f>VLOOKUP(F1204,'Set up'!$A$2:$E$70,5,FALSE)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246"/>
        <v>12</v>
      </c>
      <c r="C1205" s="5">
        <f t="shared" si="247"/>
        <v>2022</v>
      </c>
      <c r="D1205" s="5" t="s">
        <v>1111</v>
      </c>
      <c r="E1205" s="5" t="str">
        <f>VLOOKUP(F1205,'Set up'!$A$2:$C$70,2,FALSE)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up'!$A$2:$C$70,3,FALSE)</f>
        <v>Cash</v>
      </c>
      <c r="J1205" s="5">
        <f>VLOOKUP(F1205,'Set up'!$A$2:$D$70,4,FALSE)</f>
        <v>0</v>
      </c>
      <c r="K1205" s="4">
        <f t="shared" si="248"/>
        <v>44897</v>
      </c>
      <c r="L1205" s="5">
        <f t="shared" si="249"/>
        <v>12</v>
      </c>
      <c r="M1205" s="5">
        <f t="shared" si="250"/>
        <v>2022</v>
      </c>
      <c r="N1205" s="6">
        <v>62.5</v>
      </c>
      <c r="O1205" s="6">
        <f t="shared" si="259"/>
        <v>-62.5</v>
      </c>
      <c r="P1205" s="6">
        <f t="shared" si="243"/>
        <v>0</v>
      </c>
      <c r="Q1205" s="7">
        <f t="shared" si="244"/>
        <v>2171493.4500000011</v>
      </c>
      <c r="R1205" s="44" t="str">
        <f>VLOOKUP(F1205,'Set up'!$A$2:$E$70,5,FALSE)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246"/>
        <v>12</v>
      </c>
      <c r="C1206" s="5">
        <f t="shared" si="247"/>
        <v>2022</v>
      </c>
      <c r="D1206" s="5" t="s">
        <v>1111</v>
      </c>
      <c r="E1206" s="5" t="str">
        <f>VLOOKUP(F1206,'Set up'!$A$2:$C$70,2,FALSE)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up'!$A$2:$C$70,3,FALSE)</f>
        <v>Cash</v>
      </c>
      <c r="J1206" s="5">
        <f>VLOOKUP(F1206,'Set up'!$A$2:$D$70,4,FALSE)</f>
        <v>0</v>
      </c>
      <c r="K1206" s="4">
        <f t="shared" si="248"/>
        <v>44897</v>
      </c>
      <c r="L1206" s="5">
        <f t="shared" si="249"/>
        <v>12</v>
      </c>
      <c r="M1206" s="5">
        <f t="shared" si="250"/>
        <v>2022</v>
      </c>
      <c r="N1206" s="6">
        <v>1000</v>
      </c>
      <c r="O1206" s="6">
        <f t="shared" si="259"/>
        <v>-1000</v>
      </c>
      <c r="P1206" s="6">
        <f t="shared" si="243"/>
        <v>0</v>
      </c>
      <c r="Q1206" s="7">
        <f t="shared" si="244"/>
        <v>2172493.4500000011</v>
      </c>
      <c r="R1206" s="44" t="str">
        <f>VLOOKUP(F1206,'Set up'!$A$2:$E$70,5,FALSE)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246"/>
        <v>12</v>
      </c>
      <c r="C1207" s="5">
        <f t="shared" si="247"/>
        <v>2022</v>
      </c>
      <c r="D1207" s="5" t="s">
        <v>1113</v>
      </c>
      <c r="E1207" s="5" t="str">
        <f>VLOOKUP(F1207,'Set up'!$A$2:$C$70,2,FALSE)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up'!$A$2:$C$70,3,FALSE)</f>
        <v>60</v>
      </c>
      <c r="J1207" s="5">
        <f>VLOOKUP(F1207,'Set up'!$A$2:$D$70,4,FALSE)</f>
        <v>60</v>
      </c>
      <c r="K1207" s="4">
        <f t="shared" si="248"/>
        <v>44958</v>
      </c>
      <c r="L1207" s="5">
        <f t="shared" si="249"/>
        <v>2</v>
      </c>
      <c r="M1207" s="5">
        <f t="shared" si="250"/>
        <v>2023</v>
      </c>
      <c r="N1207" s="6">
        <v>1804</v>
      </c>
      <c r="O1207" s="6">
        <f t="shared" si="259"/>
        <v>-1804</v>
      </c>
      <c r="P1207" s="6">
        <f t="shared" si="243"/>
        <v>0</v>
      </c>
      <c r="Q1207" s="7">
        <f t="shared" si="244"/>
        <v>2174297.4500000011</v>
      </c>
      <c r="R1207" s="44" t="str">
        <f>VLOOKUP(F1207,'Set up'!$A$2:$E$70,5,FALSE)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246"/>
        <v>12</v>
      </c>
      <c r="C1208" s="5">
        <f t="shared" si="247"/>
        <v>2022</v>
      </c>
      <c r="D1208" s="5" t="s">
        <v>1113</v>
      </c>
      <c r="E1208" s="5" t="str">
        <f>VLOOKUP(F1208,'Set up'!$A$2:$C$70,2,FALSE)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up'!$A$2:$C$70,3,FALSE)</f>
        <v>60</v>
      </c>
      <c r="J1208" s="5">
        <f>VLOOKUP(F1208,'Set up'!$A$2:$D$70,4,FALSE)</f>
        <v>60</v>
      </c>
      <c r="K1208" s="4">
        <f t="shared" si="248"/>
        <v>44958</v>
      </c>
      <c r="L1208" s="5">
        <f t="shared" si="249"/>
        <v>2</v>
      </c>
      <c r="M1208" s="5">
        <f t="shared" si="250"/>
        <v>2023</v>
      </c>
      <c r="N1208" s="6">
        <v>1804</v>
      </c>
      <c r="O1208" s="6">
        <f t="shared" si="259"/>
        <v>-1804</v>
      </c>
      <c r="P1208" s="6">
        <f t="shared" si="243"/>
        <v>0</v>
      </c>
      <c r="Q1208" s="7">
        <f t="shared" si="244"/>
        <v>2176101.4500000011</v>
      </c>
      <c r="R1208" s="44" t="str">
        <f>VLOOKUP(F1208,'Set up'!$A$2:$E$70,5,FALSE)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246"/>
        <v>12</v>
      </c>
      <c r="C1209" s="5">
        <f t="shared" si="247"/>
        <v>2022</v>
      </c>
      <c r="D1209" s="5" t="s">
        <v>1113</v>
      </c>
      <c r="E1209" s="5" t="str">
        <f>VLOOKUP(F1209,'Set up'!$A$2:$C$70,2,FALSE)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up'!$A$2:$C$70,3,FALSE)</f>
        <v>60</v>
      </c>
      <c r="J1209" s="5">
        <f>VLOOKUP(F1209,'Set up'!$A$2:$D$70,4,FALSE)</f>
        <v>60</v>
      </c>
      <c r="K1209" s="4">
        <f t="shared" si="248"/>
        <v>44958</v>
      </c>
      <c r="L1209" s="5">
        <f t="shared" si="249"/>
        <v>2</v>
      </c>
      <c r="M1209" s="5">
        <f t="shared" si="250"/>
        <v>2023</v>
      </c>
      <c r="N1209" s="6">
        <v>874.8</v>
      </c>
      <c r="O1209" s="6">
        <f t="shared" si="259"/>
        <v>-874.8</v>
      </c>
      <c r="P1209" s="6">
        <f t="shared" si="243"/>
        <v>0</v>
      </c>
      <c r="Q1209" s="7">
        <f t="shared" si="244"/>
        <v>2176976.2500000009</v>
      </c>
      <c r="R1209" s="44" t="str">
        <f>VLOOKUP(F1209,'Set up'!$A$2:$E$70,5,FALSE)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246"/>
        <v>12</v>
      </c>
      <c r="C1210" s="5">
        <f t="shared" si="247"/>
        <v>2022</v>
      </c>
      <c r="D1210" s="5" t="s">
        <v>1113</v>
      </c>
      <c r="E1210" s="5" t="str">
        <f>VLOOKUP(F1210,'Set up'!$A$2:$C$70,2,FALSE)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up'!$A$2:$C$70,3,FALSE)</f>
        <v>60</v>
      </c>
      <c r="J1210" s="5">
        <f>VLOOKUP(F1210,'Set up'!$A$2:$D$70,4,FALSE)</f>
        <v>60</v>
      </c>
      <c r="K1210" s="4">
        <f t="shared" si="248"/>
        <v>44958</v>
      </c>
      <c r="L1210" s="5">
        <f t="shared" si="249"/>
        <v>2</v>
      </c>
      <c r="M1210" s="5">
        <f t="shared" si="250"/>
        <v>2023</v>
      </c>
      <c r="N1210" s="6">
        <v>150</v>
      </c>
      <c r="O1210" s="6">
        <f t="shared" si="259"/>
        <v>-150</v>
      </c>
      <c r="P1210" s="6">
        <f t="shared" si="243"/>
        <v>0</v>
      </c>
      <c r="Q1210" s="7">
        <f t="shared" si="244"/>
        <v>2177126.2500000009</v>
      </c>
      <c r="R1210" s="44" t="str">
        <f>VLOOKUP(F1210,'Set up'!$A$2:$E$70,5,FALSE)</f>
        <v>Chq</v>
      </c>
      <c r="S1210" s="1" t="s">
        <v>1682</v>
      </c>
    </row>
    <row r="1211" spans="1:19" x14ac:dyDescent="0.35">
      <c r="A1211" s="4">
        <v>44898</v>
      </c>
      <c r="B1211" s="5">
        <f t="shared" si="246"/>
        <v>12</v>
      </c>
      <c r="C1211" s="5">
        <f t="shared" si="247"/>
        <v>2022</v>
      </c>
      <c r="D1211" s="5" t="s">
        <v>1115</v>
      </c>
      <c r="E1211" s="5" t="str">
        <f>VLOOKUP(F1211,'Set up'!$A$2:$C$70,2,FALSE)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up'!$A$2:$C$70,3,FALSE)</f>
        <v>Cash</v>
      </c>
      <c r="J1211" s="5">
        <f>VLOOKUP(F1211,'Set up'!$A$2:$D$70,4,FALSE)</f>
        <v>0</v>
      </c>
      <c r="K1211" s="4">
        <f t="shared" si="248"/>
        <v>44898</v>
      </c>
      <c r="L1211" s="5">
        <f t="shared" si="249"/>
        <v>12</v>
      </c>
      <c r="M1211" s="5">
        <f t="shared" si="250"/>
        <v>2022</v>
      </c>
      <c r="N1211" s="6">
        <v>5412</v>
      </c>
      <c r="O1211" s="6">
        <f t="shared" ref="O1211:O1214" si="260">-N1211</f>
        <v>-5412</v>
      </c>
      <c r="P1211" s="6">
        <f t="shared" si="243"/>
        <v>0</v>
      </c>
      <c r="Q1211" s="7">
        <f t="shared" si="244"/>
        <v>2182538.2500000009</v>
      </c>
      <c r="R1211" s="44" t="str">
        <f>VLOOKUP(F1211,'Set up'!$A$2:$E$70,5,FALSE)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246"/>
        <v>12</v>
      </c>
      <c r="C1212" s="5">
        <f t="shared" si="247"/>
        <v>2022</v>
      </c>
      <c r="D1212" s="5" t="s">
        <v>1115</v>
      </c>
      <c r="E1212" s="5" t="str">
        <f>VLOOKUP(F1212,'Set up'!$A$2:$C$70,2,FALSE)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up'!$A$2:$C$70,3,FALSE)</f>
        <v>Cash</v>
      </c>
      <c r="J1212" s="5">
        <f>VLOOKUP(F1212,'Set up'!$A$2:$D$70,4,FALSE)</f>
        <v>0</v>
      </c>
      <c r="K1212" s="4">
        <f t="shared" si="248"/>
        <v>44898</v>
      </c>
      <c r="L1212" s="5">
        <f t="shared" si="249"/>
        <v>12</v>
      </c>
      <c r="M1212" s="5">
        <f t="shared" si="250"/>
        <v>2022</v>
      </c>
      <c r="N1212" s="6">
        <v>756</v>
      </c>
      <c r="O1212" s="6">
        <f t="shared" si="260"/>
        <v>-756</v>
      </c>
      <c r="P1212" s="6">
        <f t="shared" si="243"/>
        <v>0</v>
      </c>
      <c r="Q1212" s="7">
        <f t="shared" si="244"/>
        <v>2183294.2500000009</v>
      </c>
      <c r="R1212" s="44" t="str">
        <f>VLOOKUP(F1212,'Set up'!$A$2:$E$70,5,FALSE)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246"/>
        <v>12</v>
      </c>
      <c r="C1213" s="5">
        <f t="shared" si="247"/>
        <v>2022</v>
      </c>
      <c r="D1213" s="5" t="s">
        <v>1115</v>
      </c>
      <c r="E1213" s="5" t="str">
        <f>VLOOKUP(F1213,'Set up'!$A$2:$C$70,2,FALSE)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up'!$A$2:$C$70,3,FALSE)</f>
        <v>Cash</v>
      </c>
      <c r="J1213" s="5">
        <f>VLOOKUP(F1213,'Set up'!$A$2:$D$70,4,FALSE)</f>
        <v>0</v>
      </c>
      <c r="K1213" s="4">
        <f t="shared" si="248"/>
        <v>44898</v>
      </c>
      <c r="L1213" s="5">
        <f t="shared" si="249"/>
        <v>12</v>
      </c>
      <c r="M1213" s="5">
        <f t="shared" si="250"/>
        <v>2022</v>
      </c>
      <c r="N1213" s="6">
        <v>1040</v>
      </c>
      <c r="O1213" s="6">
        <f t="shared" si="260"/>
        <v>-1040</v>
      </c>
      <c r="P1213" s="6">
        <f t="shared" si="243"/>
        <v>0</v>
      </c>
      <c r="Q1213" s="7">
        <f t="shared" si="244"/>
        <v>2184334.2500000009</v>
      </c>
      <c r="R1213" s="44" t="str">
        <f>VLOOKUP(F1213,'Set up'!$A$2:$E$70,5,FALSE)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246"/>
        <v>12</v>
      </c>
      <c r="C1214" s="5">
        <f t="shared" si="247"/>
        <v>2022</v>
      </c>
      <c r="D1214" s="5" t="s">
        <v>1115</v>
      </c>
      <c r="E1214" s="5" t="str">
        <f>VLOOKUP(F1214,'Set up'!$A$2:$C$70,2,FALSE)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up'!$A$2:$C$70,3,FALSE)</f>
        <v>Cash</v>
      </c>
      <c r="J1214" s="5">
        <f>VLOOKUP(F1214,'Set up'!$A$2:$D$70,4,FALSE)</f>
        <v>0</v>
      </c>
      <c r="K1214" s="4">
        <f t="shared" si="248"/>
        <v>44898</v>
      </c>
      <c r="L1214" s="5">
        <f t="shared" si="249"/>
        <v>12</v>
      </c>
      <c r="M1214" s="5">
        <f t="shared" si="250"/>
        <v>2022</v>
      </c>
      <c r="N1214" s="6">
        <v>187.5</v>
      </c>
      <c r="O1214" s="6">
        <f t="shared" si="260"/>
        <v>-187.5</v>
      </c>
      <c r="P1214" s="6">
        <f t="shared" si="243"/>
        <v>0</v>
      </c>
      <c r="Q1214" s="7">
        <f t="shared" si="244"/>
        <v>2184521.7500000009</v>
      </c>
      <c r="R1214" s="44" t="str">
        <f>VLOOKUP(F1214,'Set up'!$A$2:$E$70,5,FALSE)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246"/>
        <v>12</v>
      </c>
      <c r="C1215" s="5">
        <f t="shared" si="247"/>
        <v>2022</v>
      </c>
      <c r="D1215" s="5" t="s">
        <v>1116</v>
      </c>
      <c r="E1215" s="5" t="str">
        <f>VLOOKUP(F1215,'Set up'!$A$2:$C$70,2,FALSE)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up'!$A$2:$C$70,3,FALSE)</f>
        <v>Cash</v>
      </c>
      <c r="J1215" s="5">
        <f>VLOOKUP(F1215,'Set up'!$A$2:$D$70,4,FALSE)</f>
        <v>0</v>
      </c>
      <c r="K1215" s="4">
        <f t="shared" si="248"/>
        <v>44900</v>
      </c>
      <c r="L1215" s="5">
        <f t="shared" si="249"/>
        <v>12</v>
      </c>
      <c r="M1215" s="5">
        <f t="shared" si="250"/>
        <v>2022</v>
      </c>
      <c r="N1215" s="6">
        <v>45</v>
      </c>
      <c r="O1215" s="6">
        <f t="shared" ref="O1215:O1220" si="261">-N1215</f>
        <v>-45</v>
      </c>
      <c r="P1215" s="6">
        <f t="shared" ref="P1215:P1278" si="262">SUM(N1215+O1215)</f>
        <v>0</v>
      </c>
      <c r="Q1215" s="7">
        <f t="shared" ref="Q1215:Q1278" si="263">SUM(Q1214+N1215)</f>
        <v>2184566.7500000009</v>
      </c>
      <c r="R1215" s="44" t="str">
        <f>VLOOKUP(F1215,'Set up'!$A$2:$E$70,5,FALSE)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246"/>
        <v>12</v>
      </c>
      <c r="C1216" s="5">
        <f t="shared" si="247"/>
        <v>2022</v>
      </c>
      <c r="D1216" s="5" t="s">
        <v>1116</v>
      </c>
      <c r="E1216" s="5" t="str">
        <f>VLOOKUP(F1216,'Set up'!$A$2:$C$70,2,FALSE)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up'!$A$2:$C$70,3,FALSE)</f>
        <v>Cash</v>
      </c>
      <c r="J1216" s="5">
        <f>VLOOKUP(F1216,'Set up'!$A$2:$D$70,4,FALSE)</f>
        <v>0</v>
      </c>
      <c r="K1216" s="4">
        <f t="shared" si="248"/>
        <v>44900</v>
      </c>
      <c r="L1216" s="5">
        <f t="shared" si="249"/>
        <v>12</v>
      </c>
      <c r="M1216" s="5">
        <f t="shared" si="250"/>
        <v>2022</v>
      </c>
      <c r="N1216" s="6">
        <v>48</v>
      </c>
      <c r="O1216" s="6">
        <f t="shared" si="261"/>
        <v>-48</v>
      </c>
      <c r="P1216" s="6">
        <f t="shared" si="262"/>
        <v>0</v>
      </c>
      <c r="Q1216" s="7">
        <f t="shared" si="263"/>
        <v>2184614.7500000009</v>
      </c>
      <c r="R1216" s="44" t="str">
        <f>VLOOKUP(F1216,'Set up'!$A$2:$E$70,5,FALSE)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246"/>
        <v>12</v>
      </c>
      <c r="C1217" s="5">
        <f t="shared" si="247"/>
        <v>2022</v>
      </c>
      <c r="D1217" s="5" t="s">
        <v>1119</v>
      </c>
      <c r="E1217" s="5" t="str">
        <f>VLOOKUP(F1217,'Set up'!$A$2:$C$70,2,FALSE)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up'!$A$2:$C$70,3,FALSE)</f>
        <v>Cash</v>
      </c>
      <c r="J1217" s="5">
        <f>VLOOKUP(F1217,'Set up'!$A$2:$D$70,4,FALSE)</f>
        <v>0</v>
      </c>
      <c r="K1217" s="4">
        <f t="shared" si="248"/>
        <v>44901</v>
      </c>
      <c r="L1217" s="5">
        <f t="shared" si="249"/>
        <v>12</v>
      </c>
      <c r="M1217" s="5">
        <f t="shared" si="250"/>
        <v>2022</v>
      </c>
      <c r="N1217" s="6">
        <v>1936</v>
      </c>
      <c r="O1217" s="6">
        <f t="shared" si="261"/>
        <v>-1936</v>
      </c>
      <c r="P1217" s="6">
        <f t="shared" si="262"/>
        <v>0</v>
      </c>
      <c r="Q1217" s="7">
        <f t="shared" si="263"/>
        <v>2186550.7500000009</v>
      </c>
      <c r="R1217" s="44" t="str">
        <f>VLOOKUP(F1217,'Set up'!$A$2:$E$70,5,FALSE)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246"/>
        <v>12</v>
      </c>
      <c r="C1218" s="5">
        <f t="shared" si="247"/>
        <v>2022</v>
      </c>
      <c r="D1218" s="5" t="s">
        <v>1119</v>
      </c>
      <c r="E1218" s="5" t="str">
        <f>VLOOKUP(F1218,'Set up'!$A$2:$C$70,2,FALSE)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up'!$A$2:$C$70,3,FALSE)</f>
        <v>Cash</v>
      </c>
      <c r="J1218" s="5">
        <f>VLOOKUP(F1218,'Set up'!$A$2:$D$70,4,FALSE)</f>
        <v>0</v>
      </c>
      <c r="K1218" s="4">
        <f t="shared" si="248"/>
        <v>44901</v>
      </c>
      <c r="L1218" s="5">
        <f t="shared" si="249"/>
        <v>12</v>
      </c>
      <c r="M1218" s="5">
        <f t="shared" si="250"/>
        <v>2022</v>
      </c>
      <c r="N1218" s="6">
        <v>801</v>
      </c>
      <c r="O1218" s="6">
        <f t="shared" si="261"/>
        <v>-801</v>
      </c>
      <c r="P1218" s="6">
        <f t="shared" si="262"/>
        <v>0</v>
      </c>
      <c r="Q1218" s="7">
        <f t="shared" si="263"/>
        <v>2187351.7500000009</v>
      </c>
      <c r="R1218" s="44" t="str">
        <f>VLOOKUP(F1218,'Set up'!$A$2:$E$70,5,FALSE)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ref="B1219:B1282" si="264">MONTH(A1219)</f>
        <v>12</v>
      </c>
      <c r="C1219" s="5">
        <f t="shared" ref="C1219:C1282" si="265">YEAR(A1219)</f>
        <v>2022</v>
      </c>
      <c r="D1219" s="5" t="s">
        <v>1119</v>
      </c>
      <c r="E1219" s="5" t="str">
        <f>VLOOKUP(F1219,'Set up'!$A$2:$C$70,2,FALSE)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up'!$A$2:$C$70,3,FALSE)</f>
        <v>Cash</v>
      </c>
      <c r="J1219" s="5">
        <f>VLOOKUP(F1219,'Set up'!$A$2:$D$70,4,FALSE)</f>
        <v>0</v>
      </c>
      <c r="K1219" s="4">
        <f t="shared" ref="K1219:K1282" si="266">A1219+J1219</f>
        <v>44901</v>
      </c>
      <c r="L1219" s="5">
        <f t="shared" ref="L1219:L1282" si="267">MONTH(K1219)</f>
        <v>12</v>
      </c>
      <c r="M1219" s="5">
        <f t="shared" ref="M1219:M1282" si="268">YEAR(K1219)</f>
        <v>2022</v>
      </c>
      <c r="N1219" s="6">
        <v>105</v>
      </c>
      <c r="O1219" s="6">
        <f t="shared" si="261"/>
        <v>-105</v>
      </c>
      <c r="P1219" s="6">
        <f t="shared" si="262"/>
        <v>0</v>
      </c>
      <c r="Q1219" s="7">
        <f t="shared" si="263"/>
        <v>2187456.7500000009</v>
      </c>
      <c r="R1219" s="44" t="str">
        <f>VLOOKUP(F1219,'Set up'!$A$2:$E$70,5,FALSE)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264"/>
        <v>12</v>
      </c>
      <c r="C1220" s="5">
        <f t="shared" si="265"/>
        <v>2022</v>
      </c>
      <c r="D1220" s="5" t="s">
        <v>1119</v>
      </c>
      <c r="E1220" s="5" t="str">
        <f>VLOOKUP(F1220,'Set up'!$A$2:$C$70,2,FALSE)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up'!$A$2:$C$70,3,FALSE)</f>
        <v>Cash</v>
      </c>
      <c r="J1220" s="5">
        <f>VLOOKUP(F1220,'Set up'!$A$2:$D$70,4,FALSE)</f>
        <v>0</v>
      </c>
      <c r="K1220" s="4">
        <f t="shared" si="266"/>
        <v>44901</v>
      </c>
      <c r="L1220" s="5">
        <f t="shared" si="267"/>
        <v>12</v>
      </c>
      <c r="M1220" s="5">
        <f t="shared" si="268"/>
        <v>2022</v>
      </c>
      <c r="N1220" s="6">
        <v>225</v>
      </c>
      <c r="O1220" s="6">
        <f t="shared" si="261"/>
        <v>-225</v>
      </c>
      <c r="P1220" s="6">
        <f t="shared" si="262"/>
        <v>0</v>
      </c>
      <c r="Q1220" s="7">
        <f t="shared" si="263"/>
        <v>2187681.7500000009</v>
      </c>
      <c r="R1220" s="44" t="str">
        <f>VLOOKUP(F1220,'Set up'!$A$2:$E$70,5,FALSE)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si="264"/>
        <v>12</v>
      </c>
      <c r="C1221" s="5">
        <f t="shared" si="265"/>
        <v>2022</v>
      </c>
      <c r="D1221" s="5" t="s">
        <v>1120</v>
      </c>
      <c r="E1221" s="5" t="str">
        <f>VLOOKUP(F1221,'Set up'!$A$2:$C$70,2,FALSE)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up'!$A$2:$C$70,3,FALSE)</f>
        <v>Cash</v>
      </c>
      <c r="J1221" s="5">
        <f>VLOOKUP(F1221,'Set up'!$A$2:$D$70,4,FALSE)</f>
        <v>0</v>
      </c>
      <c r="K1221" s="4">
        <f t="shared" si="266"/>
        <v>44902</v>
      </c>
      <c r="L1221" s="5">
        <f t="shared" si="267"/>
        <v>12</v>
      </c>
      <c r="M1221" s="5">
        <f t="shared" si="268"/>
        <v>2022</v>
      </c>
      <c r="N1221" s="6">
        <v>2024</v>
      </c>
      <c r="O1221" s="6">
        <f>-1500-524</f>
        <v>-2024</v>
      </c>
      <c r="P1221" s="6">
        <f t="shared" si="262"/>
        <v>0</v>
      </c>
      <c r="Q1221" s="7">
        <f t="shared" si="263"/>
        <v>2189705.7500000009</v>
      </c>
      <c r="R1221" s="44" t="str">
        <f>VLOOKUP(F1221,'Set up'!$A$2:$E$70,5,FALSE)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264"/>
        <v>12</v>
      </c>
      <c r="C1222" s="5">
        <f t="shared" si="265"/>
        <v>2022</v>
      </c>
      <c r="D1222" s="5" t="s">
        <v>1122</v>
      </c>
      <c r="E1222" s="5" t="str">
        <f>VLOOKUP(F1222,'Set up'!$A$2:$C$70,2,FALSE)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up'!$A$2:$C$70,3,FALSE)</f>
        <v>Cash</v>
      </c>
      <c r="J1222" s="5">
        <f>VLOOKUP(F1222,'Set up'!$A$2:$D$70,4,FALSE)</f>
        <v>0</v>
      </c>
      <c r="K1222" s="4">
        <f t="shared" si="266"/>
        <v>44904</v>
      </c>
      <c r="L1222" s="5">
        <f t="shared" si="267"/>
        <v>12</v>
      </c>
      <c r="M1222" s="5">
        <f t="shared" si="268"/>
        <v>2022</v>
      </c>
      <c r="N1222" s="6">
        <v>18040</v>
      </c>
      <c r="O1222" s="6">
        <f>-181.8-17858.2</f>
        <v>-18040</v>
      </c>
      <c r="P1222" s="6">
        <f t="shared" si="262"/>
        <v>0</v>
      </c>
      <c r="Q1222" s="7">
        <f t="shared" si="263"/>
        <v>2207745.7500000009</v>
      </c>
      <c r="R1222" s="44" t="str">
        <f>VLOOKUP(F1222,'Set up'!$A$2:$E$70,5,FALSE)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264"/>
        <v>12</v>
      </c>
      <c r="C1223" s="5">
        <f t="shared" si="265"/>
        <v>2022</v>
      </c>
      <c r="D1223" s="5" t="s">
        <v>1122</v>
      </c>
      <c r="E1223" s="5" t="str">
        <f>VLOOKUP(F1223,'Set up'!$A$2:$C$70,2,FALSE)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up'!$A$2:$C$70,3,FALSE)</f>
        <v>Cash</v>
      </c>
      <c r="J1223" s="5">
        <f>VLOOKUP(F1223,'Set up'!$A$2:$D$70,4,FALSE)</f>
        <v>0</v>
      </c>
      <c r="K1223" s="4">
        <f t="shared" si="266"/>
        <v>44904</v>
      </c>
      <c r="L1223" s="5">
        <f t="shared" si="267"/>
        <v>12</v>
      </c>
      <c r="M1223" s="5">
        <f t="shared" si="268"/>
        <v>2022</v>
      </c>
      <c r="N1223" s="6">
        <v>9020</v>
      </c>
      <c r="O1223" s="6">
        <f>-2141.8-6878.2</f>
        <v>-9020</v>
      </c>
      <c r="P1223" s="6">
        <f t="shared" si="262"/>
        <v>0</v>
      </c>
      <c r="Q1223" s="7">
        <f t="shared" si="263"/>
        <v>2216765.7500000009</v>
      </c>
      <c r="R1223" s="44" t="str">
        <f>VLOOKUP(F1223,'Set up'!$A$2:$E$70,5,FALSE)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264"/>
        <v>12</v>
      </c>
      <c r="C1224" s="5">
        <f t="shared" si="265"/>
        <v>2022</v>
      </c>
      <c r="D1224" s="5" t="s">
        <v>1122</v>
      </c>
      <c r="E1224" s="5" t="str">
        <f>VLOOKUP(F1224,'Set up'!$A$2:$C$70,2,FALSE)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up'!$A$2:$C$70,3,FALSE)</f>
        <v>Cash</v>
      </c>
      <c r="J1224" s="5">
        <f>VLOOKUP(F1224,'Set up'!$A$2:$D$70,4,FALSE)</f>
        <v>0</v>
      </c>
      <c r="K1224" s="4">
        <f t="shared" si="266"/>
        <v>44904</v>
      </c>
      <c r="L1224" s="5">
        <f t="shared" si="267"/>
        <v>12</v>
      </c>
      <c r="M1224" s="5">
        <f t="shared" si="268"/>
        <v>2022</v>
      </c>
      <c r="N1224" s="6">
        <v>12852</v>
      </c>
      <c r="O1224" s="6">
        <f>-4121.8-4000-4730.2</f>
        <v>-12852</v>
      </c>
      <c r="P1224" s="6">
        <f t="shared" si="262"/>
        <v>0</v>
      </c>
      <c r="Q1224" s="7">
        <f t="shared" si="263"/>
        <v>2229617.7500000009</v>
      </c>
      <c r="R1224" s="44" t="str">
        <f>VLOOKUP(F1224,'Set up'!$A$2:$E$70,5,FALSE)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264"/>
        <v>12</v>
      </c>
      <c r="C1225" s="5">
        <f t="shared" si="265"/>
        <v>2022</v>
      </c>
      <c r="D1225" s="5" t="s">
        <v>1122</v>
      </c>
      <c r="E1225" s="5" t="str">
        <f>VLOOKUP(F1225,'Set up'!$A$2:$C$70,2,FALSE)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up'!$A$2:$C$70,3,FALSE)</f>
        <v>Cash</v>
      </c>
      <c r="J1225" s="5">
        <f>VLOOKUP(F1225,'Set up'!$A$2:$D$70,4,FALSE)</f>
        <v>0</v>
      </c>
      <c r="K1225" s="4">
        <f t="shared" si="266"/>
        <v>44904</v>
      </c>
      <c r="L1225" s="5">
        <f t="shared" si="267"/>
        <v>12</v>
      </c>
      <c r="M1225" s="5">
        <f t="shared" si="268"/>
        <v>2022</v>
      </c>
      <c r="N1225" s="6">
        <v>585</v>
      </c>
      <c r="O1225" s="6">
        <f>-269.8-315.2</f>
        <v>-585</v>
      </c>
      <c r="P1225" s="6">
        <f t="shared" si="262"/>
        <v>0</v>
      </c>
      <c r="Q1225" s="7">
        <f t="shared" si="263"/>
        <v>2230202.7500000009</v>
      </c>
      <c r="R1225" s="44" t="str">
        <f>VLOOKUP(F1225,'Set up'!$A$2:$E$70,5,FALSE)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264"/>
        <v>12</v>
      </c>
      <c r="C1226" s="5">
        <f t="shared" si="265"/>
        <v>2022</v>
      </c>
      <c r="D1226" s="5" t="s">
        <v>1122</v>
      </c>
      <c r="E1226" s="5" t="str">
        <f>VLOOKUP(F1226,'Set up'!$A$2:$C$70,2,FALSE)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up'!$A$2:$C$70,3,FALSE)</f>
        <v>Cash</v>
      </c>
      <c r="J1226" s="5">
        <f>VLOOKUP(F1226,'Set up'!$A$2:$D$70,4,FALSE)</f>
        <v>0</v>
      </c>
      <c r="K1226" s="4">
        <f t="shared" si="266"/>
        <v>44904</v>
      </c>
      <c r="L1226" s="5">
        <f t="shared" si="267"/>
        <v>12</v>
      </c>
      <c r="M1226" s="5">
        <f t="shared" si="268"/>
        <v>2022</v>
      </c>
      <c r="N1226" s="6">
        <v>5200</v>
      </c>
      <c r="O1226" s="6">
        <f>-N1226</f>
        <v>-5200</v>
      </c>
      <c r="P1226" s="6">
        <f t="shared" si="262"/>
        <v>0</v>
      </c>
      <c r="Q1226" s="7">
        <f t="shared" si="263"/>
        <v>2235402.7500000009</v>
      </c>
      <c r="R1226" s="44" t="str">
        <f>VLOOKUP(F1226,'Set up'!$A$2:$E$70,5,FALSE)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264"/>
        <v>12</v>
      </c>
      <c r="C1227" s="5">
        <f t="shared" si="265"/>
        <v>2022</v>
      </c>
      <c r="D1227" s="5" t="s">
        <v>1122</v>
      </c>
      <c r="E1227" s="5" t="str">
        <f>VLOOKUP(F1227,'Set up'!$A$2:$C$70,2,FALSE)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up'!$A$2:$C$70,3,FALSE)</f>
        <v>Cash</v>
      </c>
      <c r="J1227" s="5">
        <f>VLOOKUP(F1227,'Set up'!$A$2:$D$70,4,FALSE)</f>
        <v>0</v>
      </c>
      <c r="K1227" s="4">
        <f t="shared" si="266"/>
        <v>44904</v>
      </c>
      <c r="L1227" s="5">
        <f t="shared" si="267"/>
        <v>12</v>
      </c>
      <c r="M1227" s="5">
        <f t="shared" si="268"/>
        <v>2022</v>
      </c>
      <c r="N1227" s="6">
        <v>937.5</v>
      </c>
      <c r="O1227" s="6">
        <f>-N1227</f>
        <v>-937.5</v>
      </c>
      <c r="P1227" s="6">
        <f t="shared" si="262"/>
        <v>0</v>
      </c>
      <c r="Q1227" s="7">
        <f t="shared" si="263"/>
        <v>2236340.2500000009</v>
      </c>
      <c r="R1227" s="44" t="str">
        <f>VLOOKUP(F1227,'Set up'!$A$2:$E$70,5,FALSE)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264"/>
        <v>12</v>
      </c>
      <c r="C1228" s="5">
        <f t="shared" si="265"/>
        <v>2022</v>
      </c>
      <c r="D1228" s="5" t="s">
        <v>1122</v>
      </c>
      <c r="E1228" s="5" t="str">
        <f>VLOOKUP(F1228,'Set up'!$A$2:$C$70,2,FALSE)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up'!$A$2:$C$70,3,FALSE)</f>
        <v>Cash</v>
      </c>
      <c r="J1228" s="5">
        <f>VLOOKUP(F1228,'Set up'!$A$2:$D$70,4,FALSE)</f>
        <v>0</v>
      </c>
      <c r="K1228" s="4">
        <f t="shared" si="266"/>
        <v>44904</v>
      </c>
      <c r="L1228" s="5">
        <f t="shared" si="267"/>
        <v>12</v>
      </c>
      <c r="M1228" s="5">
        <f t="shared" si="268"/>
        <v>2022</v>
      </c>
      <c r="N1228" s="6">
        <v>2000</v>
      </c>
      <c r="O1228" s="6">
        <f>-N1228</f>
        <v>-2000</v>
      </c>
      <c r="P1228" s="6">
        <f t="shared" si="262"/>
        <v>0</v>
      </c>
      <c r="Q1228" s="7">
        <f t="shared" si="263"/>
        <v>2238340.2500000009</v>
      </c>
      <c r="R1228" s="44" t="str">
        <f>VLOOKUP(F1228,'Set up'!$A$2:$E$70,5,FALSE)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264"/>
        <v>12</v>
      </c>
      <c r="C1229" s="5">
        <f t="shared" si="265"/>
        <v>2022</v>
      </c>
      <c r="D1229" s="5" t="s">
        <v>1122</v>
      </c>
      <c r="E1229" s="5" t="str">
        <f>VLOOKUP(F1229,'Set up'!$A$2:$C$70,2,FALSE)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up'!$A$2:$C$70,3,FALSE)</f>
        <v>Cash</v>
      </c>
      <c r="J1229" s="5">
        <f>VLOOKUP(F1229,'Set up'!$A$2:$D$70,4,FALSE)</f>
        <v>0</v>
      </c>
      <c r="K1229" s="4">
        <f t="shared" si="266"/>
        <v>44904</v>
      </c>
      <c r="L1229" s="5">
        <f t="shared" si="267"/>
        <v>12</v>
      </c>
      <c r="M1229" s="5">
        <f t="shared" si="268"/>
        <v>2022</v>
      </c>
      <c r="N1229" s="6">
        <v>453.59999999999997</v>
      </c>
      <c r="O1229" s="6">
        <f>-N1229</f>
        <v>-453.59999999999997</v>
      </c>
      <c r="P1229" s="6">
        <f t="shared" si="262"/>
        <v>0</v>
      </c>
      <c r="Q1229" s="7">
        <f t="shared" si="263"/>
        <v>2238793.850000001</v>
      </c>
      <c r="R1229" s="44" t="str">
        <f>VLOOKUP(F1229,'Set up'!$A$2:$E$70,5,FALSE)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264"/>
        <v>12</v>
      </c>
      <c r="C1230" s="5">
        <f t="shared" si="265"/>
        <v>2022</v>
      </c>
      <c r="D1230" s="5" t="s">
        <v>1123</v>
      </c>
      <c r="E1230" s="5" t="str">
        <f>VLOOKUP(F1230,'Set up'!$A$2:$C$70,2,FALSE)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up'!$A$2:$C$70,3,FALSE)</f>
        <v>Cash</v>
      </c>
      <c r="J1230" s="5">
        <f>VLOOKUP(F1230,'Set up'!$A$2:$D$70,4,FALSE)</f>
        <v>0</v>
      </c>
      <c r="K1230" s="4">
        <f t="shared" si="266"/>
        <v>44908</v>
      </c>
      <c r="L1230" s="5">
        <f t="shared" si="267"/>
        <v>12</v>
      </c>
      <c r="M1230" s="5">
        <f t="shared" si="268"/>
        <v>2022</v>
      </c>
      <c r="N1230" s="6">
        <v>1936</v>
      </c>
      <c r="O1230" s="6">
        <f t="shared" ref="O1230:O1232" si="269">-N1230</f>
        <v>-1936</v>
      </c>
      <c r="P1230" s="6">
        <f t="shared" si="262"/>
        <v>0</v>
      </c>
      <c r="Q1230" s="7">
        <f t="shared" si="263"/>
        <v>2240729.850000001</v>
      </c>
      <c r="R1230" s="44" t="str">
        <f>VLOOKUP(F1230,'Set up'!$A$2:$E$70,5,FALSE)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264"/>
        <v>12</v>
      </c>
      <c r="C1231" s="5">
        <f t="shared" si="265"/>
        <v>2022</v>
      </c>
      <c r="D1231" s="5" t="s">
        <v>1123</v>
      </c>
      <c r="E1231" s="5" t="str">
        <f>VLOOKUP(F1231,'Set up'!$A$2:$C$70,2,FALSE)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up'!$A$2:$C$70,3,FALSE)</f>
        <v>Cash</v>
      </c>
      <c r="J1231" s="5">
        <f>VLOOKUP(F1231,'Set up'!$A$2:$D$70,4,FALSE)</f>
        <v>0</v>
      </c>
      <c r="K1231" s="4">
        <f t="shared" si="266"/>
        <v>44908</v>
      </c>
      <c r="L1231" s="5">
        <f t="shared" si="267"/>
        <v>12</v>
      </c>
      <c r="M1231" s="5">
        <f t="shared" si="268"/>
        <v>2022</v>
      </c>
      <c r="N1231" s="6">
        <v>801</v>
      </c>
      <c r="O1231" s="6">
        <f t="shared" si="269"/>
        <v>-801</v>
      </c>
      <c r="P1231" s="6">
        <f t="shared" si="262"/>
        <v>0</v>
      </c>
      <c r="Q1231" s="7">
        <f t="shared" si="263"/>
        <v>2241530.850000001</v>
      </c>
      <c r="R1231" s="44" t="str">
        <f>VLOOKUP(F1231,'Set up'!$A$2:$E$70,5,FALSE)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264"/>
        <v>12</v>
      </c>
      <c r="C1232" s="5">
        <f t="shared" si="265"/>
        <v>2022</v>
      </c>
      <c r="D1232" s="5" t="s">
        <v>1123</v>
      </c>
      <c r="E1232" s="5" t="str">
        <f>VLOOKUP(F1232,'Set up'!$A$2:$C$70,2,FALSE)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up'!$A$2:$C$70,3,FALSE)</f>
        <v>Cash</v>
      </c>
      <c r="J1232" s="5">
        <f>VLOOKUP(F1232,'Set up'!$A$2:$D$70,4,FALSE)</f>
        <v>0</v>
      </c>
      <c r="K1232" s="4">
        <f t="shared" si="266"/>
        <v>44908</v>
      </c>
      <c r="L1232" s="5">
        <f t="shared" si="267"/>
        <v>12</v>
      </c>
      <c r="M1232" s="5">
        <f t="shared" si="268"/>
        <v>2022</v>
      </c>
      <c r="N1232" s="6">
        <v>105</v>
      </c>
      <c r="O1232" s="6">
        <f t="shared" si="269"/>
        <v>-105</v>
      </c>
      <c r="P1232" s="6">
        <f t="shared" si="262"/>
        <v>0</v>
      </c>
      <c r="Q1232" s="7">
        <f t="shared" si="263"/>
        <v>2241635.850000001</v>
      </c>
      <c r="R1232" s="44" t="str">
        <f>VLOOKUP(F1232,'Set up'!$A$2:$E$70,5,FALSE)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264"/>
        <v>12</v>
      </c>
      <c r="C1233" s="5">
        <f t="shared" si="265"/>
        <v>2022</v>
      </c>
      <c r="D1233" s="5" t="s">
        <v>1125</v>
      </c>
      <c r="E1233" s="5" t="str">
        <f>VLOOKUP(F1233,'Set up'!$A$2:$C$70,2,FALSE)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up'!$A$2:$C$70,3,FALSE)</f>
        <v>Cash</v>
      </c>
      <c r="J1233" s="5">
        <f>VLOOKUP(F1233,'Set up'!$A$2:$D$70,4,FALSE)</f>
        <v>0</v>
      </c>
      <c r="K1233" s="4">
        <f t="shared" si="266"/>
        <v>44909</v>
      </c>
      <c r="L1233" s="5">
        <f t="shared" si="267"/>
        <v>12</v>
      </c>
      <c r="M1233" s="5">
        <f t="shared" si="268"/>
        <v>2022</v>
      </c>
      <c r="N1233" s="6">
        <v>1958</v>
      </c>
      <c r="O1233" s="6">
        <f t="shared" ref="O1233:O1234" si="270">-N1233</f>
        <v>-1958</v>
      </c>
      <c r="P1233" s="6">
        <f t="shared" si="262"/>
        <v>0</v>
      </c>
      <c r="Q1233" s="7">
        <f t="shared" si="263"/>
        <v>2243593.850000001</v>
      </c>
      <c r="R1233" s="44" t="str">
        <f>VLOOKUP(F1233,'Set up'!$A$2:$E$70,5,FALSE)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264"/>
        <v>12</v>
      </c>
      <c r="C1234" s="5">
        <f t="shared" si="265"/>
        <v>2022</v>
      </c>
      <c r="D1234" s="5" t="s">
        <v>1125</v>
      </c>
      <c r="E1234" s="5" t="str">
        <f>VLOOKUP(F1234,'Set up'!$A$2:$C$70,2,FALSE)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up'!$A$2:$C$70,3,FALSE)</f>
        <v>Cash</v>
      </c>
      <c r="J1234" s="5">
        <f>VLOOKUP(F1234,'Set up'!$A$2:$D$70,4,FALSE)</f>
        <v>0</v>
      </c>
      <c r="K1234" s="4">
        <f t="shared" si="266"/>
        <v>44909</v>
      </c>
      <c r="L1234" s="5">
        <f t="shared" si="267"/>
        <v>12</v>
      </c>
      <c r="M1234" s="5">
        <f t="shared" si="268"/>
        <v>2022</v>
      </c>
      <c r="N1234" s="6">
        <v>105</v>
      </c>
      <c r="O1234" s="6">
        <f t="shared" si="270"/>
        <v>-105</v>
      </c>
      <c r="P1234" s="6">
        <f t="shared" si="262"/>
        <v>0</v>
      </c>
      <c r="Q1234" s="7">
        <f t="shared" si="263"/>
        <v>2243698.850000001</v>
      </c>
      <c r="R1234" s="44" t="str">
        <f>VLOOKUP(F1234,'Set up'!$A$2:$E$70,5,FALSE)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264"/>
        <v>12</v>
      </c>
      <c r="C1235" s="5">
        <f t="shared" si="265"/>
        <v>2022</v>
      </c>
      <c r="D1235" s="5" t="s">
        <v>1127</v>
      </c>
      <c r="E1235" s="5" t="str">
        <f>VLOOKUP(F1235,'Set up'!$A$2:$C$70,2,FALSE)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up'!$A$2:$C$70,3,FALSE)</f>
        <v>Cash</v>
      </c>
      <c r="J1235" s="5">
        <f>VLOOKUP(F1235,'Set up'!$A$2:$D$70,4,FALSE)</f>
        <v>0</v>
      </c>
      <c r="K1235" s="4">
        <f t="shared" si="266"/>
        <v>44917</v>
      </c>
      <c r="L1235" s="5">
        <f t="shared" si="267"/>
        <v>12</v>
      </c>
      <c r="M1235" s="5">
        <f t="shared" si="268"/>
        <v>2022</v>
      </c>
      <c r="N1235" s="6">
        <v>16236</v>
      </c>
      <c r="O1235" s="6">
        <f>-11093.7-200-4942.3</f>
        <v>-16236</v>
      </c>
      <c r="P1235" s="6">
        <f t="shared" si="262"/>
        <v>0</v>
      </c>
      <c r="Q1235" s="7">
        <f t="shared" si="263"/>
        <v>2259934.850000001</v>
      </c>
      <c r="R1235" s="44" t="str">
        <f>VLOOKUP(F1235,'Set up'!$A$2:$E$70,5,FALSE)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264"/>
        <v>12</v>
      </c>
      <c r="C1236" s="5">
        <f t="shared" si="265"/>
        <v>2022</v>
      </c>
      <c r="D1236" s="5" t="s">
        <v>1127</v>
      </c>
      <c r="E1236" s="5" t="str">
        <f>VLOOKUP(F1236,'Set up'!$A$2:$C$70,2,FALSE)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up'!$A$2:$C$70,3,FALSE)</f>
        <v>Cash</v>
      </c>
      <c r="J1236" s="5">
        <f>VLOOKUP(F1236,'Set up'!$A$2:$D$70,4,FALSE)</f>
        <v>0</v>
      </c>
      <c r="K1236" s="4">
        <f t="shared" si="266"/>
        <v>44917</v>
      </c>
      <c r="L1236" s="5">
        <f t="shared" si="267"/>
        <v>12</v>
      </c>
      <c r="M1236" s="5">
        <f t="shared" si="268"/>
        <v>2022</v>
      </c>
      <c r="N1236" s="6">
        <v>10824</v>
      </c>
      <c r="O1236" s="6">
        <f>-N1236</f>
        <v>-10824</v>
      </c>
      <c r="P1236" s="6">
        <f t="shared" si="262"/>
        <v>0</v>
      </c>
      <c r="Q1236" s="7">
        <f t="shared" si="263"/>
        <v>2270758.850000001</v>
      </c>
      <c r="R1236" s="44" t="str">
        <f>VLOOKUP(F1236,'Set up'!$A$2:$E$70,5,FALSE)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264"/>
        <v>12</v>
      </c>
      <c r="C1237" s="5">
        <f t="shared" si="265"/>
        <v>2022</v>
      </c>
      <c r="D1237" s="5" t="s">
        <v>1127</v>
      </c>
      <c r="E1237" s="5" t="str">
        <f>VLOOKUP(F1237,'Set up'!$A$2:$C$70,2,FALSE)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up'!$A$2:$C$70,3,FALSE)</f>
        <v>Cash</v>
      </c>
      <c r="J1237" s="5">
        <f>VLOOKUP(F1237,'Set up'!$A$2:$D$70,4,FALSE)</f>
        <v>0</v>
      </c>
      <c r="K1237" s="4">
        <f t="shared" si="266"/>
        <v>44917</v>
      </c>
      <c r="L1237" s="5">
        <f t="shared" si="267"/>
        <v>12</v>
      </c>
      <c r="M1237" s="5">
        <f t="shared" si="268"/>
        <v>2022</v>
      </c>
      <c r="N1237" s="6">
        <v>10584</v>
      </c>
      <c r="O1237" s="6">
        <f>-4233.7-6350.3</f>
        <v>-10584</v>
      </c>
      <c r="P1237" s="6">
        <f t="shared" si="262"/>
        <v>0</v>
      </c>
      <c r="Q1237" s="7">
        <f t="shared" si="263"/>
        <v>2281342.850000001</v>
      </c>
      <c r="R1237" s="44" t="str">
        <f>VLOOKUP(F1237,'Set up'!$A$2:$E$70,5,FALSE)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264"/>
        <v>12</v>
      </c>
      <c r="C1238" s="5">
        <f t="shared" si="265"/>
        <v>2022</v>
      </c>
      <c r="D1238" s="5" t="s">
        <v>1127</v>
      </c>
      <c r="E1238" s="5" t="str">
        <f>VLOOKUP(F1238,'Set up'!$A$2:$C$70,2,FALSE)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up'!$A$2:$C$70,3,FALSE)</f>
        <v>Cash</v>
      </c>
      <c r="J1238" s="5">
        <f>VLOOKUP(F1238,'Set up'!$A$2:$D$70,4,FALSE)</f>
        <v>0</v>
      </c>
      <c r="K1238" s="4">
        <f t="shared" si="266"/>
        <v>44917</v>
      </c>
      <c r="L1238" s="5">
        <f t="shared" si="267"/>
        <v>12</v>
      </c>
      <c r="M1238" s="5">
        <f t="shared" si="268"/>
        <v>2022</v>
      </c>
      <c r="N1238" s="6">
        <v>5200</v>
      </c>
      <c r="O1238" s="6">
        <f>-3649.7-1550.3</f>
        <v>-5200</v>
      </c>
      <c r="P1238" s="6">
        <f t="shared" si="262"/>
        <v>0</v>
      </c>
      <c r="Q1238" s="7">
        <f t="shared" si="263"/>
        <v>2286542.850000001</v>
      </c>
      <c r="R1238" s="44" t="str">
        <f>VLOOKUP(F1238,'Set up'!$A$2:$E$70,5,FALSE)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264"/>
        <v>12</v>
      </c>
      <c r="C1239" s="5">
        <f t="shared" si="265"/>
        <v>2022</v>
      </c>
      <c r="D1239" s="5" t="s">
        <v>1127</v>
      </c>
      <c r="E1239" s="5" t="str">
        <f>VLOOKUP(F1239,'Set up'!$A$2:$C$70,2,FALSE)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up'!$A$2:$C$70,3,FALSE)</f>
        <v>Cash</v>
      </c>
      <c r="J1239" s="5">
        <f>VLOOKUP(F1239,'Set up'!$A$2:$D$70,4,FALSE)</f>
        <v>0</v>
      </c>
      <c r="K1239" s="4">
        <f t="shared" si="266"/>
        <v>44917</v>
      </c>
      <c r="L1239" s="5">
        <f t="shared" si="267"/>
        <v>12</v>
      </c>
      <c r="M1239" s="5">
        <f t="shared" si="268"/>
        <v>2022</v>
      </c>
      <c r="N1239" s="6">
        <v>937.5</v>
      </c>
      <c r="O1239" s="6">
        <f t="shared" ref="O1239:O1245" si="271">-N1239</f>
        <v>-937.5</v>
      </c>
      <c r="P1239" s="6">
        <f t="shared" si="262"/>
        <v>0</v>
      </c>
      <c r="Q1239" s="7">
        <f t="shared" si="263"/>
        <v>2287480.350000001</v>
      </c>
      <c r="R1239" s="44" t="str">
        <f>VLOOKUP(F1239,'Set up'!$A$2:$E$70,5,FALSE)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264"/>
        <v>12</v>
      </c>
      <c r="C1240" s="5">
        <f t="shared" si="265"/>
        <v>2022</v>
      </c>
      <c r="D1240" s="5" t="s">
        <v>1127</v>
      </c>
      <c r="E1240" s="5" t="str">
        <f>VLOOKUP(F1240,'Set up'!$A$2:$C$70,2,FALSE)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up'!$A$2:$C$70,3,FALSE)</f>
        <v>Cash</v>
      </c>
      <c r="J1240" s="5">
        <f>VLOOKUP(F1240,'Set up'!$A$2:$D$70,4,FALSE)</f>
        <v>0</v>
      </c>
      <c r="K1240" s="4">
        <f t="shared" si="266"/>
        <v>44917</v>
      </c>
      <c r="L1240" s="5">
        <f t="shared" si="267"/>
        <v>12</v>
      </c>
      <c r="M1240" s="5">
        <f t="shared" si="268"/>
        <v>2022</v>
      </c>
      <c r="N1240" s="6">
        <v>3000</v>
      </c>
      <c r="O1240" s="6">
        <f t="shared" si="271"/>
        <v>-3000</v>
      </c>
      <c r="P1240" s="6">
        <f t="shared" si="262"/>
        <v>0</v>
      </c>
      <c r="Q1240" s="7">
        <f t="shared" si="263"/>
        <v>2290480.350000001</v>
      </c>
      <c r="R1240" s="44" t="str">
        <f>VLOOKUP(F1240,'Set up'!$A$2:$E$70,5,FALSE)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264"/>
        <v>12</v>
      </c>
      <c r="C1241" s="5">
        <f t="shared" si="265"/>
        <v>2022</v>
      </c>
      <c r="D1241" s="5" t="s">
        <v>1127</v>
      </c>
      <c r="E1241" s="5" t="str">
        <f>VLOOKUP(F1241,'Set up'!$A$2:$C$70,2,FALSE)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up'!$A$2:$C$70,3,FALSE)</f>
        <v>Cash</v>
      </c>
      <c r="J1241" s="5">
        <f>VLOOKUP(F1241,'Set up'!$A$2:$D$70,4,FALSE)</f>
        <v>0</v>
      </c>
      <c r="K1241" s="4">
        <f t="shared" si="266"/>
        <v>44917</v>
      </c>
      <c r="L1241" s="5">
        <f t="shared" si="267"/>
        <v>12</v>
      </c>
      <c r="M1241" s="5">
        <f t="shared" si="268"/>
        <v>2022</v>
      </c>
      <c r="N1241" s="6">
        <v>840</v>
      </c>
      <c r="O1241" s="6">
        <f t="shared" si="271"/>
        <v>-840</v>
      </c>
      <c r="P1241" s="6">
        <f t="shared" si="262"/>
        <v>0</v>
      </c>
      <c r="Q1241" s="7">
        <f t="shared" si="263"/>
        <v>2291320.350000001</v>
      </c>
      <c r="R1241" s="44" t="str">
        <f>VLOOKUP(F1241,'Set up'!$A$2:$E$70,5,FALSE)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si="264"/>
        <v>12</v>
      </c>
      <c r="C1242" s="5">
        <f t="shared" si="265"/>
        <v>2022</v>
      </c>
      <c r="D1242" s="5" t="s">
        <v>1127</v>
      </c>
      <c r="E1242" s="5" t="str">
        <f>VLOOKUP(F1242,'Set up'!$A$2:$C$70,2,FALSE)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up'!$A$2:$C$70,3,FALSE)</f>
        <v>Cash</v>
      </c>
      <c r="J1242" s="5">
        <f>VLOOKUP(F1242,'Set up'!$A$2:$D$70,4,FALSE)</f>
        <v>0</v>
      </c>
      <c r="K1242" s="4">
        <f t="shared" si="266"/>
        <v>44917</v>
      </c>
      <c r="L1242" s="5">
        <f t="shared" si="267"/>
        <v>12</v>
      </c>
      <c r="M1242" s="5">
        <f t="shared" si="268"/>
        <v>2022</v>
      </c>
      <c r="N1242" s="6">
        <v>65</v>
      </c>
      <c r="O1242" s="6">
        <f t="shared" si="271"/>
        <v>-65</v>
      </c>
      <c r="P1242" s="6">
        <f t="shared" si="262"/>
        <v>0</v>
      </c>
      <c r="Q1242" s="7">
        <f t="shared" si="263"/>
        <v>2291385.350000001</v>
      </c>
      <c r="R1242" s="44" t="str">
        <f>VLOOKUP(F1242,'Set up'!$A$2:$E$70,5,FALSE)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264"/>
        <v>12</v>
      </c>
      <c r="C1243" s="5">
        <f t="shared" si="265"/>
        <v>2022</v>
      </c>
      <c r="D1243" s="5" t="s">
        <v>1128</v>
      </c>
      <c r="E1243" s="5" t="str">
        <f>VLOOKUP(F1243,'Set up'!$A$2:$C$70,2,FALSE)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up'!$A$2:$C$70,3,FALSE)</f>
        <v>Cash</v>
      </c>
      <c r="J1243" s="5">
        <f>VLOOKUP(F1243,'Set up'!$A$2:$D$70,4,FALSE)</f>
        <v>0</v>
      </c>
      <c r="K1243" s="4">
        <f t="shared" si="266"/>
        <v>44915</v>
      </c>
      <c r="L1243" s="5">
        <f t="shared" si="267"/>
        <v>12</v>
      </c>
      <c r="M1243" s="5">
        <f t="shared" si="268"/>
        <v>2022</v>
      </c>
      <c r="N1243" s="6">
        <v>1892</v>
      </c>
      <c r="O1243" s="6">
        <f t="shared" si="271"/>
        <v>-1892</v>
      </c>
      <c r="P1243" s="6">
        <f t="shared" si="262"/>
        <v>0</v>
      </c>
      <c r="Q1243" s="7">
        <f t="shared" si="263"/>
        <v>2293277.350000001</v>
      </c>
      <c r="R1243" s="44" t="str">
        <f>VLOOKUP(F1243,'Set up'!$A$2:$E$70,5,FALSE)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264"/>
        <v>12</v>
      </c>
      <c r="C1244" s="5">
        <f t="shared" si="265"/>
        <v>2022</v>
      </c>
      <c r="D1244" s="5" t="s">
        <v>1128</v>
      </c>
      <c r="E1244" s="5" t="str">
        <f>VLOOKUP(F1244,'Set up'!$A$2:$C$70,2,FALSE)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up'!$A$2:$C$70,3,FALSE)</f>
        <v>Cash</v>
      </c>
      <c r="J1244" s="5">
        <f>VLOOKUP(F1244,'Set up'!$A$2:$D$70,4,FALSE)</f>
        <v>0</v>
      </c>
      <c r="K1244" s="4">
        <f t="shared" si="266"/>
        <v>44915</v>
      </c>
      <c r="L1244" s="5">
        <f t="shared" si="267"/>
        <v>12</v>
      </c>
      <c r="M1244" s="5">
        <f t="shared" si="268"/>
        <v>2022</v>
      </c>
      <c r="N1244" s="6">
        <v>1020</v>
      </c>
      <c r="O1244" s="6">
        <f t="shared" si="271"/>
        <v>-1020</v>
      </c>
      <c r="P1244" s="6">
        <f t="shared" si="262"/>
        <v>0</v>
      </c>
      <c r="Q1244" s="7">
        <f t="shared" si="263"/>
        <v>2294297.350000001</v>
      </c>
      <c r="R1244" s="44" t="str">
        <f>VLOOKUP(F1244,'Set up'!$A$2:$E$70,5,FALSE)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264"/>
        <v>12</v>
      </c>
      <c r="C1245" s="5">
        <f t="shared" si="265"/>
        <v>2022</v>
      </c>
      <c r="D1245" s="5" t="s">
        <v>1128</v>
      </c>
      <c r="E1245" s="5" t="str">
        <f>VLOOKUP(F1245,'Set up'!$A$2:$C$70,2,FALSE)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up'!$A$2:$C$70,3,FALSE)</f>
        <v>Cash</v>
      </c>
      <c r="J1245" s="5">
        <f>VLOOKUP(F1245,'Set up'!$A$2:$D$70,4,FALSE)</f>
        <v>0</v>
      </c>
      <c r="K1245" s="4">
        <f t="shared" si="266"/>
        <v>44915</v>
      </c>
      <c r="L1245" s="5">
        <f t="shared" si="267"/>
        <v>12</v>
      </c>
      <c r="M1245" s="5">
        <f t="shared" si="268"/>
        <v>2022</v>
      </c>
      <c r="N1245" s="6">
        <v>420</v>
      </c>
      <c r="O1245" s="6">
        <f t="shared" si="271"/>
        <v>-420</v>
      </c>
      <c r="P1245" s="6">
        <f t="shared" si="262"/>
        <v>0</v>
      </c>
      <c r="Q1245" s="7">
        <f t="shared" si="263"/>
        <v>2294717.350000001</v>
      </c>
      <c r="R1245" s="44" t="str">
        <f>VLOOKUP(F1245,'Set up'!$A$2:$E$70,5,FALSE)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264"/>
        <v>12</v>
      </c>
      <c r="C1246" s="5">
        <f t="shared" si="265"/>
        <v>2022</v>
      </c>
      <c r="D1246" s="5" t="s">
        <v>1130</v>
      </c>
      <c r="E1246" s="5" t="str">
        <f>VLOOKUP(F1246,'Set up'!$A$2:$C$70,2,FALSE)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up'!$A$2:$C$70,3,FALSE)</f>
        <v>Cash</v>
      </c>
      <c r="J1246" s="5">
        <f>VLOOKUP(F1246,'Set up'!$A$2:$D$70,4,FALSE)</f>
        <v>0</v>
      </c>
      <c r="K1246" s="4">
        <f t="shared" si="266"/>
        <v>44917</v>
      </c>
      <c r="L1246" s="5">
        <f t="shared" si="267"/>
        <v>12</v>
      </c>
      <c r="M1246" s="5">
        <f t="shared" si="268"/>
        <v>2022</v>
      </c>
      <c r="N1246" s="6">
        <v>50</v>
      </c>
      <c r="O1246" s="6">
        <f t="shared" ref="O1246" si="272">-N1246</f>
        <v>-50</v>
      </c>
      <c r="P1246" s="6">
        <f t="shared" si="262"/>
        <v>0</v>
      </c>
      <c r="Q1246" s="7">
        <f t="shared" si="263"/>
        <v>2294767.350000001</v>
      </c>
      <c r="R1246" s="44" t="str">
        <f>VLOOKUP(F1246,'Set up'!$A$2:$E$70,5,FALSE)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264"/>
        <v>12</v>
      </c>
      <c r="C1247" s="5">
        <f t="shared" si="265"/>
        <v>2022</v>
      </c>
      <c r="D1247" s="5" t="s">
        <v>1133</v>
      </c>
      <c r="E1247" s="5" t="str">
        <f>VLOOKUP(F1247,'Set up'!$A$2:$C$70,2,FALSE)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up'!$A$2:$C$70,3,FALSE)</f>
        <v>Cash</v>
      </c>
      <c r="J1247" s="5">
        <f>VLOOKUP(F1247,'Set up'!$A$2:$D$70,4,FALSE)</f>
        <v>0</v>
      </c>
      <c r="K1247" s="4">
        <f t="shared" si="266"/>
        <v>44918</v>
      </c>
      <c r="L1247" s="5">
        <f t="shared" si="267"/>
        <v>12</v>
      </c>
      <c r="M1247" s="5">
        <f t="shared" si="268"/>
        <v>2022</v>
      </c>
      <c r="N1247" s="6">
        <v>3784</v>
      </c>
      <c r="O1247" s="6">
        <f>-1611.8-1500-672.2</f>
        <v>-3784</v>
      </c>
      <c r="P1247" s="6">
        <f t="shared" si="262"/>
        <v>0</v>
      </c>
      <c r="Q1247" s="7">
        <f t="shared" si="263"/>
        <v>2298551.350000001</v>
      </c>
      <c r="R1247" s="44" t="str">
        <f>VLOOKUP(F1247,'Set up'!$A$2:$E$70,5,FALSE)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264"/>
        <v>12</v>
      </c>
      <c r="C1248" s="5">
        <f t="shared" si="265"/>
        <v>2022</v>
      </c>
      <c r="D1248" s="5" t="s">
        <v>1133</v>
      </c>
      <c r="E1248" s="5" t="str">
        <f>VLOOKUP(F1248,'Set up'!$A$2:$C$70,2,FALSE)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up'!$A$2:$C$70,3,FALSE)</f>
        <v>Cash</v>
      </c>
      <c r="J1248" s="5">
        <f>VLOOKUP(F1248,'Set up'!$A$2:$D$70,4,FALSE)</f>
        <v>0</v>
      </c>
      <c r="K1248" s="4">
        <f t="shared" si="266"/>
        <v>44918</v>
      </c>
      <c r="L1248" s="5">
        <f t="shared" si="267"/>
        <v>12</v>
      </c>
      <c r="M1248" s="5">
        <f t="shared" si="268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263"/>
        <v>2299490.9500000011</v>
      </c>
      <c r="R1248" s="44" t="str">
        <f>VLOOKUP(F1248,'Set up'!$A$2:$E$70,5,FALSE)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264"/>
        <v>12</v>
      </c>
      <c r="C1249" s="5">
        <f t="shared" si="265"/>
        <v>2022</v>
      </c>
      <c r="D1249" s="5" t="s">
        <v>1133</v>
      </c>
      <c r="E1249" s="5" t="str">
        <f>VLOOKUP(F1249,'Set up'!$A$2:$C$70,2,FALSE)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up'!$A$2:$C$70,3,FALSE)</f>
        <v>Cash</v>
      </c>
      <c r="J1249" s="5">
        <f>VLOOKUP(F1249,'Set up'!$A$2:$D$70,4,FALSE)</f>
        <v>0</v>
      </c>
      <c r="K1249" s="4">
        <f t="shared" si="266"/>
        <v>44918</v>
      </c>
      <c r="L1249" s="5">
        <f t="shared" si="267"/>
        <v>12</v>
      </c>
      <c r="M1249" s="5">
        <f t="shared" si="268"/>
        <v>2022</v>
      </c>
      <c r="N1249" s="6">
        <v>312.5</v>
      </c>
      <c r="O1249" s="6">
        <f t="shared" ref="O1249:O1255" si="273">-N1249</f>
        <v>-312.5</v>
      </c>
      <c r="P1249" s="6">
        <f t="shared" si="262"/>
        <v>0</v>
      </c>
      <c r="Q1249" s="7">
        <f t="shared" si="263"/>
        <v>2299803.4500000011</v>
      </c>
      <c r="R1249" s="44" t="str">
        <f>VLOOKUP(F1249,'Set up'!$A$2:$E$70,5,FALSE)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264"/>
        <v>12</v>
      </c>
      <c r="C1250" s="5">
        <f t="shared" si="265"/>
        <v>2022</v>
      </c>
      <c r="D1250" s="5" t="s">
        <v>1133</v>
      </c>
      <c r="E1250" s="5" t="str">
        <f>VLOOKUP(F1250,'Set up'!$A$2:$C$70,2,FALSE)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up'!$A$2:$C$70,3,FALSE)</f>
        <v>Cash</v>
      </c>
      <c r="J1250" s="5">
        <f>VLOOKUP(F1250,'Set up'!$A$2:$D$70,4,FALSE)</f>
        <v>0</v>
      </c>
      <c r="K1250" s="4">
        <f t="shared" si="266"/>
        <v>44918</v>
      </c>
      <c r="L1250" s="5">
        <f t="shared" si="267"/>
        <v>12</v>
      </c>
      <c r="M1250" s="5">
        <f t="shared" si="268"/>
        <v>2022</v>
      </c>
      <c r="N1250" s="6">
        <v>210</v>
      </c>
      <c r="O1250" s="6">
        <f t="shared" si="273"/>
        <v>-210</v>
      </c>
      <c r="P1250" s="6">
        <f t="shared" si="262"/>
        <v>0</v>
      </c>
      <c r="Q1250" s="7">
        <f t="shared" si="263"/>
        <v>2300013.4500000011</v>
      </c>
      <c r="R1250" s="44" t="str">
        <f>VLOOKUP(F1250,'Set up'!$A$2:$E$70,5,FALSE)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264"/>
        <v>12</v>
      </c>
      <c r="C1251" s="5">
        <f t="shared" si="265"/>
        <v>2022</v>
      </c>
      <c r="D1251" s="5" t="s">
        <v>1133</v>
      </c>
      <c r="E1251" s="5" t="str">
        <f>VLOOKUP(F1251,'Set up'!$A$2:$C$70,2,FALSE)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up'!$A$2:$C$70,3,FALSE)</f>
        <v>Cash</v>
      </c>
      <c r="J1251" s="5">
        <f>VLOOKUP(F1251,'Set up'!$A$2:$D$70,4,FALSE)</f>
        <v>0</v>
      </c>
      <c r="K1251" s="4">
        <f t="shared" si="266"/>
        <v>44918</v>
      </c>
      <c r="L1251" s="5">
        <f t="shared" si="267"/>
        <v>12</v>
      </c>
      <c r="M1251" s="5">
        <f t="shared" si="268"/>
        <v>2022</v>
      </c>
      <c r="N1251" s="6">
        <v>440</v>
      </c>
      <c r="O1251" s="6">
        <f t="shared" si="273"/>
        <v>-440</v>
      </c>
      <c r="P1251" s="6">
        <f t="shared" si="262"/>
        <v>0</v>
      </c>
      <c r="Q1251" s="7">
        <f t="shared" si="263"/>
        <v>2300453.4500000011</v>
      </c>
      <c r="R1251" s="44" t="str">
        <f>VLOOKUP(F1251,'Set up'!$A$2:$E$70,5,FALSE)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264"/>
        <v>12</v>
      </c>
      <c r="C1252" s="5">
        <f t="shared" si="265"/>
        <v>2022</v>
      </c>
      <c r="D1252" s="5" t="s">
        <v>1133</v>
      </c>
      <c r="E1252" s="5" t="str">
        <f>VLOOKUP(F1252,'Set up'!$A$2:$C$70,2,FALSE)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up'!$A$2:$C$70,3,FALSE)</f>
        <v>Cash</v>
      </c>
      <c r="J1252" s="5">
        <f>VLOOKUP(F1252,'Set up'!$A$2:$D$70,4,FALSE)</f>
        <v>0</v>
      </c>
      <c r="K1252" s="4">
        <f t="shared" si="266"/>
        <v>44918</v>
      </c>
      <c r="L1252" s="5">
        <f t="shared" si="267"/>
        <v>12</v>
      </c>
      <c r="M1252" s="5">
        <f t="shared" si="268"/>
        <v>2022</v>
      </c>
      <c r="N1252" s="6">
        <v>450</v>
      </c>
      <c r="O1252" s="6">
        <f t="shared" si="273"/>
        <v>-450</v>
      </c>
      <c r="P1252" s="6">
        <f t="shared" si="262"/>
        <v>0</v>
      </c>
      <c r="Q1252" s="7">
        <f t="shared" si="263"/>
        <v>2300903.4500000011</v>
      </c>
      <c r="R1252" s="44" t="str">
        <f>VLOOKUP(F1252,'Set up'!$A$2:$E$70,5,FALSE)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264"/>
        <v>12</v>
      </c>
      <c r="C1253" s="5">
        <f t="shared" si="265"/>
        <v>2022</v>
      </c>
      <c r="D1253" s="5" t="s">
        <v>1135</v>
      </c>
      <c r="E1253" s="5" t="str">
        <f>VLOOKUP(F1253,'Set up'!$A$2:$C$70,2,FALSE)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up'!$A$2:$C$70,3,FALSE)</f>
        <v>Cash</v>
      </c>
      <c r="J1253" s="5">
        <f>VLOOKUP(F1253,'Set up'!$A$2:$D$70,4,FALSE)</f>
        <v>0</v>
      </c>
      <c r="K1253" s="4">
        <f t="shared" si="266"/>
        <v>44919</v>
      </c>
      <c r="L1253" s="5">
        <f t="shared" si="267"/>
        <v>12</v>
      </c>
      <c r="M1253" s="5">
        <f t="shared" si="268"/>
        <v>2022</v>
      </c>
      <c r="N1253" s="6">
        <v>1936</v>
      </c>
      <c r="O1253" s="6">
        <f t="shared" si="273"/>
        <v>-1936</v>
      </c>
      <c r="P1253" s="6">
        <f t="shared" si="262"/>
        <v>0</v>
      </c>
      <c r="Q1253" s="7">
        <f t="shared" si="263"/>
        <v>2302839.4500000011</v>
      </c>
      <c r="R1253" s="44" t="str">
        <f>VLOOKUP(F1253,'Set up'!$A$2:$E$70,5,FALSE)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264"/>
        <v>12</v>
      </c>
      <c r="C1254" s="5">
        <f t="shared" si="265"/>
        <v>2022</v>
      </c>
      <c r="D1254" s="5" t="s">
        <v>1135</v>
      </c>
      <c r="E1254" s="5" t="str">
        <f>VLOOKUP(F1254,'Set up'!$A$2:$C$70,2,FALSE)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up'!$A$2:$C$70,3,FALSE)</f>
        <v>Cash</v>
      </c>
      <c r="J1254" s="5">
        <f>VLOOKUP(F1254,'Set up'!$A$2:$D$70,4,FALSE)</f>
        <v>0</v>
      </c>
      <c r="K1254" s="4">
        <f t="shared" si="266"/>
        <v>44919</v>
      </c>
      <c r="L1254" s="5">
        <f t="shared" si="267"/>
        <v>12</v>
      </c>
      <c r="M1254" s="5">
        <f t="shared" si="268"/>
        <v>2022</v>
      </c>
      <c r="N1254" s="6">
        <v>801</v>
      </c>
      <c r="O1254" s="6">
        <f t="shared" si="273"/>
        <v>-801</v>
      </c>
      <c r="P1254" s="6">
        <f t="shared" si="262"/>
        <v>0</v>
      </c>
      <c r="Q1254" s="7">
        <f t="shared" si="263"/>
        <v>2303640.4500000011</v>
      </c>
      <c r="R1254" s="44" t="str">
        <f>VLOOKUP(F1254,'Set up'!$A$2:$E$70,5,FALSE)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si="264"/>
        <v>12</v>
      </c>
      <c r="C1255" s="5">
        <f t="shared" si="265"/>
        <v>2022</v>
      </c>
      <c r="D1255" s="5" t="s">
        <v>1135</v>
      </c>
      <c r="E1255" s="5" t="str">
        <f>VLOOKUP(F1255,'Set up'!$A$2:$C$70,2,FALSE)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up'!$A$2:$C$70,3,FALSE)</f>
        <v>Cash</v>
      </c>
      <c r="J1255" s="5">
        <f>VLOOKUP(F1255,'Set up'!$A$2:$D$70,4,FALSE)</f>
        <v>0</v>
      </c>
      <c r="K1255" s="4">
        <f t="shared" si="266"/>
        <v>44919</v>
      </c>
      <c r="L1255" s="5">
        <f t="shared" si="267"/>
        <v>12</v>
      </c>
      <c r="M1255" s="5">
        <f t="shared" si="268"/>
        <v>2022</v>
      </c>
      <c r="N1255" s="6">
        <v>105</v>
      </c>
      <c r="O1255" s="6">
        <f t="shared" si="273"/>
        <v>-105</v>
      </c>
      <c r="P1255" s="6">
        <f t="shared" si="262"/>
        <v>0</v>
      </c>
      <c r="Q1255" s="7">
        <f t="shared" si="263"/>
        <v>2303745.4500000011</v>
      </c>
      <c r="R1255" s="44" t="str">
        <f>VLOOKUP(F1255,'Set up'!$A$2:$E$70,5,FALSE)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si="264"/>
        <v>12</v>
      </c>
      <c r="C1256" s="5">
        <f t="shared" si="265"/>
        <v>2022</v>
      </c>
      <c r="D1256" s="5" t="s">
        <v>1137</v>
      </c>
      <c r="E1256" s="5" t="str">
        <f>VLOOKUP(F1256,'Set up'!$A$2:$C$70,2,FALSE)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up'!$A$2:$C$70,3,FALSE)</f>
        <v>120</v>
      </c>
      <c r="J1256" s="5">
        <f>VLOOKUP(F1256,'Set up'!$A$2:$D$70,4,FALSE)</f>
        <v>120</v>
      </c>
      <c r="K1256" s="4">
        <f t="shared" si="266"/>
        <v>45042</v>
      </c>
      <c r="L1256" s="5">
        <f t="shared" si="267"/>
        <v>4</v>
      </c>
      <c r="M1256" s="5">
        <f t="shared" si="268"/>
        <v>2023</v>
      </c>
      <c r="N1256" s="6">
        <v>10032</v>
      </c>
      <c r="O1256" s="6">
        <f t="shared" ref="O1256:O1262" si="274">-N1256</f>
        <v>-10032</v>
      </c>
      <c r="P1256" s="6">
        <f t="shared" si="262"/>
        <v>0</v>
      </c>
      <c r="Q1256" s="7">
        <f t="shared" si="263"/>
        <v>2313777.4500000011</v>
      </c>
      <c r="R1256" s="44" t="str">
        <f>VLOOKUP(F1256,'Set up'!$A$2:$E$70,5,FALSE)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264"/>
        <v>12</v>
      </c>
      <c r="C1257" s="5">
        <f t="shared" si="265"/>
        <v>2022</v>
      </c>
      <c r="D1257" s="5" t="s">
        <v>1137</v>
      </c>
      <c r="E1257" s="5" t="str">
        <f>VLOOKUP(F1257,'Set up'!$A$2:$C$70,2,FALSE)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up'!$A$2:$C$70,3,FALSE)</f>
        <v>120</v>
      </c>
      <c r="J1257" s="5">
        <f>VLOOKUP(F1257,'Set up'!$A$2:$D$70,4,FALSE)</f>
        <v>120</v>
      </c>
      <c r="K1257" s="4">
        <f t="shared" si="266"/>
        <v>45042</v>
      </c>
      <c r="L1257" s="5">
        <f t="shared" si="267"/>
        <v>4</v>
      </c>
      <c r="M1257" s="5">
        <f t="shared" si="268"/>
        <v>2023</v>
      </c>
      <c r="N1257" s="6">
        <v>2250</v>
      </c>
      <c r="O1257" s="6">
        <f t="shared" si="274"/>
        <v>-2250</v>
      </c>
      <c r="P1257" s="6">
        <f t="shared" si="262"/>
        <v>0</v>
      </c>
      <c r="Q1257" s="7">
        <f t="shared" si="263"/>
        <v>2316027.4500000011</v>
      </c>
      <c r="R1257" s="44" t="str">
        <f>VLOOKUP(F1257,'Set up'!$A$2:$E$70,5,FALSE)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264"/>
        <v>12</v>
      </c>
      <c r="C1258" s="5">
        <f t="shared" si="265"/>
        <v>2022</v>
      </c>
      <c r="D1258" s="5" t="s">
        <v>1137</v>
      </c>
      <c r="E1258" s="5" t="str">
        <f>VLOOKUP(F1258,'Set up'!$A$2:$C$70,2,FALSE)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up'!$A$2:$C$70,3,FALSE)</f>
        <v>120</v>
      </c>
      <c r="J1258" s="5">
        <f>VLOOKUP(F1258,'Set up'!$A$2:$D$70,4,FALSE)</f>
        <v>120</v>
      </c>
      <c r="K1258" s="4">
        <f t="shared" si="266"/>
        <v>45042</v>
      </c>
      <c r="L1258" s="5">
        <f t="shared" si="267"/>
        <v>4</v>
      </c>
      <c r="M1258" s="5">
        <f t="shared" si="268"/>
        <v>2023</v>
      </c>
      <c r="N1258" s="6">
        <v>575</v>
      </c>
      <c r="O1258" s="6">
        <f t="shared" si="274"/>
        <v>-575</v>
      </c>
      <c r="P1258" s="6">
        <f t="shared" si="262"/>
        <v>0</v>
      </c>
      <c r="Q1258" s="7">
        <f t="shared" si="263"/>
        <v>2316602.4500000011</v>
      </c>
      <c r="R1258" s="44" t="str">
        <f>VLOOKUP(F1258,'Set up'!$A$2:$E$70,5,FALSE)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264"/>
        <v>12</v>
      </c>
      <c r="C1259" s="5">
        <f t="shared" si="265"/>
        <v>2022</v>
      </c>
      <c r="D1259" s="5" t="s">
        <v>1137</v>
      </c>
      <c r="E1259" s="5" t="str">
        <f>VLOOKUP(F1259,'Set up'!$A$2:$C$70,2,FALSE)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up'!$A$2:$C$70,3,FALSE)</f>
        <v>120</v>
      </c>
      <c r="J1259" s="5">
        <f>VLOOKUP(F1259,'Set up'!$A$2:$D$70,4,FALSE)</f>
        <v>120</v>
      </c>
      <c r="K1259" s="4">
        <f t="shared" si="266"/>
        <v>45042</v>
      </c>
      <c r="L1259" s="5">
        <f t="shared" si="267"/>
        <v>4</v>
      </c>
      <c r="M1259" s="5">
        <f t="shared" si="268"/>
        <v>2023</v>
      </c>
      <c r="N1259" s="6">
        <v>420</v>
      </c>
      <c r="O1259" s="6">
        <f t="shared" si="274"/>
        <v>-420</v>
      </c>
      <c r="P1259" s="6">
        <f t="shared" si="262"/>
        <v>0</v>
      </c>
      <c r="Q1259" s="7">
        <f t="shared" si="263"/>
        <v>2317022.4500000011</v>
      </c>
      <c r="R1259" s="44" t="str">
        <f>VLOOKUP(F1259,'Set up'!$A$2:$E$70,5,FALSE)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264"/>
        <v>12</v>
      </c>
      <c r="C1260" s="5">
        <f t="shared" si="265"/>
        <v>2022</v>
      </c>
      <c r="D1260" s="5" t="s">
        <v>1137</v>
      </c>
      <c r="E1260" s="5" t="str">
        <f>VLOOKUP(F1260,'Set up'!$A$2:$C$70,2,FALSE)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up'!$A$2:$C$70,3,FALSE)</f>
        <v>120</v>
      </c>
      <c r="J1260" s="5">
        <f>VLOOKUP(F1260,'Set up'!$A$2:$D$70,4,FALSE)</f>
        <v>120</v>
      </c>
      <c r="K1260" s="4">
        <f t="shared" si="266"/>
        <v>45042</v>
      </c>
      <c r="L1260" s="5">
        <f t="shared" si="267"/>
        <v>4</v>
      </c>
      <c r="M1260" s="5">
        <f t="shared" si="268"/>
        <v>2023</v>
      </c>
      <c r="N1260" s="6">
        <v>200</v>
      </c>
      <c r="O1260" s="6">
        <f t="shared" si="274"/>
        <v>-200</v>
      </c>
      <c r="P1260" s="6">
        <f t="shared" si="262"/>
        <v>0</v>
      </c>
      <c r="Q1260" s="7">
        <f t="shared" si="263"/>
        <v>2317222.4500000011</v>
      </c>
      <c r="R1260" s="44" t="str">
        <f>VLOOKUP(F1260,'Set up'!$A$2:$E$70,5,FALSE)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264"/>
        <v>12</v>
      </c>
      <c r="C1261" s="5">
        <f t="shared" si="265"/>
        <v>2022</v>
      </c>
      <c r="D1261" s="5" t="s">
        <v>1137</v>
      </c>
      <c r="E1261" s="5" t="str">
        <f>VLOOKUP(F1261,'Set up'!$A$2:$C$70,2,FALSE)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up'!$A$2:$C$70,3,FALSE)</f>
        <v>120</v>
      </c>
      <c r="J1261" s="5">
        <f>VLOOKUP(F1261,'Set up'!$A$2:$D$70,4,FALSE)</f>
        <v>120</v>
      </c>
      <c r="K1261" s="4">
        <f t="shared" si="266"/>
        <v>45042</v>
      </c>
      <c r="L1261" s="5">
        <f t="shared" si="267"/>
        <v>4</v>
      </c>
      <c r="M1261" s="5">
        <f t="shared" si="268"/>
        <v>2023</v>
      </c>
      <c r="N1261" s="6">
        <v>330</v>
      </c>
      <c r="O1261" s="6">
        <f t="shared" si="274"/>
        <v>-330</v>
      </c>
      <c r="P1261" s="6">
        <f t="shared" si="262"/>
        <v>0</v>
      </c>
      <c r="Q1261" s="7">
        <f t="shared" si="263"/>
        <v>2317552.4500000011</v>
      </c>
      <c r="R1261" s="44" t="str">
        <f>VLOOKUP(F1261,'Set up'!$A$2:$E$70,5,FALSE)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264"/>
        <v>12</v>
      </c>
      <c r="C1262" s="5">
        <f t="shared" si="265"/>
        <v>2022</v>
      </c>
      <c r="D1262" s="5" t="s">
        <v>1137</v>
      </c>
      <c r="E1262" s="5" t="str">
        <f>VLOOKUP(F1262,'Set up'!$A$2:$C$70,2,FALSE)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up'!$A$2:$C$70,3,FALSE)</f>
        <v>120</v>
      </c>
      <c r="J1262" s="5">
        <f>VLOOKUP(F1262,'Set up'!$A$2:$D$70,4,FALSE)</f>
        <v>120</v>
      </c>
      <c r="K1262" s="4">
        <f t="shared" si="266"/>
        <v>45042</v>
      </c>
      <c r="L1262" s="5">
        <f t="shared" si="267"/>
        <v>4</v>
      </c>
      <c r="M1262" s="5">
        <f t="shared" si="268"/>
        <v>2023</v>
      </c>
      <c r="N1262" s="6">
        <v>420</v>
      </c>
      <c r="O1262" s="6">
        <f t="shared" si="274"/>
        <v>-420</v>
      </c>
      <c r="P1262" s="6">
        <f t="shared" si="262"/>
        <v>0</v>
      </c>
      <c r="Q1262" s="7">
        <f t="shared" si="263"/>
        <v>2317972.4500000011</v>
      </c>
      <c r="R1262" s="44" t="str">
        <f>VLOOKUP(F1262,'Set up'!$A$2:$E$70,5,FALSE)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264"/>
        <v>12</v>
      </c>
      <c r="C1263" s="5">
        <f t="shared" si="265"/>
        <v>2022</v>
      </c>
      <c r="D1263" s="5" t="s">
        <v>1138</v>
      </c>
      <c r="E1263" s="5" t="str">
        <f>VLOOKUP(F1263,'Set up'!$A$2:$C$70,2,FALSE)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up'!$A$2:$C$70,3,FALSE)</f>
        <v>Cash</v>
      </c>
      <c r="J1263" s="5">
        <f>VLOOKUP(F1263,'Set up'!$A$2:$D$70,4,FALSE)</f>
        <v>0</v>
      </c>
      <c r="K1263" s="4">
        <f t="shared" si="266"/>
        <v>44923</v>
      </c>
      <c r="L1263" s="5">
        <f t="shared" si="267"/>
        <v>12</v>
      </c>
      <c r="M1263" s="5">
        <f t="shared" si="268"/>
        <v>2022</v>
      </c>
      <c r="N1263" s="6">
        <v>1008</v>
      </c>
      <c r="O1263" s="6">
        <f>-N1263</f>
        <v>-1008</v>
      </c>
      <c r="P1263" s="6">
        <f t="shared" si="262"/>
        <v>0</v>
      </c>
      <c r="Q1263" s="7">
        <f t="shared" si="263"/>
        <v>2318980.4500000011</v>
      </c>
      <c r="R1263" s="44" t="str">
        <f>VLOOKUP(F1263,'Set up'!$A$2:$E$70,5,FALSE)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264"/>
        <v>12</v>
      </c>
      <c r="C1264" s="5">
        <f t="shared" si="265"/>
        <v>2022</v>
      </c>
      <c r="D1264" s="5" t="s">
        <v>1139</v>
      </c>
      <c r="E1264" s="5" t="str">
        <f>VLOOKUP(F1264,'Set up'!$A$2:$C$70,2,FALSE)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up'!$A$2:$C$70,3,FALSE)</f>
        <v>Cash</v>
      </c>
      <c r="J1264" s="5">
        <f>VLOOKUP(F1264,'Set up'!$A$2:$D$70,4,FALSE)</f>
        <v>0</v>
      </c>
      <c r="K1264" s="4">
        <f t="shared" si="266"/>
        <v>44925</v>
      </c>
      <c r="L1264" s="5">
        <f t="shared" si="267"/>
        <v>12</v>
      </c>
      <c r="M1264" s="5">
        <f t="shared" si="268"/>
        <v>2022</v>
      </c>
      <c r="N1264" s="6">
        <v>12628</v>
      </c>
      <c r="O1264" s="6">
        <f>-1607.2-7310-3710.8</f>
        <v>-12628</v>
      </c>
      <c r="P1264" s="6">
        <f t="shared" si="262"/>
        <v>0</v>
      </c>
      <c r="Q1264" s="7">
        <f t="shared" si="263"/>
        <v>2331608.4500000011</v>
      </c>
      <c r="R1264" s="44" t="str">
        <f>VLOOKUP(F1264,'Set up'!$A$2:$E$70,5,FALSE)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264"/>
        <v>12</v>
      </c>
      <c r="C1265" s="5">
        <f t="shared" si="265"/>
        <v>2022</v>
      </c>
      <c r="D1265" s="5" t="s">
        <v>1139</v>
      </c>
      <c r="E1265" s="5" t="str">
        <f>VLOOKUP(F1265,'Set up'!$A$2:$C$70,2,FALSE)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up'!$A$2:$C$70,3,FALSE)</f>
        <v>Cash</v>
      </c>
      <c r="J1265" s="5">
        <f>VLOOKUP(F1265,'Set up'!$A$2:$D$70,4,FALSE)</f>
        <v>0</v>
      </c>
      <c r="K1265" s="4">
        <f t="shared" si="266"/>
        <v>44925</v>
      </c>
      <c r="L1265" s="5">
        <f t="shared" si="267"/>
        <v>12</v>
      </c>
      <c r="M1265" s="5">
        <f t="shared" si="268"/>
        <v>2022</v>
      </c>
      <c r="N1265" s="6">
        <v>5040</v>
      </c>
      <c r="O1265" s="6">
        <f>-2147.2-2892.8</f>
        <v>-5040</v>
      </c>
      <c r="P1265" s="6">
        <f t="shared" si="262"/>
        <v>0</v>
      </c>
      <c r="Q1265" s="7">
        <f t="shared" si="263"/>
        <v>2336648.4500000011</v>
      </c>
      <c r="R1265" s="44" t="str">
        <f>VLOOKUP(F1265,'Set up'!$A$2:$E$70,5,FALSE)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264"/>
        <v>12</v>
      </c>
      <c r="C1266" s="5">
        <f t="shared" si="265"/>
        <v>2022</v>
      </c>
      <c r="D1266" s="5" t="s">
        <v>1139</v>
      </c>
      <c r="E1266" s="5" t="str">
        <f>VLOOKUP(F1266,'Set up'!$A$2:$C$70,2,FALSE)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up'!$A$2:$C$70,3,FALSE)</f>
        <v>Cash</v>
      </c>
      <c r="J1266" s="5">
        <f>VLOOKUP(F1266,'Set up'!$A$2:$D$70,4,FALSE)</f>
        <v>0</v>
      </c>
      <c r="K1266" s="4">
        <f t="shared" si="266"/>
        <v>44925</v>
      </c>
      <c r="L1266" s="5">
        <f t="shared" si="267"/>
        <v>12</v>
      </c>
      <c r="M1266" s="5">
        <f t="shared" si="268"/>
        <v>2022</v>
      </c>
      <c r="N1266" s="6">
        <v>2340</v>
      </c>
      <c r="O1266" s="6">
        <f t="shared" ref="O1266:O1269" si="275">-N1266</f>
        <v>-2340</v>
      </c>
      <c r="P1266" s="6">
        <f t="shared" si="262"/>
        <v>0</v>
      </c>
      <c r="Q1266" s="7">
        <f t="shared" si="263"/>
        <v>2338988.4500000011</v>
      </c>
      <c r="R1266" s="44" t="str">
        <f>VLOOKUP(F1266,'Set up'!$A$2:$E$70,5,FALSE)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264"/>
        <v>12</v>
      </c>
      <c r="C1267" s="5">
        <f t="shared" si="265"/>
        <v>2022</v>
      </c>
      <c r="D1267" s="5" t="s">
        <v>1139</v>
      </c>
      <c r="E1267" s="5" t="str">
        <f>VLOOKUP(F1267,'Set up'!$A$2:$C$70,2,FALSE)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up'!$A$2:$C$70,3,FALSE)</f>
        <v>Cash</v>
      </c>
      <c r="J1267" s="5">
        <f>VLOOKUP(F1267,'Set up'!$A$2:$D$70,4,FALSE)</f>
        <v>0</v>
      </c>
      <c r="K1267" s="4">
        <f t="shared" si="266"/>
        <v>44925</v>
      </c>
      <c r="L1267" s="5">
        <f t="shared" si="267"/>
        <v>12</v>
      </c>
      <c r="M1267" s="5">
        <f t="shared" si="268"/>
        <v>2022</v>
      </c>
      <c r="N1267" s="6">
        <v>312.5</v>
      </c>
      <c r="O1267" s="6">
        <f t="shared" si="275"/>
        <v>-312.5</v>
      </c>
      <c r="P1267" s="6">
        <f t="shared" si="262"/>
        <v>0</v>
      </c>
      <c r="Q1267" s="7">
        <f t="shared" si="263"/>
        <v>2339300.9500000011</v>
      </c>
      <c r="R1267" s="44" t="str">
        <f>VLOOKUP(F1267,'Set up'!$A$2:$E$70,5,FALSE)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si="264"/>
        <v>12</v>
      </c>
      <c r="C1268" s="5">
        <f t="shared" si="265"/>
        <v>2022</v>
      </c>
      <c r="D1268" s="5" t="s">
        <v>1139</v>
      </c>
      <c r="E1268" s="5" t="str">
        <f>VLOOKUP(F1268,'Set up'!$A$2:$C$70,2,FALSE)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up'!$A$2:$C$70,3,FALSE)</f>
        <v>Cash</v>
      </c>
      <c r="J1268" s="5">
        <f>VLOOKUP(F1268,'Set up'!$A$2:$D$70,4,FALSE)</f>
        <v>0</v>
      </c>
      <c r="K1268" s="4">
        <f t="shared" si="266"/>
        <v>44925</v>
      </c>
      <c r="L1268" s="5">
        <f t="shared" si="267"/>
        <v>12</v>
      </c>
      <c r="M1268" s="5">
        <f t="shared" si="268"/>
        <v>2022</v>
      </c>
      <c r="N1268" s="6">
        <v>1000</v>
      </c>
      <c r="O1268" s="6">
        <f t="shared" si="275"/>
        <v>-1000</v>
      </c>
      <c r="P1268" s="6">
        <f t="shared" si="262"/>
        <v>0</v>
      </c>
      <c r="Q1268" s="7">
        <f t="shared" si="263"/>
        <v>2340300.9500000011</v>
      </c>
      <c r="R1268" s="44" t="str">
        <f>VLOOKUP(F1268,'Set up'!$A$2:$E$70,5,FALSE)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264"/>
        <v>12</v>
      </c>
      <c r="C1269" s="5">
        <f t="shared" si="265"/>
        <v>2022</v>
      </c>
      <c r="D1269" s="5" t="s">
        <v>1139</v>
      </c>
      <c r="E1269" s="5" t="str">
        <f>VLOOKUP(F1269,'Set up'!$A$2:$C$70,2,FALSE)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up'!$A$2:$C$70,3,FALSE)</f>
        <v>Cash</v>
      </c>
      <c r="J1269" s="5">
        <f>VLOOKUP(F1269,'Set up'!$A$2:$D$70,4,FALSE)</f>
        <v>0</v>
      </c>
      <c r="K1269" s="4">
        <f t="shared" si="266"/>
        <v>44925</v>
      </c>
      <c r="L1269" s="5">
        <f t="shared" si="267"/>
        <v>12</v>
      </c>
      <c r="M1269" s="5">
        <f t="shared" si="268"/>
        <v>2022</v>
      </c>
      <c r="N1269" s="6">
        <v>420</v>
      </c>
      <c r="O1269" s="6">
        <f t="shared" si="275"/>
        <v>-420</v>
      </c>
      <c r="P1269" s="6">
        <f t="shared" si="262"/>
        <v>0</v>
      </c>
      <c r="Q1269" s="7">
        <f t="shared" si="263"/>
        <v>2340720.9500000011</v>
      </c>
      <c r="R1269" s="44" t="str">
        <f>VLOOKUP(F1269,'Set up'!$A$2:$E$70,5,FALSE)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si="264"/>
        <v>1</v>
      </c>
      <c r="C1270" s="5">
        <f t="shared" si="265"/>
        <v>2023</v>
      </c>
      <c r="D1270" s="5" t="s">
        <v>1167</v>
      </c>
      <c r="E1270" s="5" t="str">
        <f>VLOOKUP(F1270,'Set up'!$A$2:$C$70,2,FALSE)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up'!$A$2:$C$70,3,FALSE)</f>
        <v>Cash</v>
      </c>
      <c r="J1270" s="5">
        <f>VLOOKUP(F1270,'Set up'!$A$2:$D$70,4,FALSE)</f>
        <v>0</v>
      </c>
      <c r="K1270" s="4">
        <f t="shared" si="266"/>
        <v>44931</v>
      </c>
      <c r="L1270" s="5">
        <f t="shared" si="267"/>
        <v>1</v>
      </c>
      <c r="M1270" s="5">
        <f t="shared" si="268"/>
        <v>2023</v>
      </c>
      <c r="N1270" s="6">
        <v>17380</v>
      </c>
      <c r="O1270" s="6">
        <f>-4696.7-9000-3683.3</f>
        <v>-17380</v>
      </c>
      <c r="P1270" s="6">
        <f t="shared" si="262"/>
        <v>0</v>
      </c>
      <c r="Q1270" s="7">
        <f t="shared" si="263"/>
        <v>2358100.9500000011</v>
      </c>
      <c r="R1270" s="44" t="str">
        <f>VLOOKUP(F1270,'Set up'!$A$2:$E$70,5,FALSE)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264"/>
        <v>1</v>
      </c>
      <c r="C1271" s="5">
        <f t="shared" si="265"/>
        <v>2023</v>
      </c>
      <c r="D1271" s="5" t="s">
        <v>1167</v>
      </c>
      <c r="E1271" s="5" t="str">
        <f>VLOOKUP(F1271,'Set up'!$A$2:$C$70,2,FALSE)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up'!$A$2:$C$70,3,FALSE)</f>
        <v>Cash</v>
      </c>
      <c r="J1271" s="5">
        <f>VLOOKUP(F1271,'Set up'!$A$2:$D$70,4,FALSE)</f>
        <v>0</v>
      </c>
      <c r="K1271" s="4">
        <f t="shared" si="266"/>
        <v>44931</v>
      </c>
      <c r="L1271" s="5">
        <f t="shared" si="267"/>
        <v>1</v>
      </c>
      <c r="M1271" s="5">
        <f t="shared" si="268"/>
        <v>2023</v>
      </c>
      <c r="N1271" s="6">
        <v>7020</v>
      </c>
      <c r="O1271" s="6">
        <f>-3316.7-3703.3</f>
        <v>-7020</v>
      </c>
      <c r="P1271" s="6">
        <f t="shared" si="262"/>
        <v>0</v>
      </c>
      <c r="Q1271" s="7">
        <f t="shared" si="263"/>
        <v>2365120.9500000011</v>
      </c>
      <c r="R1271" s="44" t="str">
        <f>VLOOKUP(F1271,'Set up'!$A$2:$E$70,5,FALSE)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264"/>
        <v>1</v>
      </c>
      <c r="C1272" s="5">
        <f t="shared" si="265"/>
        <v>2023</v>
      </c>
      <c r="D1272" s="5" t="s">
        <v>1167</v>
      </c>
      <c r="E1272" s="5" t="str">
        <f>VLOOKUP(F1272,'Set up'!$A$2:$C$70,2,FALSE)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up'!$A$2:$C$70,3,FALSE)</f>
        <v>Cash</v>
      </c>
      <c r="J1272" s="5">
        <f>VLOOKUP(F1272,'Set up'!$A$2:$D$70,4,FALSE)</f>
        <v>0</v>
      </c>
      <c r="K1272" s="4">
        <f t="shared" si="266"/>
        <v>44931</v>
      </c>
      <c r="L1272" s="5">
        <f t="shared" si="267"/>
        <v>1</v>
      </c>
      <c r="M1272" s="5">
        <f t="shared" si="268"/>
        <v>2023</v>
      </c>
      <c r="N1272" s="6">
        <v>4095</v>
      </c>
      <c r="O1272" s="6">
        <f>-1796.7-2298.3</f>
        <v>-4095</v>
      </c>
      <c r="P1272" s="6">
        <f t="shared" si="262"/>
        <v>0</v>
      </c>
      <c r="Q1272" s="7">
        <f t="shared" si="263"/>
        <v>2369215.9500000011</v>
      </c>
      <c r="R1272" s="44" t="str">
        <f>VLOOKUP(F1272,'Set up'!$A$2:$E$70,5,FALSE)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264"/>
        <v>1</v>
      </c>
      <c r="C1273" s="5">
        <f t="shared" si="265"/>
        <v>2023</v>
      </c>
      <c r="D1273" s="5" t="s">
        <v>1167</v>
      </c>
      <c r="E1273" s="5" t="str">
        <f>VLOOKUP(F1273,'Set up'!$A$2:$C$70,2,FALSE)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up'!$A$2:$C$70,3,FALSE)</f>
        <v>Cash</v>
      </c>
      <c r="J1273" s="5">
        <f>VLOOKUP(F1273,'Set up'!$A$2:$D$70,4,FALSE)</f>
        <v>0</v>
      </c>
      <c r="K1273" s="4">
        <f t="shared" si="266"/>
        <v>44931</v>
      </c>
      <c r="L1273" s="5">
        <f t="shared" si="267"/>
        <v>1</v>
      </c>
      <c r="M1273" s="5">
        <f t="shared" si="268"/>
        <v>2023</v>
      </c>
      <c r="N1273" s="6">
        <v>625</v>
      </c>
      <c r="O1273" s="6">
        <f t="shared" ref="O1273:O1275" si="276">-N1273</f>
        <v>-625</v>
      </c>
      <c r="P1273" s="6">
        <f t="shared" si="262"/>
        <v>0</v>
      </c>
      <c r="Q1273" s="7">
        <f t="shared" si="263"/>
        <v>2369840.9500000011</v>
      </c>
      <c r="R1273" s="44" t="str">
        <f>VLOOKUP(F1273,'Set up'!$A$2:$E$70,5,FALSE)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264"/>
        <v>1</v>
      </c>
      <c r="C1274" s="5">
        <f t="shared" si="265"/>
        <v>2023</v>
      </c>
      <c r="D1274" s="5" t="s">
        <v>1167</v>
      </c>
      <c r="E1274" s="5" t="str">
        <f>VLOOKUP(F1274,'Set up'!$A$2:$C$70,2,FALSE)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up'!$A$2:$C$70,3,FALSE)</f>
        <v>Cash</v>
      </c>
      <c r="J1274" s="5">
        <f>VLOOKUP(F1274,'Set up'!$A$2:$D$70,4,FALSE)</f>
        <v>0</v>
      </c>
      <c r="K1274" s="4">
        <f t="shared" si="266"/>
        <v>44931</v>
      </c>
      <c r="L1274" s="5">
        <f t="shared" si="267"/>
        <v>1</v>
      </c>
      <c r="M1274" s="5">
        <f t="shared" si="268"/>
        <v>2023</v>
      </c>
      <c r="N1274" s="6">
        <v>380</v>
      </c>
      <c r="O1274" s="6">
        <f t="shared" si="276"/>
        <v>-380</v>
      </c>
      <c r="P1274" s="6">
        <f t="shared" si="262"/>
        <v>0</v>
      </c>
      <c r="Q1274" s="7">
        <f t="shared" si="263"/>
        <v>2370220.9500000011</v>
      </c>
      <c r="R1274" s="44" t="str">
        <f>VLOOKUP(F1274,'Set up'!$A$2:$E$70,5,FALSE)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264"/>
        <v>1</v>
      </c>
      <c r="C1275" s="5">
        <f t="shared" si="265"/>
        <v>2023</v>
      </c>
      <c r="D1275" s="5" t="s">
        <v>1167</v>
      </c>
      <c r="E1275" s="5" t="str">
        <f>VLOOKUP(F1275,'Set up'!$A$2:$C$70,2,FALSE)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up'!$A$2:$C$70,3,FALSE)</f>
        <v>Cash</v>
      </c>
      <c r="J1275" s="5">
        <f>VLOOKUP(F1275,'Set up'!$A$2:$D$70,4,FALSE)</f>
        <v>0</v>
      </c>
      <c r="K1275" s="4">
        <f t="shared" si="266"/>
        <v>44931</v>
      </c>
      <c r="L1275" s="5">
        <f t="shared" si="267"/>
        <v>1</v>
      </c>
      <c r="M1275" s="5">
        <f t="shared" si="268"/>
        <v>2023</v>
      </c>
      <c r="N1275" s="6">
        <v>2000</v>
      </c>
      <c r="O1275" s="6">
        <f t="shared" si="276"/>
        <v>-2000</v>
      </c>
      <c r="P1275" s="6">
        <f t="shared" si="262"/>
        <v>0</v>
      </c>
      <c r="Q1275" s="7">
        <f t="shared" si="263"/>
        <v>2372220.9500000011</v>
      </c>
      <c r="R1275" s="44" t="str">
        <f>VLOOKUP(F1275,'Set up'!$A$2:$E$70,5,FALSE)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264"/>
        <v>1</v>
      </c>
      <c r="C1276" s="5">
        <f t="shared" si="265"/>
        <v>2023</v>
      </c>
      <c r="D1276" s="5" t="s">
        <v>1170</v>
      </c>
      <c r="E1276" s="5" t="str">
        <f>VLOOKUP(F1276,'Set up'!$A$2:$C$70,2,FALSE)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up'!$A$2:$C$70,3,FALSE)</f>
        <v>Cash</v>
      </c>
      <c r="J1276" s="5">
        <f>VLOOKUP(F1276,'Set up'!$A$2:$D$70,4,FALSE)</f>
        <v>0</v>
      </c>
      <c r="K1276" s="4">
        <f t="shared" si="266"/>
        <v>44932</v>
      </c>
      <c r="L1276" s="5">
        <f t="shared" si="267"/>
        <v>1</v>
      </c>
      <c r="M1276" s="5">
        <f t="shared" si="268"/>
        <v>2023</v>
      </c>
      <c r="N1276" s="6">
        <v>3476</v>
      </c>
      <c r="O1276" s="6">
        <f t="shared" ref="O1276:O1280" si="277">-N1276</f>
        <v>-3476</v>
      </c>
      <c r="P1276" s="6">
        <f t="shared" si="262"/>
        <v>0</v>
      </c>
      <c r="Q1276" s="7">
        <f t="shared" si="263"/>
        <v>2375696.9500000011</v>
      </c>
      <c r="R1276" s="44" t="str">
        <f>VLOOKUP(F1276,'Set up'!$A$2:$E$70,5,FALSE)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si="264"/>
        <v>1</v>
      </c>
      <c r="C1277" s="5">
        <f t="shared" si="265"/>
        <v>2023</v>
      </c>
      <c r="D1277" s="5" t="s">
        <v>1170</v>
      </c>
      <c r="E1277" s="5" t="str">
        <f>VLOOKUP(F1277,'Set up'!$A$2:$C$70,2,FALSE)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up'!$A$2:$C$70,3,FALSE)</f>
        <v>Cash</v>
      </c>
      <c r="J1277" s="5">
        <f>VLOOKUP(F1277,'Set up'!$A$2:$D$70,4,FALSE)</f>
        <v>0</v>
      </c>
      <c r="K1277" s="4">
        <f t="shared" si="266"/>
        <v>44932</v>
      </c>
      <c r="L1277" s="5">
        <f t="shared" si="267"/>
        <v>1</v>
      </c>
      <c r="M1277" s="5">
        <f t="shared" si="268"/>
        <v>2023</v>
      </c>
      <c r="N1277" s="6">
        <v>1872</v>
      </c>
      <c r="O1277" s="6">
        <f t="shared" si="277"/>
        <v>-1872</v>
      </c>
      <c r="P1277" s="6">
        <f t="shared" si="262"/>
        <v>0</v>
      </c>
      <c r="Q1277" s="7">
        <f t="shared" si="263"/>
        <v>2377568.9500000011</v>
      </c>
      <c r="R1277" s="44" t="str">
        <f>VLOOKUP(F1277,'Set up'!$A$2:$E$70,5,FALSE)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264"/>
        <v>1</v>
      </c>
      <c r="C1278" s="5">
        <f t="shared" si="265"/>
        <v>2023</v>
      </c>
      <c r="D1278" s="5" t="s">
        <v>1170</v>
      </c>
      <c r="E1278" s="5" t="str">
        <f>VLOOKUP(F1278,'Set up'!$A$2:$C$70,2,FALSE)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up'!$A$2:$C$70,3,FALSE)</f>
        <v>Cash</v>
      </c>
      <c r="J1278" s="5">
        <f>VLOOKUP(F1278,'Set up'!$A$2:$D$70,4,FALSE)</f>
        <v>0</v>
      </c>
      <c r="K1278" s="4">
        <f t="shared" si="266"/>
        <v>44932</v>
      </c>
      <c r="L1278" s="5">
        <f t="shared" si="267"/>
        <v>1</v>
      </c>
      <c r="M1278" s="5">
        <f t="shared" si="268"/>
        <v>2023</v>
      </c>
      <c r="N1278" s="6">
        <v>570</v>
      </c>
      <c r="O1278" s="6">
        <f t="shared" si="277"/>
        <v>-570</v>
      </c>
      <c r="P1278" s="6">
        <f t="shared" si="262"/>
        <v>0</v>
      </c>
      <c r="Q1278" s="7">
        <f t="shared" si="263"/>
        <v>2378138.9500000011</v>
      </c>
      <c r="R1278" s="44" t="str">
        <f>VLOOKUP(F1278,'Set up'!$A$2:$E$70,5,FALSE)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264"/>
        <v>1</v>
      </c>
      <c r="C1279" s="5">
        <f t="shared" si="265"/>
        <v>2023</v>
      </c>
      <c r="D1279" s="5" t="s">
        <v>1170</v>
      </c>
      <c r="E1279" s="5" t="str">
        <f>VLOOKUP(F1279,'Set up'!$A$2:$C$70,2,FALSE)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up'!$A$2:$C$70,3,FALSE)</f>
        <v>Cash</v>
      </c>
      <c r="J1279" s="5">
        <f>VLOOKUP(F1279,'Set up'!$A$2:$D$70,4,FALSE)</f>
        <v>0</v>
      </c>
      <c r="K1279" s="4">
        <f t="shared" si="266"/>
        <v>44932</v>
      </c>
      <c r="L1279" s="5">
        <f t="shared" si="267"/>
        <v>1</v>
      </c>
      <c r="M1279" s="5">
        <f t="shared" si="268"/>
        <v>2023</v>
      </c>
      <c r="N1279" s="6">
        <v>62.5</v>
      </c>
      <c r="O1279" s="6">
        <f t="shared" si="277"/>
        <v>-62.5</v>
      </c>
      <c r="P1279" s="6">
        <f t="shared" ref="P1279:P1290" si="278">SUM(N1279+O1279)</f>
        <v>0</v>
      </c>
      <c r="Q1279" s="7">
        <f t="shared" ref="Q1279:Q1290" si="279">SUM(Q1278+N1279)</f>
        <v>2378201.4500000011</v>
      </c>
      <c r="R1279" s="44" t="str">
        <f>VLOOKUP(F1279,'Set up'!$A$2:$E$70,5,FALSE)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264"/>
        <v>1</v>
      </c>
      <c r="C1280" s="5">
        <f t="shared" si="265"/>
        <v>2023</v>
      </c>
      <c r="D1280" s="5" t="s">
        <v>1170</v>
      </c>
      <c r="E1280" s="5" t="str">
        <f>VLOOKUP(F1280,'Set up'!$A$2:$C$70,2,FALSE)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up'!$A$2:$C$70,3,FALSE)</f>
        <v>Cash</v>
      </c>
      <c r="J1280" s="5">
        <f>VLOOKUP(F1280,'Set up'!$A$2:$D$70,4,FALSE)</f>
        <v>0</v>
      </c>
      <c r="K1280" s="4">
        <f t="shared" si="266"/>
        <v>44932</v>
      </c>
      <c r="L1280" s="5">
        <f t="shared" si="267"/>
        <v>1</v>
      </c>
      <c r="M1280" s="5">
        <f t="shared" si="268"/>
        <v>2023</v>
      </c>
      <c r="N1280" s="6">
        <v>400</v>
      </c>
      <c r="O1280" s="6">
        <f t="shared" si="277"/>
        <v>-400</v>
      </c>
      <c r="P1280" s="6">
        <f t="shared" si="278"/>
        <v>0</v>
      </c>
      <c r="Q1280" s="7">
        <f t="shared" si="279"/>
        <v>2378601.4500000011</v>
      </c>
      <c r="R1280" s="44" t="str">
        <f>VLOOKUP(F1280,'Set up'!$A$2:$E$70,5,FALSE)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264"/>
        <v>1</v>
      </c>
      <c r="C1281" s="5">
        <f t="shared" si="265"/>
        <v>2023</v>
      </c>
      <c r="D1281" s="5" t="s">
        <v>1171</v>
      </c>
      <c r="E1281" s="5" t="str">
        <f>VLOOKUP(F1281,'Set up'!$A$2:$C$70,2,FALSE)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up'!$A$2:$C$70,3,FALSE)</f>
        <v>Cash</v>
      </c>
      <c r="J1281" s="5">
        <f>VLOOKUP(F1281,'Set up'!$A$2:$D$70,4,FALSE)</f>
        <v>0</v>
      </c>
      <c r="K1281" s="4">
        <f t="shared" si="266"/>
        <v>44933</v>
      </c>
      <c r="L1281" s="5">
        <f t="shared" si="267"/>
        <v>1</v>
      </c>
      <c r="M1281" s="5">
        <f t="shared" si="268"/>
        <v>2023</v>
      </c>
      <c r="N1281" s="6">
        <v>5214</v>
      </c>
      <c r="O1281" s="6">
        <f>-896.7-4317.3</f>
        <v>-5214</v>
      </c>
      <c r="P1281" s="6">
        <f t="shared" si="278"/>
        <v>0</v>
      </c>
      <c r="Q1281" s="7">
        <f t="shared" si="279"/>
        <v>2383815.4500000011</v>
      </c>
      <c r="R1281" s="44" t="str">
        <f>VLOOKUP(F1281,'Set up'!$A$2:$E$70,5,FALSE)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264"/>
        <v>1</v>
      </c>
      <c r="C1282" s="5">
        <f t="shared" si="265"/>
        <v>2023</v>
      </c>
      <c r="D1282" s="5" t="s">
        <v>1171</v>
      </c>
      <c r="E1282" s="5" t="str">
        <f>VLOOKUP(F1282,'Set up'!$A$2:$C$70,2,FALSE)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up'!$A$2:$C$70,3,FALSE)</f>
        <v>Cash</v>
      </c>
      <c r="J1282" s="5">
        <f>VLOOKUP(F1282,'Set up'!$A$2:$D$70,4,FALSE)</f>
        <v>0</v>
      </c>
      <c r="K1282" s="4">
        <f t="shared" si="266"/>
        <v>44933</v>
      </c>
      <c r="L1282" s="5">
        <f t="shared" si="267"/>
        <v>1</v>
      </c>
      <c r="M1282" s="5">
        <f t="shared" si="268"/>
        <v>2023</v>
      </c>
      <c r="N1282" s="6">
        <v>2340</v>
      </c>
      <c r="O1282" s="6">
        <f>-1682.7-657.3</f>
        <v>-2340</v>
      </c>
      <c r="P1282" s="6">
        <f t="shared" si="278"/>
        <v>0</v>
      </c>
      <c r="Q1282" s="7">
        <f t="shared" si="279"/>
        <v>2386155.4500000011</v>
      </c>
      <c r="R1282" s="44" t="str">
        <f>VLOOKUP(F1282,'Set up'!$A$2:$E$70,5,FALSE)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ref="B1283:B1346" si="280">MONTH(A1283)</f>
        <v>1</v>
      </c>
      <c r="C1283" s="5">
        <f t="shared" ref="C1283:C1346" si="281">YEAR(A1283)</f>
        <v>2023</v>
      </c>
      <c r="D1283" s="5" t="s">
        <v>1171</v>
      </c>
      <c r="E1283" s="5" t="str">
        <f>VLOOKUP(F1283,'Set up'!$A$2:$C$70,2,FALSE)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up'!$A$2:$C$70,3,FALSE)</f>
        <v>Cash</v>
      </c>
      <c r="J1283" s="5">
        <f>VLOOKUP(F1283,'Set up'!$A$2:$D$70,4,FALSE)</f>
        <v>0</v>
      </c>
      <c r="K1283" s="4">
        <f t="shared" ref="K1283:K1346" si="282">A1283+J1283</f>
        <v>44933</v>
      </c>
      <c r="L1283" s="5">
        <f t="shared" ref="L1283:L1346" si="283">MONTH(K1283)</f>
        <v>1</v>
      </c>
      <c r="M1283" s="5">
        <f t="shared" ref="M1283:M1346" si="284">YEAR(K1283)</f>
        <v>2023</v>
      </c>
      <c r="N1283" s="6">
        <v>1092</v>
      </c>
      <c r="O1283" s="6">
        <f t="shared" ref="O1283:O1285" si="285">-N1283</f>
        <v>-1092</v>
      </c>
      <c r="P1283" s="6">
        <f t="shared" si="278"/>
        <v>0</v>
      </c>
      <c r="Q1283" s="7">
        <f t="shared" si="279"/>
        <v>2387247.4500000011</v>
      </c>
      <c r="R1283" s="44" t="str">
        <f>VLOOKUP(F1283,'Set up'!$A$2:$E$70,5,FALSE)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280"/>
        <v>1</v>
      </c>
      <c r="C1284" s="5">
        <f t="shared" si="281"/>
        <v>2023</v>
      </c>
      <c r="D1284" s="5" t="s">
        <v>1171</v>
      </c>
      <c r="E1284" s="5" t="str">
        <f>VLOOKUP(F1284,'Set up'!$A$2:$C$70,2,FALSE)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up'!$A$2:$C$70,3,FALSE)</f>
        <v>Cash</v>
      </c>
      <c r="J1284" s="5">
        <f>VLOOKUP(F1284,'Set up'!$A$2:$D$70,4,FALSE)</f>
        <v>0</v>
      </c>
      <c r="K1284" s="4">
        <f t="shared" si="282"/>
        <v>44933</v>
      </c>
      <c r="L1284" s="5">
        <f t="shared" si="283"/>
        <v>1</v>
      </c>
      <c r="M1284" s="5">
        <f t="shared" si="284"/>
        <v>2023</v>
      </c>
      <c r="N1284" s="6">
        <v>380</v>
      </c>
      <c r="O1284" s="6">
        <f t="shared" si="285"/>
        <v>-380</v>
      </c>
      <c r="P1284" s="6">
        <f t="shared" si="278"/>
        <v>0</v>
      </c>
      <c r="Q1284" s="7">
        <f t="shared" si="279"/>
        <v>2387627.4500000011</v>
      </c>
      <c r="R1284" s="44" t="str">
        <f>VLOOKUP(F1284,'Set up'!$A$2:$E$70,5,FALSE)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280"/>
        <v>1</v>
      </c>
      <c r="C1285" s="5">
        <f t="shared" si="281"/>
        <v>2023</v>
      </c>
      <c r="D1285" s="5" t="s">
        <v>1171</v>
      </c>
      <c r="E1285" s="5" t="str">
        <f>VLOOKUP(F1285,'Set up'!$A$2:$C$70,2,FALSE)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up'!$A$2:$C$70,3,FALSE)</f>
        <v>Cash</v>
      </c>
      <c r="J1285" s="5">
        <f>VLOOKUP(F1285,'Set up'!$A$2:$D$70,4,FALSE)</f>
        <v>0</v>
      </c>
      <c r="K1285" s="4">
        <f t="shared" si="282"/>
        <v>44933</v>
      </c>
      <c r="L1285" s="5">
        <f t="shared" si="283"/>
        <v>1</v>
      </c>
      <c r="M1285" s="5">
        <f t="shared" si="284"/>
        <v>2023</v>
      </c>
      <c r="N1285" s="6">
        <v>187.5</v>
      </c>
      <c r="O1285" s="6">
        <f t="shared" si="285"/>
        <v>-187.5</v>
      </c>
      <c r="P1285" s="6">
        <f t="shared" si="278"/>
        <v>0</v>
      </c>
      <c r="Q1285" s="7">
        <f t="shared" si="279"/>
        <v>2387814.9500000011</v>
      </c>
      <c r="R1285" s="44" t="str">
        <f>VLOOKUP(F1285,'Set up'!$A$2:$E$70,5,FALSE)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280"/>
        <v>1</v>
      </c>
      <c r="C1286" s="5">
        <f t="shared" si="281"/>
        <v>2023</v>
      </c>
      <c r="D1286" s="5" t="s">
        <v>1172</v>
      </c>
      <c r="E1286" s="5" t="str">
        <f>VLOOKUP(F1286,'Set up'!$A$2:$C$70,2,FALSE)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up'!$A$2:$C$70,3,FALSE)</f>
        <v>Cash</v>
      </c>
      <c r="J1286" s="5">
        <f>VLOOKUP(F1286,'Set up'!$A$2:$D$70,4,FALSE)</f>
        <v>0</v>
      </c>
      <c r="K1286" s="4">
        <f t="shared" si="282"/>
        <v>44935</v>
      </c>
      <c r="L1286" s="5">
        <f t="shared" si="283"/>
        <v>1</v>
      </c>
      <c r="M1286" s="5">
        <f t="shared" si="284"/>
        <v>2023</v>
      </c>
      <c r="N1286" s="96">
        <v>1870</v>
      </c>
      <c r="O1286" s="6">
        <f t="shared" ref="O1286:O1290" si="286">-N1286</f>
        <v>-1870</v>
      </c>
      <c r="P1286" s="6">
        <f t="shared" si="278"/>
        <v>0</v>
      </c>
      <c r="Q1286" s="7">
        <f t="shared" si="279"/>
        <v>2389684.9500000011</v>
      </c>
      <c r="R1286" s="44" t="str">
        <f>VLOOKUP(F1286,'Set up'!$A$2:$E$70,5,FALSE)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280"/>
        <v>1</v>
      </c>
      <c r="C1287" s="5">
        <f t="shared" si="281"/>
        <v>2023</v>
      </c>
      <c r="D1287" s="5" t="s">
        <v>1172</v>
      </c>
      <c r="E1287" s="5" t="str">
        <f>VLOOKUP(F1287,'Set up'!$A$2:$C$70,2,FALSE)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up'!$A$2:$C$70,3,FALSE)</f>
        <v>Cash</v>
      </c>
      <c r="J1287" s="5">
        <f>VLOOKUP(F1287,'Set up'!$A$2:$D$70,4,FALSE)</f>
        <v>0</v>
      </c>
      <c r="K1287" s="4">
        <f t="shared" si="282"/>
        <v>44935</v>
      </c>
      <c r="L1287" s="5">
        <f t="shared" si="283"/>
        <v>1</v>
      </c>
      <c r="M1287" s="5">
        <f t="shared" si="284"/>
        <v>2023</v>
      </c>
      <c r="N1287" s="96">
        <v>510</v>
      </c>
      <c r="O1287" s="6">
        <f t="shared" si="286"/>
        <v>-510</v>
      </c>
      <c r="P1287" s="6">
        <f t="shared" si="278"/>
        <v>0</v>
      </c>
      <c r="Q1287" s="7">
        <f t="shared" si="279"/>
        <v>2390194.9500000011</v>
      </c>
      <c r="R1287" s="44" t="str">
        <f>VLOOKUP(F1287,'Set up'!$A$2:$E$70,5,FALSE)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280"/>
        <v>1</v>
      </c>
      <c r="C1288" s="5">
        <f t="shared" si="281"/>
        <v>2023</v>
      </c>
      <c r="D1288" s="5" t="s">
        <v>1172</v>
      </c>
      <c r="E1288" s="5" t="str">
        <f>VLOOKUP(F1288,'Set up'!$A$2:$C$70,2,FALSE)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up'!$A$2:$C$70,3,FALSE)</f>
        <v>Cash</v>
      </c>
      <c r="J1288" s="5">
        <f>VLOOKUP(F1288,'Set up'!$A$2:$D$70,4,FALSE)</f>
        <v>0</v>
      </c>
      <c r="K1288" s="4">
        <f t="shared" si="282"/>
        <v>44935</v>
      </c>
      <c r="L1288" s="5">
        <f t="shared" si="283"/>
        <v>1</v>
      </c>
      <c r="M1288" s="5">
        <f t="shared" si="284"/>
        <v>2023</v>
      </c>
      <c r="N1288" s="96">
        <v>105</v>
      </c>
      <c r="O1288" s="6">
        <f t="shared" si="286"/>
        <v>-105</v>
      </c>
      <c r="P1288" s="6">
        <f t="shared" si="278"/>
        <v>0</v>
      </c>
      <c r="Q1288" s="7">
        <f t="shared" si="279"/>
        <v>2390299.9500000011</v>
      </c>
      <c r="R1288" s="44" t="str">
        <f>VLOOKUP(F1288,'Set up'!$A$2:$E$70,5,FALSE)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280"/>
        <v>1</v>
      </c>
      <c r="C1289" s="5">
        <f t="shared" si="281"/>
        <v>2023</v>
      </c>
      <c r="D1289" s="5" t="s">
        <v>1172</v>
      </c>
      <c r="E1289" s="5" t="str">
        <f>VLOOKUP(F1289,'Set up'!$A$2:$C$70,2,FALSE)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up'!$A$2:$C$70,3,FALSE)</f>
        <v>Cash</v>
      </c>
      <c r="J1289" s="5">
        <f>VLOOKUP(F1289,'Set up'!$A$2:$D$70,4,FALSE)</f>
        <v>0</v>
      </c>
      <c r="K1289" s="4">
        <f t="shared" si="282"/>
        <v>44935</v>
      </c>
      <c r="L1289" s="5">
        <f t="shared" si="283"/>
        <v>1</v>
      </c>
      <c r="M1289" s="5">
        <f t="shared" si="284"/>
        <v>2023</v>
      </c>
      <c r="N1289" s="96">
        <v>576</v>
      </c>
      <c r="O1289" s="6">
        <f t="shared" si="286"/>
        <v>-576</v>
      </c>
      <c r="P1289" s="6">
        <f t="shared" si="278"/>
        <v>0</v>
      </c>
      <c r="Q1289" s="7">
        <f t="shared" si="279"/>
        <v>2390875.9500000011</v>
      </c>
      <c r="R1289" s="44" t="str">
        <f>VLOOKUP(F1289,'Set up'!$A$2:$E$70,5,FALSE)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280"/>
        <v>1</v>
      </c>
      <c r="C1290" s="5">
        <f t="shared" si="281"/>
        <v>2023</v>
      </c>
      <c r="D1290" s="5" t="s">
        <v>1172</v>
      </c>
      <c r="E1290" s="5" t="str">
        <f>VLOOKUP(F1290,'Set up'!$A$2:$C$70,2,FALSE)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up'!$A$2:$C$70,3,FALSE)</f>
        <v>Cash</v>
      </c>
      <c r="J1290" s="5">
        <f>VLOOKUP(F1290,'Set up'!$A$2:$D$70,4,FALSE)</f>
        <v>0</v>
      </c>
      <c r="K1290" s="4">
        <f t="shared" si="282"/>
        <v>44935</v>
      </c>
      <c r="L1290" s="5">
        <f t="shared" si="283"/>
        <v>1</v>
      </c>
      <c r="M1290" s="5">
        <f t="shared" si="284"/>
        <v>2023</v>
      </c>
      <c r="N1290" s="96">
        <v>312.5</v>
      </c>
      <c r="O1290" s="6">
        <f t="shared" si="286"/>
        <v>-312.5</v>
      </c>
      <c r="P1290" s="6">
        <f t="shared" si="278"/>
        <v>0</v>
      </c>
      <c r="Q1290" s="7">
        <f t="shared" si="279"/>
        <v>2391188.4500000011</v>
      </c>
      <c r="R1290" s="44" t="str">
        <f>VLOOKUP(F1290,'Set up'!$A$2:$E$70,5,FALSE)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si="280"/>
        <v>1</v>
      </c>
      <c r="C1291" s="5">
        <f t="shared" si="281"/>
        <v>2023</v>
      </c>
      <c r="D1291" s="5" t="s">
        <v>1173</v>
      </c>
      <c r="E1291" s="5" t="str">
        <f>VLOOKUP(F1291,'Set up'!$A$2:$C$70,2,FALSE)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up'!$A$2:$C$70,3,FALSE)</f>
        <v>Cash</v>
      </c>
      <c r="J1291" s="5">
        <f>VLOOKUP(F1291,'Set up'!$A$2:$D$70,4,FALSE)</f>
        <v>0</v>
      </c>
      <c r="K1291" s="4">
        <f t="shared" si="282"/>
        <v>44935</v>
      </c>
      <c r="L1291" s="5">
        <f t="shared" si="283"/>
        <v>1</v>
      </c>
      <c r="M1291" s="5">
        <f t="shared" si="284"/>
        <v>2023</v>
      </c>
      <c r="N1291" s="6">
        <v>1738</v>
      </c>
      <c r="O1291" s="6">
        <f>-N1291</f>
        <v>-1738</v>
      </c>
      <c r="P1291" s="6">
        <f t="shared" ref="P1291:P1312" si="287">SUM(N1291+O1291)</f>
        <v>0</v>
      </c>
      <c r="Q1291" s="7">
        <f t="shared" ref="Q1291:Q1312" si="288">SUM(Q1290+N1291)</f>
        <v>2392926.4500000011</v>
      </c>
      <c r="R1291" s="44" t="str">
        <f>VLOOKUP(F1291,'Set up'!$A$2:$E$70,5,FALSE)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280"/>
        <v>1</v>
      </c>
      <c r="C1292" s="5">
        <f t="shared" si="281"/>
        <v>2023</v>
      </c>
      <c r="D1292" s="5" t="s">
        <v>1173</v>
      </c>
      <c r="E1292" s="5" t="str">
        <f>VLOOKUP(F1292,'Set up'!$A$2:$C$70,2,FALSE)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up'!$A$2:$C$70,3,FALSE)</f>
        <v>Cash</v>
      </c>
      <c r="J1292" s="5">
        <f>VLOOKUP(F1292,'Set up'!$A$2:$D$70,4,FALSE)</f>
        <v>0</v>
      </c>
      <c r="K1292" s="4">
        <f t="shared" si="282"/>
        <v>44935</v>
      </c>
      <c r="L1292" s="5">
        <f t="shared" si="283"/>
        <v>1</v>
      </c>
      <c r="M1292" s="5">
        <f t="shared" si="284"/>
        <v>2023</v>
      </c>
      <c r="N1292" s="6">
        <v>936</v>
      </c>
      <c r="O1292" s="6">
        <f>-N1292</f>
        <v>-936</v>
      </c>
      <c r="P1292" s="6">
        <f t="shared" si="287"/>
        <v>0</v>
      </c>
      <c r="Q1292" s="7">
        <f t="shared" si="288"/>
        <v>2393862.4500000011</v>
      </c>
      <c r="R1292" s="44" t="str">
        <f>VLOOKUP(F1292,'Set up'!$A$2:$E$70,5,FALSE)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280"/>
        <v>1</v>
      </c>
      <c r="C1293" s="5">
        <f t="shared" si="281"/>
        <v>2023</v>
      </c>
      <c r="D1293" s="5" t="s">
        <v>1173</v>
      </c>
      <c r="E1293" s="5" t="str">
        <f>VLOOKUP(F1293,'Set up'!$A$2:$C$70,2,FALSE)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up'!$A$2:$C$70,3,FALSE)</f>
        <v>Cash</v>
      </c>
      <c r="J1293" s="5">
        <f>VLOOKUP(F1293,'Set up'!$A$2:$D$70,4,FALSE)</f>
        <v>0</v>
      </c>
      <c r="K1293" s="4">
        <f t="shared" si="282"/>
        <v>44935</v>
      </c>
      <c r="L1293" s="5">
        <f t="shared" si="283"/>
        <v>1</v>
      </c>
      <c r="M1293" s="5">
        <f t="shared" si="284"/>
        <v>2023</v>
      </c>
      <c r="N1293" s="6">
        <v>62.5</v>
      </c>
      <c r="O1293" s="6">
        <f>-N1293</f>
        <v>-62.5</v>
      </c>
      <c r="P1293" s="6">
        <f t="shared" si="287"/>
        <v>0</v>
      </c>
      <c r="Q1293" s="7">
        <f t="shared" si="288"/>
        <v>2393924.9500000011</v>
      </c>
      <c r="R1293" s="44" t="str">
        <f>VLOOKUP(F1293,'Set up'!$A$2:$E$70,5,FALSE)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280"/>
        <v>1</v>
      </c>
      <c r="C1294" s="5">
        <f t="shared" si="281"/>
        <v>2023</v>
      </c>
      <c r="D1294" s="5" t="s">
        <v>1173</v>
      </c>
      <c r="E1294" s="5" t="str">
        <f>VLOOKUP(F1294,'Set up'!$A$2:$C$70,2,FALSE)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up'!$A$2:$C$70,3,FALSE)</f>
        <v>Cash</v>
      </c>
      <c r="J1294" s="5">
        <f>VLOOKUP(F1294,'Set up'!$A$2:$D$70,4,FALSE)</f>
        <v>0</v>
      </c>
      <c r="K1294" s="4">
        <f t="shared" si="282"/>
        <v>44935</v>
      </c>
      <c r="L1294" s="5">
        <f t="shared" si="283"/>
        <v>1</v>
      </c>
      <c r="M1294" s="5">
        <f t="shared" si="284"/>
        <v>2023</v>
      </c>
      <c r="N1294" s="6">
        <v>200</v>
      </c>
      <c r="O1294" s="6">
        <f>-N1294</f>
        <v>-200</v>
      </c>
      <c r="P1294" s="6">
        <f t="shared" si="287"/>
        <v>0</v>
      </c>
      <c r="Q1294" s="7">
        <f t="shared" si="288"/>
        <v>2394124.9500000011</v>
      </c>
      <c r="R1294" s="44" t="str">
        <f>VLOOKUP(F1294,'Set up'!$A$2:$E$70,5,FALSE)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280"/>
        <v>1</v>
      </c>
      <c r="C1295" s="5">
        <f t="shared" si="281"/>
        <v>2023</v>
      </c>
      <c r="D1295" s="5" t="s">
        <v>1174</v>
      </c>
      <c r="E1295" s="5" t="str">
        <f>VLOOKUP(F1295,'Set up'!$A$2:$C$70,2,FALSE)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up'!$A$2:$C$70,3,FALSE)</f>
        <v>Cash</v>
      </c>
      <c r="J1295" s="5">
        <f>VLOOKUP(F1295,'Set up'!$A$2:$D$70,4,FALSE)</f>
        <v>0</v>
      </c>
      <c r="K1295" s="4">
        <f t="shared" si="282"/>
        <v>44935</v>
      </c>
      <c r="L1295" s="5">
        <f t="shared" si="283"/>
        <v>1</v>
      </c>
      <c r="M1295" s="5">
        <f t="shared" si="284"/>
        <v>2023</v>
      </c>
      <c r="N1295" s="6">
        <v>800</v>
      </c>
      <c r="O1295" s="6">
        <f t="shared" ref="O1295" si="289">-N1295</f>
        <v>-800</v>
      </c>
      <c r="P1295" s="6">
        <f t="shared" si="287"/>
        <v>0</v>
      </c>
      <c r="Q1295" s="7">
        <f t="shared" si="288"/>
        <v>2394924.9500000011</v>
      </c>
      <c r="R1295" s="44" t="str">
        <f>VLOOKUP(F1295,'Set up'!$A$2:$E$70,5,FALSE)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280"/>
        <v>1</v>
      </c>
      <c r="C1296" s="5">
        <f t="shared" si="281"/>
        <v>2023</v>
      </c>
      <c r="D1296" s="5" t="s">
        <v>1176</v>
      </c>
      <c r="E1296" s="5" t="str">
        <f>VLOOKUP(F1296,'Set up'!$A$2:$C$70,2,FALSE)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up'!$A$2:$C$70,3,FALSE)</f>
        <v>Cash</v>
      </c>
      <c r="J1296" s="5">
        <f>VLOOKUP(F1296,'Set up'!$A$2:$D$70,4,FALSE)</f>
        <v>0</v>
      </c>
      <c r="K1296" s="4">
        <f t="shared" si="282"/>
        <v>44937</v>
      </c>
      <c r="L1296" s="5">
        <f t="shared" si="283"/>
        <v>1</v>
      </c>
      <c r="M1296" s="5">
        <f t="shared" si="284"/>
        <v>2023</v>
      </c>
      <c r="N1296" s="6">
        <v>1804</v>
      </c>
      <c r="O1296" s="6">
        <f>-N1296</f>
        <v>-1804</v>
      </c>
      <c r="P1296" s="6">
        <f t="shared" si="287"/>
        <v>0</v>
      </c>
      <c r="Q1296" s="7">
        <f t="shared" si="288"/>
        <v>2396728.9500000011</v>
      </c>
      <c r="R1296" s="44" t="str">
        <f>VLOOKUP(F1296,'Set up'!$A$2:$E$70,5,FALSE)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280"/>
        <v>1</v>
      </c>
      <c r="C1297" s="5">
        <f t="shared" si="281"/>
        <v>2023</v>
      </c>
      <c r="D1297" s="5" t="s">
        <v>1177</v>
      </c>
      <c r="E1297" s="5" t="str">
        <f>VLOOKUP(F1297,'Set up'!$A$2:$C$70,2,FALSE)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up'!$A$2:$C$70,3,FALSE)</f>
        <v>Cash</v>
      </c>
      <c r="J1297" s="5">
        <f>VLOOKUP(F1297,'Set up'!$A$2:$D$70,4,FALSE)</f>
        <v>0</v>
      </c>
      <c r="K1297" s="4">
        <f t="shared" si="282"/>
        <v>44937</v>
      </c>
      <c r="L1297" s="5">
        <f t="shared" si="283"/>
        <v>1</v>
      </c>
      <c r="M1297" s="5">
        <f t="shared" si="284"/>
        <v>2023</v>
      </c>
      <c r="N1297" s="6">
        <v>1738</v>
      </c>
      <c r="O1297" s="6">
        <f t="shared" ref="O1297:O1300" si="290">-N1297</f>
        <v>-1738</v>
      </c>
      <c r="P1297" s="6">
        <f t="shared" si="287"/>
        <v>0</v>
      </c>
      <c r="Q1297" s="7">
        <f t="shared" si="288"/>
        <v>2398466.9500000011</v>
      </c>
      <c r="R1297" s="44" t="str">
        <f>VLOOKUP(F1297,'Set up'!$A$2:$E$70,5,FALSE)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280"/>
        <v>1</v>
      </c>
      <c r="C1298" s="5">
        <f t="shared" si="281"/>
        <v>2023</v>
      </c>
      <c r="D1298" s="5" t="s">
        <v>1177</v>
      </c>
      <c r="E1298" s="5" t="str">
        <f>VLOOKUP(F1298,'Set up'!$A$2:$C$70,2,FALSE)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up'!$A$2:$C$70,3,FALSE)</f>
        <v>Cash</v>
      </c>
      <c r="J1298" s="5">
        <f>VLOOKUP(F1298,'Set up'!$A$2:$D$70,4,FALSE)</f>
        <v>0</v>
      </c>
      <c r="K1298" s="4">
        <f t="shared" si="282"/>
        <v>44937</v>
      </c>
      <c r="L1298" s="5">
        <f t="shared" si="283"/>
        <v>1</v>
      </c>
      <c r="M1298" s="5">
        <f t="shared" si="284"/>
        <v>2023</v>
      </c>
      <c r="N1298" s="6">
        <v>237</v>
      </c>
      <c r="O1298" s="6">
        <f t="shared" si="290"/>
        <v>-237</v>
      </c>
      <c r="P1298" s="6">
        <f t="shared" si="287"/>
        <v>0</v>
      </c>
      <c r="Q1298" s="7">
        <f t="shared" si="288"/>
        <v>2398703.9500000011</v>
      </c>
      <c r="R1298" s="44" t="str">
        <f>VLOOKUP(F1298,'Set up'!$A$2:$E$70,5,FALSE)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280"/>
        <v>1</v>
      </c>
      <c r="C1299" s="5">
        <f t="shared" si="281"/>
        <v>2023</v>
      </c>
      <c r="D1299" s="5" t="s">
        <v>1177</v>
      </c>
      <c r="E1299" s="5" t="str">
        <f>VLOOKUP(F1299,'Set up'!$A$2:$C$70,2,FALSE)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up'!$A$2:$C$70,3,FALSE)</f>
        <v>Cash</v>
      </c>
      <c r="J1299" s="5">
        <f>VLOOKUP(F1299,'Set up'!$A$2:$D$70,4,FALSE)</f>
        <v>0</v>
      </c>
      <c r="K1299" s="4">
        <f t="shared" si="282"/>
        <v>44937</v>
      </c>
      <c r="L1299" s="5">
        <f t="shared" si="283"/>
        <v>1</v>
      </c>
      <c r="M1299" s="5">
        <f t="shared" si="284"/>
        <v>2023</v>
      </c>
      <c r="N1299" s="6">
        <v>95</v>
      </c>
      <c r="O1299" s="6">
        <f t="shared" si="290"/>
        <v>-95</v>
      </c>
      <c r="P1299" s="6">
        <f t="shared" si="287"/>
        <v>0</v>
      </c>
      <c r="Q1299" s="7">
        <f t="shared" si="288"/>
        <v>2398798.9500000011</v>
      </c>
      <c r="R1299" s="44" t="str">
        <f>VLOOKUP(F1299,'Set up'!$A$2:$E$70,5,FALSE)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280"/>
        <v>1</v>
      </c>
      <c r="C1300" s="5">
        <f t="shared" si="281"/>
        <v>2023</v>
      </c>
      <c r="D1300" s="5" t="s">
        <v>1177</v>
      </c>
      <c r="E1300" s="5" t="str">
        <f>VLOOKUP(F1300,'Set up'!$A$2:$C$70,2,FALSE)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up'!$A$2:$C$70,3,FALSE)</f>
        <v>Cash</v>
      </c>
      <c r="J1300" s="5">
        <f>VLOOKUP(F1300,'Set up'!$A$2:$D$70,4,FALSE)</f>
        <v>0</v>
      </c>
      <c r="K1300" s="4">
        <f t="shared" si="282"/>
        <v>44937</v>
      </c>
      <c r="L1300" s="5">
        <f t="shared" si="283"/>
        <v>1</v>
      </c>
      <c r="M1300" s="5">
        <f t="shared" si="284"/>
        <v>2023</v>
      </c>
      <c r="N1300" s="6">
        <v>62.5</v>
      </c>
      <c r="O1300" s="6">
        <f t="shared" si="290"/>
        <v>-62.5</v>
      </c>
      <c r="P1300" s="6">
        <f t="shared" si="287"/>
        <v>0</v>
      </c>
      <c r="Q1300" s="7">
        <f t="shared" si="288"/>
        <v>2398861.4500000011</v>
      </c>
      <c r="R1300" s="44" t="str">
        <f>VLOOKUP(F1300,'Set up'!$A$2:$E$70,5,FALSE)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280"/>
        <v>1</v>
      </c>
      <c r="C1301" s="5">
        <f t="shared" si="281"/>
        <v>2023</v>
      </c>
      <c r="D1301" s="5" t="s">
        <v>1179</v>
      </c>
      <c r="E1301" s="5" t="str">
        <f>VLOOKUP(F1301,'Set up'!$A$2:$C$70,2,FALSE)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up'!$A$2:$C$70,3,FALSE)</f>
        <v>Cash</v>
      </c>
      <c r="J1301" s="5">
        <f>VLOOKUP(F1301,'Set up'!$A$2:$D$70,4,FALSE)</f>
        <v>0</v>
      </c>
      <c r="K1301" s="4">
        <f t="shared" si="282"/>
        <v>44937</v>
      </c>
      <c r="L1301" s="5">
        <f t="shared" si="283"/>
        <v>1</v>
      </c>
      <c r="M1301" s="5">
        <f t="shared" si="284"/>
        <v>2023</v>
      </c>
      <c r="N1301" s="6">
        <v>1738</v>
      </c>
      <c r="O1301" s="6">
        <f>-N1301</f>
        <v>-1738</v>
      </c>
      <c r="P1301" s="6">
        <f t="shared" si="287"/>
        <v>0</v>
      </c>
      <c r="Q1301" s="7">
        <f t="shared" si="288"/>
        <v>2400599.4500000011</v>
      </c>
      <c r="R1301" s="44" t="str">
        <f>VLOOKUP(F1301,'Set up'!$A$2:$E$70,5,FALSE)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280"/>
        <v>1</v>
      </c>
      <c r="C1302" s="5">
        <f t="shared" si="281"/>
        <v>2023</v>
      </c>
      <c r="D1302" s="5" t="s">
        <v>1179</v>
      </c>
      <c r="E1302" s="5" t="str">
        <f>VLOOKUP(F1302,'Set up'!$A$2:$C$70,2,FALSE)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up'!$A$2:$C$70,3,FALSE)</f>
        <v>Cash</v>
      </c>
      <c r="J1302" s="5">
        <f>VLOOKUP(F1302,'Set up'!$A$2:$D$70,4,FALSE)</f>
        <v>0</v>
      </c>
      <c r="K1302" s="4">
        <f t="shared" si="282"/>
        <v>44937</v>
      </c>
      <c r="L1302" s="5">
        <f t="shared" si="283"/>
        <v>1</v>
      </c>
      <c r="M1302" s="5">
        <f t="shared" si="284"/>
        <v>2023</v>
      </c>
      <c r="N1302" s="6">
        <v>702</v>
      </c>
      <c r="O1302" s="6">
        <f>-N1302</f>
        <v>-702</v>
      </c>
      <c r="P1302" s="6">
        <f t="shared" si="287"/>
        <v>0</v>
      </c>
      <c r="Q1302" s="7">
        <f t="shared" si="288"/>
        <v>2401301.4500000011</v>
      </c>
      <c r="R1302" s="44" t="str">
        <f>VLOOKUP(F1302,'Set up'!$A$2:$E$70,5,FALSE)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280"/>
        <v>1</v>
      </c>
      <c r="C1303" s="5">
        <f t="shared" si="281"/>
        <v>2023</v>
      </c>
      <c r="D1303" s="5" t="s">
        <v>1180</v>
      </c>
      <c r="E1303" s="5" t="str">
        <f>VLOOKUP(F1303,'Set up'!$A$2:$C$70,2,FALSE)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up'!$A$2:$C$70,3,FALSE)</f>
        <v>120</v>
      </c>
      <c r="J1303" s="5">
        <f>VLOOKUP(F1303,'Set up'!$A$2:$D$70,4,FALSE)</f>
        <v>120</v>
      </c>
      <c r="K1303" s="4">
        <f t="shared" si="282"/>
        <v>45058</v>
      </c>
      <c r="L1303" s="5">
        <f t="shared" si="283"/>
        <v>5</v>
      </c>
      <c r="M1303" s="5">
        <f t="shared" si="284"/>
        <v>2023</v>
      </c>
      <c r="N1303" s="6">
        <v>9768</v>
      </c>
      <c r="O1303" s="6">
        <f t="shared" ref="O1303:O1309" si="291">-N1303</f>
        <v>-9768</v>
      </c>
      <c r="P1303" s="6">
        <f t="shared" si="287"/>
        <v>0</v>
      </c>
      <c r="Q1303" s="7">
        <f t="shared" si="288"/>
        <v>2411069.4500000011</v>
      </c>
      <c r="R1303" s="44" t="str">
        <f>VLOOKUP(F1303,'Set up'!$A$2:$E$70,5,FALSE)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280"/>
        <v>1</v>
      </c>
      <c r="C1304" s="5">
        <f t="shared" si="281"/>
        <v>2023</v>
      </c>
      <c r="D1304" s="5" t="s">
        <v>1180</v>
      </c>
      <c r="E1304" s="5" t="str">
        <f>VLOOKUP(F1304,'Set up'!$A$2:$C$70,2,FALSE)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up'!$A$2:$C$70,3,FALSE)</f>
        <v>120</v>
      </c>
      <c r="J1304" s="5">
        <f>VLOOKUP(F1304,'Set up'!$A$2:$D$70,4,FALSE)</f>
        <v>120</v>
      </c>
      <c r="K1304" s="4">
        <f t="shared" si="282"/>
        <v>45058</v>
      </c>
      <c r="L1304" s="5">
        <f t="shared" si="283"/>
        <v>5</v>
      </c>
      <c r="M1304" s="5">
        <f t="shared" si="284"/>
        <v>2023</v>
      </c>
      <c r="N1304" s="6">
        <v>2070</v>
      </c>
      <c r="O1304" s="6">
        <f t="shared" si="291"/>
        <v>-2070</v>
      </c>
      <c r="P1304" s="6">
        <f t="shared" si="287"/>
        <v>0</v>
      </c>
      <c r="Q1304" s="7">
        <f t="shared" si="288"/>
        <v>2413139.4500000011</v>
      </c>
      <c r="R1304" s="44" t="str">
        <f>VLOOKUP(F1304,'Set up'!$A$2:$E$70,5,FALSE)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280"/>
        <v>1</v>
      </c>
      <c r="C1305" s="5">
        <f t="shared" si="281"/>
        <v>2023</v>
      </c>
      <c r="D1305" s="5" t="s">
        <v>1180</v>
      </c>
      <c r="E1305" s="5" t="str">
        <f>VLOOKUP(F1305,'Set up'!$A$2:$C$70,2,FALSE)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up'!$A$2:$C$70,3,FALSE)</f>
        <v>120</v>
      </c>
      <c r="J1305" s="5">
        <f>VLOOKUP(F1305,'Set up'!$A$2:$D$70,4,FALSE)</f>
        <v>120</v>
      </c>
      <c r="K1305" s="4">
        <f t="shared" si="282"/>
        <v>45058</v>
      </c>
      <c r="L1305" s="5">
        <f t="shared" si="283"/>
        <v>5</v>
      </c>
      <c r="M1305" s="5">
        <f t="shared" si="284"/>
        <v>2023</v>
      </c>
      <c r="N1305" s="6">
        <v>575</v>
      </c>
      <c r="O1305" s="6">
        <f t="shared" si="291"/>
        <v>-575</v>
      </c>
      <c r="P1305" s="6">
        <f t="shared" si="287"/>
        <v>0</v>
      </c>
      <c r="Q1305" s="7">
        <f t="shared" si="288"/>
        <v>2413714.4500000011</v>
      </c>
      <c r="R1305" s="44" t="str">
        <f>VLOOKUP(F1305,'Set up'!$A$2:$E$70,5,FALSE)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280"/>
        <v>1</v>
      </c>
      <c r="C1306" s="5">
        <f t="shared" si="281"/>
        <v>2023</v>
      </c>
      <c r="D1306" s="5" t="s">
        <v>1180</v>
      </c>
      <c r="E1306" s="5" t="str">
        <f>VLOOKUP(F1306,'Set up'!$A$2:$C$70,2,FALSE)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up'!$A$2:$C$70,3,FALSE)</f>
        <v>120</v>
      </c>
      <c r="J1306" s="5">
        <f>VLOOKUP(F1306,'Set up'!$A$2:$D$70,4,FALSE)</f>
        <v>120</v>
      </c>
      <c r="K1306" s="4">
        <f t="shared" si="282"/>
        <v>45058</v>
      </c>
      <c r="L1306" s="5">
        <f t="shared" si="283"/>
        <v>5</v>
      </c>
      <c r="M1306" s="5">
        <f t="shared" si="284"/>
        <v>2023</v>
      </c>
      <c r="N1306" s="6">
        <v>840</v>
      </c>
      <c r="O1306" s="6">
        <f t="shared" si="291"/>
        <v>-840</v>
      </c>
      <c r="P1306" s="6">
        <f t="shared" si="287"/>
        <v>0</v>
      </c>
      <c r="Q1306" s="7">
        <f t="shared" si="288"/>
        <v>2414554.4500000011</v>
      </c>
      <c r="R1306" s="44" t="str">
        <f>VLOOKUP(F1306,'Set up'!$A$2:$E$70,5,FALSE)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280"/>
        <v>1</v>
      </c>
      <c r="C1307" s="5">
        <f t="shared" si="281"/>
        <v>2023</v>
      </c>
      <c r="D1307" s="5" t="s">
        <v>1180</v>
      </c>
      <c r="E1307" s="5" t="str">
        <f>VLOOKUP(F1307,'Set up'!$A$2:$C$70,2,FALSE)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up'!$A$2:$C$70,3,FALSE)</f>
        <v>120</v>
      </c>
      <c r="J1307" s="5">
        <f>VLOOKUP(F1307,'Set up'!$A$2:$D$70,4,FALSE)</f>
        <v>120</v>
      </c>
      <c r="K1307" s="4">
        <f t="shared" si="282"/>
        <v>45058</v>
      </c>
      <c r="L1307" s="5">
        <f t="shared" si="283"/>
        <v>5</v>
      </c>
      <c r="M1307" s="5">
        <f t="shared" si="284"/>
        <v>2023</v>
      </c>
      <c r="N1307" s="6">
        <v>200</v>
      </c>
      <c r="O1307" s="6">
        <f t="shared" si="291"/>
        <v>-200</v>
      </c>
      <c r="P1307" s="6">
        <f t="shared" si="287"/>
        <v>0</v>
      </c>
      <c r="Q1307" s="7">
        <f t="shared" si="288"/>
        <v>2414754.4500000011</v>
      </c>
      <c r="R1307" s="44" t="str">
        <f>VLOOKUP(F1307,'Set up'!$A$2:$E$70,5,FALSE)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280"/>
        <v>1</v>
      </c>
      <c r="C1308" s="5">
        <f t="shared" si="281"/>
        <v>2023</v>
      </c>
      <c r="D1308" s="5" t="s">
        <v>1180</v>
      </c>
      <c r="E1308" s="5" t="str">
        <f>VLOOKUP(F1308,'Set up'!$A$2:$C$70,2,FALSE)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up'!$A$2:$C$70,3,FALSE)</f>
        <v>120</v>
      </c>
      <c r="J1308" s="5">
        <f>VLOOKUP(F1308,'Set up'!$A$2:$D$70,4,FALSE)</f>
        <v>120</v>
      </c>
      <c r="K1308" s="4">
        <f t="shared" si="282"/>
        <v>45058</v>
      </c>
      <c r="L1308" s="5">
        <f t="shared" si="283"/>
        <v>5</v>
      </c>
      <c r="M1308" s="5">
        <f t="shared" si="284"/>
        <v>2023</v>
      </c>
      <c r="N1308" s="6">
        <v>395</v>
      </c>
      <c r="O1308" s="6">
        <f t="shared" si="291"/>
        <v>-395</v>
      </c>
      <c r="P1308" s="6">
        <f t="shared" si="287"/>
        <v>0</v>
      </c>
      <c r="Q1308" s="7">
        <f t="shared" si="288"/>
        <v>2415149.4500000011</v>
      </c>
      <c r="R1308" s="44" t="str">
        <f>VLOOKUP(F1308,'Set up'!$A$2:$E$70,5,FALSE)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280"/>
        <v>1</v>
      </c>
      <c r="C1309" s="5">
        <f t="shared" si="281"/>
        <v>2023</v>
      </c>
      <c r="D1309" s="5" t="s">
        <v>1180</v>
      </c>
      <c r="E1309" s="5" t="str">
        <f>VLOOKUP(F1309,'Set up'!$A$2:$C$70,2,FALSE)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up'!$A$2:$C$70,3,FALSE)</f>
        <v>120</v>
      </c>
      <c r="J1309" s="5">
        <f>VLOOKUP(F1309,'Set up'!$A$2:$D$70,4,FALSE)</f>
        <v>120</v>
      </c>
      <c r="K1309" s="4">
        <f t="shared" si="282"/>
        <v>45058</v>
      </c>
      <c r="L1309" s="5">
        <f t="shared" si="283"/>
        <v>5</v>
      </c>
      <c r="M1309" s="5">
        <f t="shared" si="284"/>
        <v>2023</v>
      </c>
      <c r="N1309" s="6">
        <v>420</v>
      </c>
      <c r="O1309" s="6">
        <f t="shared" si="291"/>
        <v>-420</v>
      </c>
      <c r="P1309" s="6">
        <f t="shared" si="287"/>
        <v>0</v>
      </c>
      <c r="Q1309" s="7">
        <f t="shared" si="288"/>
        <v>2415569.4500000011</v>
      </c>
      <c r="R1309" s="44" t="str">
        <f>VLOOKUP(F1309,'Set up'!$A$2:$E$70,5,FALSE)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280"/>
        <v>1</v>
      </c>
      <c r="C1310" s="5">
        <f t="shared" si="281"/>
        <v>2023</v>
      </c>
      <c r="D1310" s="5" t="s">
        <v>1181</v>
      </c>
      <c r="E1310" s="5" t="str">
        <f>VLOOKUP(F1310,'Set up'!$A$2:$C$70,2,FALSE)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up'!$A$2:$C$70,3,FALSE)</f>
        <v>Cash</v>
      </c>
      <c r="J1310" s="5">
        <f>VLOOKUP(F1310,'Set up'!$A$2:$D$70,4,FALSE)</f>
        <v>0</v>
      </c>
      <c r="K1310" s="4">
        <f t="shared" si="282"/>
        <v>44938</v>
      </c>
      <c r="L1310" s="5">
        <f t="shared" si="283"/>
        <v>1</v>
      </c>
      <c r="M1310" s="5">
        <f t="shared" si="284"/>
        <v>2023</v>
      </c>
      <c r="N1310" s="6">
        <v>8690</v>
      </c>
      <c r="O1310" s="6">
        <f>-2383.2-5800-506.8</f>
        <v>-8690</v>
      </c>
      <c r="P1310" s="6">
        <f t="shared" si="287"/>
        <v>0</v>
      </c>
      <c r="Q1310" s="7">
        <f t="shared" si="288"/>
        <v>2424259.4500000011</v>
      </c>
      <c r="R1310" s="44" t="str">
        <f>VLOOKUP(F1310,'Set up'!$A$2:$E$70,5,FALSE)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280"/>
        <v>1</v>
      </c>
      <c r="C1311" s="5">
        <f t="shared" si="281"/>
        <v>2023</v>
      </c>
      <c r="D1311" s="5" t="s">
        <v>1181</v>
      </c>
      <c r="E1311" s="5" t="str">
        <f>VLOOKUP(F1311,'Set up'!$A$2:$C$70,2,FALSE)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up'!$A$2:$C$70,3,FALSE)</f>
        <v>Cash</v>
      </c>
      <c r="J1311" s="5">
        <f>VLOOKUP(F1311,'Set up'!$A$2:$D$70,4,FALSE)</f>
        <v>0</v>
      </c>
      <c r="K1311" s="4">
        <f t="shared" si="282"/>
        <v>44938</v>
      </c>
      <c r="L1311" s="5">
        <f t="shared" si="283"/>
        <v>1</v>
      </c>
      <c r="M1311" s="5">
        <f t="shared" si="284"/>
        <v>2023</v>
      </c>
      <c r="N1311" s="6">
        <v>3510</v>
      </c>
      <c r="O1311" s="6">
        <f t="shared" ref="O1311:O1315" si="292">-N1311</f>
        <v>-3510</v>
      </c>
      <c r="P1311" s="6">
        <f t="shared" si="287"/>
        <v>0</v>
      </c>
      <c r="Q1311" s="7">
        <f t="shared" si="288"/>
        <v>2427769.4500000011</v>
      </c>
      <c r="R1311" s="44" t="str">
        <f>VLOOKUP(F1311,'Set up'!$A$2:$E$70,5,FALSE)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280"/>
        <v>1</v>
      </c>
      <c r="C1312" s="5">
        <f t="shared" si="281"/>
        <v>2023</v>
      </c>
      <c r="D1312" s="5" t="s">
        <v>1181</v>
      </c>
      <c r="E1312" s="5" t="str">
        <f>VLOOKUP(F1312,'Set up'!$A$2:$C$70,2,FALSE)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up'!$A$2:$C$70,3,FALSE)</f>
        <v>Cash</v>
      </c>
      <c r="J1312" s="5">
        <f>VLOOKUP(F1312,'Set up'!$A$2:$D$70,4,FALSE)</f>
        <v>0</v>
      </c>
      <c r="K1312" s="4">
        <f t="shared" si="282"/>
        <v>44938</v>
      </c>
      <c r="L1312" s="5">
        <f t="shared" si="283"/>
        <v>1</v>
      </c>
      <c r="M1312" s="5">
        <f t="shared" si="284"/>
        <v>2023</v>
      </c>
      <c r="N1312" s="6">
        <v>1638</v>
      </c>
      <c r="O1312" s="6">
        <f t="shared" si="292"/>
        <v>-1638</v>
      </c>
      <c r="P1312" s="6">
        <f t="shared" si="287"/>
        <v>0</v>
      </c>
      <c r="Q1312" s="7">
        <f t="shared" si="288"/>
        <v>2429407.4500000011</v>
      </c>
      <c r="R1312" s="44" t="str">
        <f>VLOOKUP(F1312,'Set up'!$A$2:$E$70,5,FALSE)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si="280"/>
        <v>1</v>
      </c>
      <c r="C1313" s="5">
        <f t="shared" si="281"/>
        <v>2023</v>
      </c>
      <c r="D1313" s="5" t="s">
        <v>1181</v>
      </c>
      <c r="E1313" s="5" t="str">
        <f>VLOOKUP(F1313,'Set up'!$A$2:$C$70,2,FALSE)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up'!$A$2:$C$70,3,FALSE)</f>
        <v>Cash</v>
      </c>
      <c r="J1313" s="5">
        <f>VLOOKUP(F1313,'Set up'!$A$2:$D$70,4,FALSE)</f>
        <v>0</v>
      </c>
      <c r="K1313" s="4">
        <f t="shared" si="282"/>
        <v>44938</v>
      </c>
      <c r="L1313" s="5">
        <f t="shared" si="283"/>
        <v>1</v>
      </c>
      <c r="M1313" s="5">
        <f t="shared" si="284"/>
        <v>2023</v>
      </c>
      <c r="N1313" s="6">
        <v>1000</v>
      </c>
      <c r="O1313" s="6">
        <f t="shared" si="292"/>
        <v>-1000</v>
      </c>
      <c r="P1313" s="6">
        <f t="shared" ref="P1313:P1326" si="293">SUM(N1313+O1313)</f>
        <v>0</v>
      </c>
      <c r="Q1313" s="7">
        <f t="shared" ref="Q1313:Q1318" si="294">SUM(Q1312+N1313)</f>
        <v>2430407.4500000011</v>
      </c>
      <c r="R1313" s="44" t="str">
        <f>VLOOKUP(F1313,'Set up'!$A$2:$E$70,5,FALSE)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280"/>
        <v>1</v>
      </c>
      <c r="C1314" s="5">
        <f t="shared" si="281"/>
        <v>2023</v>
      </c>
      <c r="D1314" s="5" t="s">
        <v>1181</v>
      </c>
      <c r="E1314" s="5" t="str">
        <f>VLOOKUP(F1314,'Set up'!$A$2:$C$70,2,FALSE)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up'!$A$2:$C$70,3,FALSE)</f>
        <v>Cash</v>
      </c>
      <c r="J1314" s="5">
        <f>VLOOKUP(F1314,'Set up'!$A$2:$D$70,4,FALSE)</f>
        <v>0</v>
      </c>
      <c r="K1314" s="4">
        <f t="shared" si="282"/>
        <v>44938</v>
      </c>
      <c r="L1314" s="5">
        <f t="shared" si="283"/>
        <v>1</v>
      </c>
      <c r="M1314" s="5">
        <f t="shared" si="284"/>
        <v>2023</v>
      </c>
      <c r="N1314" s="6">
        <v>312.5</v>
      </c>
      <c r="O1314" s="6">
        <f>-45.2-267.3</f>
        <v>-312.5</v>
      </c>
      <c r="P1314" s="6">
        <f t="shared" si="293"/>
        <v>0</v>
      </c>
      <c r="Q1314" s="7">
        <f t="shared" si="294"/>
        <v>2430719.9500000011</v>
      </c>
      <c r="R1314" s="44" t="str">
        <f>VLOOKUP(F1314,'Set up'!$A$2:$E$70,5,FALSE)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280"/>
        <v>1</v>
      </c>
      <c r="C1315" s="5">
        <f t="shared" si="281"/>
        <v>2023</v>
      </c>
      <c r="D1315" s="5" t="s">
        <v>1181</v>
      </c>
      <c r="E1315" s="5" t="str">
        <f>VLOOKUP(F1315,'Set up'!$A$2:$C$70,2,FALSE)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up'!$A$2:$C$70,3,FALSE)</f>
        <v>Cash</v>
      </c>
      <c r="J1315" s="5">
        <f>VLOOKUP(F1315,'Set up'!$A$2:$D$70,4,FALSE)</f>
        <v>0</v>
      </c>
      <c r="K1315" s="4">
        <f t="shared" si="282"/>
        <v>44938</v>
      </c>
      <c r="L1315" s="5">
        <f t="shared" si="283"/>
        <v>1</v>
      </c>
      <c r="M1315" s="5">
        <f t="shared" si="284"/>
        <v>2023</v>
      </c>
      <c r="N1315" s="6">
        <v>420</v>
      </c>
      <c r="O1315" s="6">
        <f t="shared" si="292"/>
        <v>-420</v>
      </c>
      <c r="P1315" s="6">
        <f t="shared" si="293"/>
        <v>0</v>
      </c>
      <c r="Q1315" s="7">
        <f t="shared" si="294"/>
        <v>2431139.9500000011</v>
      </c>
      <c r="R1315" s="44" t="str">
        <f>VLOOKUP(F1315,'Set up'!$A$2:$E$70,5,FALSE)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280"/>
        <v>1</v>
      </c>
      <c r="C1316" s="5">
        <f t="shared" si="281"/>
        <v>2023</v>
      </c>
      <c r="D1316" s="5" t="s">
        <v>1182</v>
      </c>
      <c r="E1316" s="5" t="str">
        <f>VLOOKUP(F1316,'Set up'!$A$2:$C$70,2,FALSE)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up'!$A$2:$C$70,3,FALSE)</f>
        <v>Cash</v>
      </c>
      <c r="J1316" s="5">
        <f>VLOOKUP(F1316,'Set up'!$A$2:$D$70,4,FALSE)</f>
        <v>0</v>
      </c>
      <c r="K1316" s="4">
        <f t="shared" si="282"/>
        <v>44938</v>
      </c>
      <c r="L1316" s="5">
        <f t="shared" si="283"/>
        <v>1</v>
      </c>
      <c r="M1316" s="5">
        <f t="shared" si="284"/>
        <v>2023</v>
      </c>
      <c r="N1316" s="6">
        <v>256</v>
      </c>
      <c r="O1316" s="6">
        <f t="shared" ref="O1316" si="295">-N1316</f>
        <v>-256</v>
      </c>
      <c r="P1316" s="6">
        <f t="shared" si="293"/>
        <v>0</v>
      </c>
      <c r="Q1316" s="7">
        <f t="shared" si="294"/>
        <v>2431395.9500000011</v>
      </c>
      <c r="R1316" s="44" t="str">
        <f>VLOOKUP(F1316,'Set up'!$A$2:$E$70,5,FALSE)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280"/>
        <v>1</v>
      </c>
      <c r="C1317" s="5">
        <f t="shared" si="281"/>
        <v>2023</v>
      </c>
      <c r="D1317" s="5" t="s">
        <v>1183</v>
      </c>
      <c r="E1317" s="5" t="str">
        <f>VLOOKUP(F1317,'Set up'!$A$2:$C$70,2,FALSE)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up'!$A$2:$C$70,3,FALSE)</f>
        <v>Cash</v>
      </c>
      <c r="J1317" s="5">
        <f>VLOOKUP(F1317,'Set up'!$A$2:$D$70,4,FALSE)</f>
        <v>0</v>
      </c>
      <c r="K1317" s="4">
        <f t="shared" si="282"/>
        <v>44939</v>
      </c>
      <c r="L1317" s="5">
        <f t="shared" si="283"/>
        <v>1</v>
      </c>
      <c r="M1317" s="5">
        <f t="shared" si="284"/>
        <v>2023</v>
      </c>
      <c r="N1317" s="6">
        <v>1738</v>
      </c>
      <c r="O1317" s="6">
        <f>-N1317</f>
        <v>-1738</v>
      </c>
      <c r="P1317" s="6">
        <f t="shared" si="293"/>
        <v>0</v>
      </c>
      <c r="Q1317" s="7">
        <f t="shared" si="294"/>
        <v>2433133.9500000011</v>
      </c>
      <c r="R1317" s="44" t="str">
        <f>VLOOKUP(F1317,'Set up'!$A$2:$E$70,5,FALSE)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280"/>
        <v>1</v>
      </c>
      <c r="C1318" s="5">
        <f t="shared" si="281"/>
        <v>2023</v>
      </c>
      <c r="D1318" s="5" t="s">
        <v>1183</v>
      </c>
      <c r="E1318" s="5" t="str">
        <f>VLOOKUP(F1318,'Set up'!$A$2:$C$70,2,FALSE)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up'!$A$2:$C$70,3,FALSE)</f>
        <v>Cash</v>
      </c>
      <c r="J1318" s="5">
        <f>VLOOKUP(F1318,'Set up'!$A$2:$D$70,4,FALSE)</f>
        <v>0</v>
      </c>
      <c r="K1318" s="4">
        <f t="shared" si="282"/>
        <v>44939</v>
      </c>
      <c r="L1318" s="5">
        <f t="shared" si="283"/>
        <v>1</v>
      </c>
      <c r="M1318" s="5">
        <f t="shared" si="284"/>
        <v>2023</v>
      </c>
      <c r="N1318" s="6">
        <v>62.5</v>
      </c>
      <c r="O1318" s="6">
        <f>-N1318</f>
        <v>-62.5</v>
      </c>
      <c r="P1318" s="6">
        <f t="shared" si="293"/>
        <v>0</v>
      </c>
      <c r="Q1318" s="7">
        <f t="shared" si="294"/>
        <v>2433196.4500000011</v>
      </c>
      <c r="R1318" s="44" t="str">
        <f>VLOOKUP(F1318,'Set up'!$A$2:$E$70,5,FALSE)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280"/>
        <v>1</v>
      </c>
      <c r="C1319" s="5">
        <f t="shared" si="281"/>
        <v>2023</v>
      </c>
      <c r="D1319" s="5" t="s">
        <v>1188</v>
      </c>
      <c r="E1319" s="5" t="str">
        <f>VLOOKUP(F1319,'Set up'!$A$2:$C$70,2,FALSE)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up'!$A$2:$C$70,3,FALSE)</f>
        <v>Cash</v>
      </c>
      <c r="J1319" s="5">
        <f>VLOOKUP(F1319,'Set up'!$A$2:$D$70,4,FALSE)</f>
        <v>0</v>
      </c>
      <c r="K1319" s="4">
        <f t="shared" si="282"/>
        <v>44940</v>
      </c>
      <c r="L1319" s="5">
        <f t="shared" si="283"/>
        <v>1</v>
      </c>
      <c r="M1319" s="5">
        <f t="shared" si="284"/>
        <v>2023</v>
      </c>
      <c r="N1319" s="6">
        <v>250</v>
      </c>
      <c r="O1319" s="6">
        <f t="shared" ref="O1319:O1323" si="296">-N1319</f>
        <v>-250</v>
      </c>
      <c r="P1319" s="6">
        <f t="shared" si="293"/>
        <v>0</v>
      </c>
      <c r="Q1319" s="7">
        <f t="shared" ref="Q1319:Q1326" si="297">SUM(Q1318+N1319)</f>
        <v>2433446.4500000011</v>
      </c>
      <c r="R1319" s="44" t="str">
        <f>VLOOKUP(F1319,'Set up'!$A$2:$E$70,5,FALSE)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si="280"/>
        <v>1</v>
      </c>
      <c r="C1320" s="5">
        <f t="shared" si="281"/>
        <v>2023</v>
      </c>
      <c r="D1320" s="5" t="s">
        <v>1189</v>
      </c>
      <c r="E1320" s="5" t="str">
        <f>VLOOKUP(F1320,'Set up'!$A$2:$C$70,2,FALSE)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up'!$A$2:$C$70,3,FALSE)</f>
        <v>Cash</v>
      </c>
      <c r="J1320" s="5">
        <f>VLOOKUP(F1320,'Set up'!$A$2:$D$70,4,FALSE)</f>
        <v>0</v>
      </c>
      <c r="K1320" s="4">
        <f t="shared" si="282"/>
        <v>44940</v>
      </c>
      <c r="L1320" s="5">
        <f t="shared" si="283"/>
        <v>1</v>
      </c>
      <c r="M1320" s="5">
        <f t="shared" si="284"/>
        <v>2023</v>
      </c>
      <c r="N1320" s="6">
        <v>8690</v>
      </c>
      <c r="O1320" s="6">
        <f t="shared" si="296"/>
        <v>-8690</v>
      </c>
      <c r="P1320" s="6">
        <f t="shared" si="293"/>
        <v>0</v>
      </c>
      <c r="Q1320" s="7">
        <f t="shared" si="297"/>
        <v>2442136.4500000011</v>
      </c>
      <c r="R1320" s="44" t="str">
        <f>VLOOKUP(F1320,'Set up'!$A$2:$E$70,5,FALSE)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280"/>
        <v>1</v>
      </c>
      <c r="C1321" s="5">
        <f t="shared" si="281"/>
        <v>2023</v>
      </c>
      <c r="D1321" s="5" t="s">
        <v>1189</v>
      </c>
      <c r="E1321" s="5" t="str">
        <f>VLOOKUP(F1321,'Set up'!$A$2:$C$70,2,FALSE)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up'!$A$2:$C$70,3,FALSE)</f>
        <v>Cash</v>
      </c>
      <c r="J1321" s="5">
        <f>VLOOKUP(F1321,'Set up'!$A$2:$D$70,4,FALSE)</f>
        <v>0</v>
      </c>
      <c r="K1321" s="4">
        <f t="shared" si="282"/>
        <v>44940</v>
      </c>
      <c r="L1321" s="5">
        <f t="shared" si="283"/>
        <v>1</v>
      </c>
      <c r="M1321" s="5">
        <f t="shared" si="284"/>
        <v>2023</v>
      </c>
      <c r="N1321" s="6">
        <v>3510</v>
      </c>
      <c r="O1321" s="6">
        <f t="shared" si="296"/>
        <v>-3510</v>
      </c>
      <c r="P1321" s="6">
        <f t="shared" si="293"/>
        <v>0</v>
      </c>
      <c r="Q1321" s="7">
        <f t="shared" si="297"/>
        <v>2445646.4500000011</v>
      </c>
      <c r="R1321" s="44" t="str">
        <f>VLOOKUP(F1321,'Set up'!$A$2:$E$70,5,FALSE)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280"/>
        <v>1</v>
      </c>
      <c r="C1322" s="5">
        <f t="shared" si="281"/>
        <v>2023</v>
      </c>
      <c r="D1322" s="5" t="s">
        <v>1189</v>
      </c>
      <c r="E1322" s="5" t="str">
        <f>VLOOKUP(F1322,'Set up'!$A$2:$C$70,2,FALSE)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up'!$A$2:$C$70,3,FALSE)</f>
        <v>Cash</v>
      </c>
      <c r="J1322" s="5">
        <f>VLOOKUP(F1322,'Set up'!$A$2:$D$70,4,FALSE)</f>
        <v>0</v>
      </c>
      <c r="K1322" s="4">
        <f t="shared" si="282"/>
        <v>44940</v>
      </c>
      <c r="L1322" s="5">
        <f t="shared" si="283"/>
        <v>1</v>
      </c>
      <c r="M1322" s="5">
        <f t="shared" si="284"/>
        <v>2023</v>
      </c>
      <c r="N1322" s="6">
        <v>1638</v>
      </c>
      <c r="O1322" s="6">
        <f t="shared" si="296"/>
        <v>-1638</v>
      </c>
      <c r="P1322" s="6">
        <f t="shared" si="293"/>
        <v>0</v>
      </c>
      <c r="Q1322" s="7">
        <f t="shared" si="297"/>
        <v>2447284.4500000011</v>
      </c>
      <c r="R1322" s="44" t="str">
        <f>VLOOKUP(F1322,'Set up'!$A$2:$E$70,5,FALSE)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280"/>
        <v>1</v>
      </c>
      <c r="C1323" s="5">
        <f t="shared" si="281"/>
        <v>2023</v>
      </c>
      <c r="D1323" s="5" t="s">
        <v>1189</v>
      </c>
      <c r="E1323" s="5" t="str">
        <f>VLOOKUP(F1323,'Set up'!$A$2:$C$70,2,FALSE)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up'!$A$2:$C$70,3,FALSE)</f>
        <v>Cash</v>
      </c>
      <c r="J1323" s="5">
        <f>VLOOKUP(F1323,'Set up'!$A$2:$D$70,4,FALSE)</f>
        <v>0</v>
      </c>
      <c r="K1323" s="4">
        <f t="shared" si="282"/>
        <v>44940</v>
      </c>
      <c r="L1323" s="5">
        <f t="shared" si="283"/>
        <v>1</v>
      </c>
      <c r="M1323" s="5">
        <f t="shared" si="284"/>
        <v>2023</v>
      </c>
      <c r="N1323" s="6">
        <v>312.5</v>
      </c>
      <c r="O1323" s="6">
        <f t="shared" si="296"/>
        <v>-312.5</v>
      </c>
      <c r="P1323" s="6">
        <f t="shared" si="293"/>
        <v>0</v>
      </c>
      <c r="Q1323" s="7">
        <f t="shared" si="297"/>
        <v>2447596.9500000011</v>
      </c>
      <c r="R1323" s="44" t="str">
        <f>VLOOKUP(F1323,'Set up'!$A$2:$E$70,5,FALSE)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280"/>
        <v>1</v>
      </c>
      <c r="C1324" s="5">
        <f t="shared" si="281"/>
        <v>2023</v>
      </c>
      <c r="D1324" s="5" t="s">
        <v>1190</v>
      </c>
      <c r="E1324" s="5" t="str">
        <f>VLOOKUP(F1324,'Set up'!$A$2:$C$70,2,FALSE)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up'!$A$2:$C$70,3,FALSE)</f>
        <v>Cash</v>
      </c>
      <c r="J1324" s="5">
        <f>VLOOKUP(F1324,'Set up'!$A$2:$D$70,4,FALSE)</f>
        <v>0</v>
      </c>
      <c r="K1324" s="4">
        <f t="shared" si="282"/>
        <v>44942</v>
      </c>
      <c r="L1324" s="5">
        <f t="shared" si="283"/>
        <v>1</v>
      </c>
      <c r="M1324" s="5">
        <f t="shared" si="284"/>
        <v>2023</v>
      </c>
      <c r="N1324" s="6">
        <v>1936</v>
      </c>
      <c r="O1324" s="6">
        <f t="shared" ref="O1324:O1326" si="298">-N1324</f>
        <v>-1936</v>
      </c>
      <c r="P1324" s="6">
        <f t="shared" si="293"/>
        <v>0</v>
      </c>
      <c r="Q1324" s="7">
        <f t="shared" si="297"/>
        <v>2449532.9500000011</v>
      </c>
      <c r="R1324" s="44" t="str">
        <f>VLOOKUP(F1324,'Set up'!$A$2:$E$70,5,FALSE)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280"/>
        <v>1</v>
      </c>
      <c r="C1325" s="5">
        <f t="shared" si="281"/>
        <v>2023</v>
      </c>
      <c r="D1325" s="5" t="s">
        <v>1190</v>
      </c>
      <c r="E1325" s="5" t="str">
        <f>VLOOKUP(F1325,'Set up'!$A$2:$C$70,2,FALSE)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up'!$A$2:$C$70,3,FALSE)</f>
        <v>Cash</v>
      </c>
      <c r="J1325" s="5">
        <f>VLOOKUP(F1325,'Set up'!$A$2:$D$70,4,FALSE)</f>
        <v>0</v>
      </c>
      <c r="K1325" s="4">
        <f t="shared" si="282"/>
        <v>44942</v>
      </c>
      <c r="L1325" s="5">
        <f t="shared" si="283"/>
        <v>1</v>
      </c>
      <c r="M1325" s="5">
        <f t="shared" si="284"/>
        <v>2023</v>
      </c>
      <c r="N1325" s="6">
        <v>801</v>
      </c>
      <c r="O1325" s="6">
        <f t="shared" si="298"/>
        <v>-801</v>
      </c>
      <c r="P1325" s="6">
        <f t="shared" si="293"/>
        <v>0</v>
      </c>
      <c r="Q1325" s="7">
        <f t="shared" si="297"/>
        <v>2450333.9500000011</v>
      </c>
      <c r="R1325" s="44" t="str">
        <f>VLOOKUP(F1325,'Set up'!$A$2:$E$70,5,FALSE)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280"/>
        <v>1</v>
      </c>
      <c r="C1326" s="5">
        <f t="shared" si="281"/>
        <v>2023</v>
      </c>
      <c r="D1326" s="5" t="s">
        <v>1190</v>
      </c>
      <c r="E1326" s="5" t="str">
        <f>VLOOKUP(F1326,'Set up'!$A$2:$C$70,2,FALSE)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up'!$A$2:$C$70,3,FALSE)</f>
        <v>Cash</v>
      </c>
      <c r="J1326" s="5">
        <f>VLOOKUP(F1326,'Set up'!$A$2:$D$70,4,FALSE)</f>
        <v>0</v>
      </c>
      <c r="K1326" s="4">
        <f t="shared" si="282"/>
        <v>44942</v>
      </c>
      <c r="L1326" s="5">
        <f t="shared" si="283"/>
        <v>1</v>
      </c>
      <c r="M1326" s="5">
        <f t="shared" si="284"/>
        <v>2023</v>
      </c>
      <c r="N1326" s="6">
        <v>95</v>
      </c>
      <c r="O1326" s="6">
        <f t="shared" si="298"/>
        <v>-95</v>
      </c>
      <c r="P1326" s="6">
        <f t="shared" si="293"/>
        <v>0</v>
      </c>
      <c r="Q1326" s="7">
        <f t="shared" si="297"/>
        <v>2450428.9500000011</v>
      </c>
      <c r="R1326" s="44" t="str">
        <f>VLOOKUP(F1326,'Set up'!$A$2:$E$70,5,FALSE)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si="280"/>
        <v>1</v>
      </c>
      <c r="C1327" s="5">
        <f t="shared" si="281"/>
        <v>2023</v>
      </c>
      <c r="D1327" s="5" t="s">
        <v>1191</v>
      </c>
      <c r="E1327" s="5" t="str">
        <f>VLOOKUP(F1327,'Set up'!$A$2:$C$70,2,FALSE)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up'!$A$2:$C$70,3,FALSE)</f>
        <v>Cash</v>
      </c>
      <c r="J1327" s="5">
        <f>VLOOKUP(F1327,'Set up'!$A$2:$D$70,4,FALSE)</f>
        <v>0</v>
      </c>
      <c r="K1327" s="4">
        <f t="shared" si="282"/>
        <v>44944</v>
      </c>
      <c r="L1327" s="5">
        <f t="shared" si="283"/>
        <v>1</v>
      </c>
      <c r="M1327" s="5">
        <f t="shared" si="284"/>
        <v>2023</v>
      </c>
      <c r="N1327" s="6">
        <v>1936</v>
      </c>
      <c r="O1327" s="6">
        <f>-1720-216</f>
        <v>-1936</v>
      </c>
      <c r="P1327" s="6">
        <f t="shared" ref="P1327:P1346" si="299">SUM(N1327+O1327)</f>
        <v>0</v>
      </c>
      <c r="Q1327" s="7">
        <f t="shared" ref="Q1327:Q1346" si="300">SUM(Q1326+N1327)</f>
        <v>2452364.9500000011</v>
      </c>
      <c r="R1327" s="44" t="str">
        <f>VLOOKUP(F1327,'Set up'!$A$2:$E$70,5,FALSE)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280"/>
        <v>1</v>
      </c>
      <c r="C1328" s="5">
        <f t="shared" si="281"/>
        <v>2023</v>
      </c>
      <c r="D1328" s="5" t="s">
        <v>1192</v>
      </c>
      <c r="E1328" s="5" t="str">
        <f>VLOOKUP(F1328,'Set up'!$A$2:$C$70,2,FALSE)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up'!$A$2:$C$70,3,FALSE)</f>
        <v>120</v>
      </c>
      <c r="J1328" s="5">
        <f>VLOOKUP(F1328,'Set up'!$A$2:$D$70,4,FALSE)</f>
        <v>120</v>
      </c>
      <c r="K1328" s="4">
        <f t="shared" si="282"/>
        <v>45064</v>
      </c>
      <c r="L1328" s="5">
        <f t="shared" si="283"/>
        <v>5</v>
      </c>
      <c r="M1328" s="5">
        <f t="shared" si="284"/>
        <v>2023</v>
      </c>
      <c r="N1328" s="6">
        <v>13024</v>
      </c>
      <c r="O1328" s="6">
        <f t="shared" ref="O1328:O1333" si="301">-N1328</f>
        <v>-13024</v>
      </c>
      <c r="P1328" s="6">
        <f t="shared" si="299"/>
        <v>0</v>
      </c>
      <c r="Q1328" s="7">
        <f t="shared" si="300"/>
        <v>2465388.9500000011</v>
      </c>
      <c r="R1328" s="44" t="str">
        <f>VLOOKUP(F1328,'Set up'!$A$2:$E$70,5,FALSE)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280"/>
        <v>1</v>
      </c>
      <c r="C1329" s="5">
        <f t="shared" si="281"/>
        <v>2023</v>
      </c>
      <c r="D1329" s="5" t="s">
        <v>1192</v>
      </c>
      <c r="E1329" s="5" t="str">
        <f>VLOOKUP(F1329,'Set up'!$A$2:$C$70,2,FALSE)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up'!$A$2:$C$70,3,FALSE)</f>
        <v>120</v>
      </c>
      <c r="J1329" s="5">
        <f>VLOOKUP(F1329,'Set up'!$A$2:$D$70,4,FALSE)</f>
        <v>120</v>
      </c>
      <c r="K1329" s="4">
        <f t="shared" si="282"/>
        <v>45064</v>
      </c>
      <c r="L1329" s="5">
        <f t="shared" si="283"/>
        <v>5</v>
      </c>
      <c r="M1329" s="5">
        <f t="shared" si="284"/>
        <v>2023</v>
      </c>
      <c r="N1329" s="6">
        <v>2070</v>
      </c>
      <c r="O1329" s="6">
        <f t="shared" si="301"/>
        <v>-2070</v>
      </c>
      <c r="P1329" s="6">
        <f t="shared" si="299"/>
        <v>0</v>
      </c>
      <c r="Q1329" s="7">
        <f t="shared" si="300"/>
        <v>2467458.9500000011</v>
      </c>
      <c r="R1329" s="44" t="str">
        <f>VLOOKUP(F1329,'Set up'!$A$2:$E$70,5,FALSE)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280"/>
        <v>1</v>
      </c>
      <c r="C1330" s="5">
        <f t="shared" si="281"/>
        <v>2023</v>
      </c>
      <c r="D1330" s="5" t="s">
        <v>1192</v>
      </c>
      <c r="E1330" s="5" t="str">
        <f>VLOOKUP(F1330,'Set up'!$A$2:$C$70,2,FALSE)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up'!$A$2:$C$70,3,FALSE)</f>
        <v>120</v>
      </c>
      <c r="J1330" s="5">
        <f>VLOOKUP(F1330,'Set up'!$A$2:$D$70,4,FALSE)</f>
        <v>120</v>
      </c>
      <c r="K1330" s="4">
        <f t="shared" si="282"/>
        <v>45064</v>
      </c>
      <c r="L1330" s="5">
        <f t="shared" si="283"/>
        <v>5</v>
      </c>
      <c r="M1330" s="5">
        <f t="shared" si="284"/>
        <v>2023</v>
      </c>
      <c r="N1330" s="6">
        <v>575</v>
      </c>
      <c r="O1330" s="6">
        <f t="shared" si="301"/>
        <v>-575</v>
      </c>
      <c r="P1330" s="6">
        <f t="shared" si="299"/>
        <v>0</v>
      </c>
      <c r="Q1330" s="7">
        <f t="shared" si="300"/>
        <v>2468033.9500000011</v>
      </c>
      <c r="R1330" s="44" t="str">
        <f>VLOOKUP(F1330,'Set up'!$A$2:$E$70,5,FALSE)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280"/>
        <v>1</v>
      </c>
      <c r="C1331" s="5">
        <f t="shared" si="281"/>
        <v>2023</v>
      </c>
      <c r="D1331" s="5" t="s">
        <v>1192</v>
      </c>
      <c r="E1331" s="5" t="str">
        <f>VLOOKUP(F1331,'Set up'!$A$2:$C$70,2,FALSE)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up'!$A$2:$C$70,3,FALSE)</f>
        <v>120</v>
      </c>
      <c r="J1331" s="5">
        <f>VLOOKUP(F1331,'Set up'!$A$2:$D$70,4,FALSE)</f>
        <v>120</v>
      </c>
      <c r="K1331" s="4">
        <f t="shared" si="282"/>
        <v>45064</v>
      </c>
      <c r="L1331" s="5">
        <f t="shared" si="283"/>
        <v>5</v>
      </c>
      <c r="M1331" s="5">
        <f t="shared" si="284"/>
        <v>2023</v>
      </c>
      <c r="N1331" s="6">
        <v>840</v>
      </c>
      <c r="O1331" s="6">
        <f t="shared" si="301"/>
        <v>-840</v>
      </c>
      <c r="P1331" s="6">
        <f t="shared" si="299"/>
        <v>0</v>
      </c>
      <c r="Q1331" s="7">
        <f t="shared" si="300"/>
        <v>2468873.9500000011</v>
      </c>
      <c r="R1331" s="44" t="str">
        <f>VLOOKUP(F1331,'Set up'!$A$2:$E$70,5,FALSE)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280"/>
        <v>1</v>
      </c>
      <c r="C1332" s="5">
        <f t="shared" si="281"/>
        <v>2023</v>
      </c>
      <c r="D1332" s="5" t="s">
        <v>1192</v>
      </c>
      <c r="E1332" s="5" t="str">
        <f>VLOOKUP(F1332,'Set up'!$A$2:$C$70,2,FALSE)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up'!$A$2:$C$70,3,FALSE)</f>
        <v>120</v>
      </c>
      <c r="J1332" s="5">
        <f>VLOOKUP(F1332,'Set up'!$A$2:$D$70,4,FALSE)</f>
        <v>120</v>
      </c>
      <c r="K1332" s="4">
        <f t="shared" si="282"/>
        <v>45064</v>
      </c>
      <c r="L1332" s="5">
        <f t="shared" si="283"/>
        <v>5</v>
      </c>
      <c r="M1332" s="5">
        <f t="shared" si="284"/>
        <v>2023</v>
      </c>
      <c r="N1332" s="6">
        <v>200</v>
      </c>
      <c r="O1332" s="6">
        <f t="shared" si="301"/>
        <v>-200</v>
      </c>
      <c r="P1332" s="6">
        <f t="shared" si="299"/>
        <v>0</v>
      </c>
      <c r="Q1332" s="7">
        <f t="shared" si="300"/>
        <v>2469073.9500000011</v>
      </c>
      <c r="R1332" s="44" t="str">
        <f>VLOOKUP(F1332,'Set up'!$A$2:$E$70,5,FALSE)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280"/>
        <v>1</v>
      </c>
      <c r="C1333" s="5">
        <f t="shared" si="281"/>
        <v>2023</v>
      </c>
      <c r="D1333" s="5" t="s">
        <v>1192</v>
      </c>
      <c r="E1333" s="5" t="str">
        <f>VLOOKUP(F1333,'Set up'!$A$2:$C$70,2,FALSE)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up'!$A$2:$C$70,3,FALSE)</f>
        <v>120</v>
      </c>
      <c r="J1333" s="5">
        <f>VLOOKUP(F1333,'Set up'!$A$2:$D$70,4,FALSE)</f>
        <v>120</v>
      </c>
      <c r="K1333" s="4">
        <f t="shared" si="282"/>
        <v>45064</v>
      </c>
      <c r="L1333" s="5">
        <f t="shared" si="283"/>
        <v>5</v>
      </c>
      <c r="M1333" s="5">
        <f t="shared" si="284"/>
        <v>2023</v>
      </c>
      <c r="N1333" s="6">
        <v>420</v>
      </c>
      <c r="O1333" s="6">
        <f t="shared" si="301"/>
        <v>-420</v>
      </c>
      <c r="P1333" s="6">
        <f t="shared" si="299"/>
        <v>0</v>
      </c>
      <c r="Q1333" s="7">
        <f t="shared" si="300"/>
        <v>2469493.9500000011</v>
      </c>
      <c r="R1333" s="44" t="str">
        <f>VLOOKUP(F1333,'Set up'!$A$2:$E$70,5,FALSE)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280"/>
        <v>1</v>
      </c>
      <c r="C1334" s="5">
        <f t="shared" si="281"/>
        <v>2023</v>
      </c>
      <c r="D1334" s="5" t="s">
        <v>1193</v>
      </c>
      <c r="E1334" s="5" t="str">
        <f>VLOOKUP(F1334,'Set up'!$A$2:$C$70,2,FALSE)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up'!$A$2:$C$70,3,FALSE)</f>
        <v>Cash</v>
      </c>
      <c r="J1334" s="5">
        <f>VLOOKUP(F1334,'Set up'!$A$2:$D$70,4,FALSE)</f>
        <v>0</v>
      </c>
      <c r="K1334" s="4">
        <f t="shared" si="282"/>
        <v>44945</v>
      </c>
      <c r="L1334" s="5">
        <f t="shared" si="283"/>
        <v>1</v>
      </c>
      <c r="M1334" s="5">
        <f t="shared" si="284"/>
        <v>2023</v>
      </c>
      <c r="N1334" s="6">
        <v>8690</v>
      </c>
      <c r="O1334" s="6">
        <f>-8162.2-527.8</f>
        <v>-8690</v>
      </c>
      <c r="P1334" s="6">
        <f t="shared" si="299"/>
        <v>0</v>
      </c>
      <c r="Q1334" s="7">
        <f t="shared" si="300"/>
        <v>2478183.9500000011</v>
      </c>
      <c r="R1334" s="44" t="str">
        <f>VLOOKUP(F1334,'Set up'!$A$2:$E$70,5,FALSE)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280"/>
        <v>1</v>
      </c>
      <c r="C1335" s="5">
        <f t="shared" si="281"/>
        <v>2023</v>
      </c>
      <c r="D1335" s="5" t="s">
        <v>1193</v>
      </c>
      <c r="E1335" s="5" t="str">
        <f>VLOOKUP(F1335,'Set up'!$A$2:$C$70,2,FALSE)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up'!$A$2:$C$70,3,FALSE)</f>
        <v>Cash</v>
      </c>
      <c r="J1335" s="5">
        <f>VLOOKUP(F1335,'Set up'!$A$2:$D$70,4,FALSE)</f>
        <v>0</v>
      </c>
      <c r="K1335" s="4">
        <f t="shared" si="282"/>
        <v>44945</v>
      </c>
      <c r="L1335" s="5">
        <f t="shared" si="283"/>
        <v>1</v>
      </c>
      <c r="M1335" s="5">
        <f t="shared" si="284"/>
        <v>2023</v>
      </c>
      <c r="N1335" s="6">
        <v>3510</v>
      </c>
      <c r="O1335" s="6">
        <f t="shared" ref="O1335:O1337" si="302">-N1335</f>
        <v>-3510</v>
      </c>
      <c r="P1335" s="6">
        <f t="shared" si="299"/>
        <v>0</v>
      </c>
      <c r="Q1335" s="7">
        <f t="shared" si="300"/>
        <v>2481693.9500000011</v>
      </c>
      <c r="R1335" s="44" t="str">
        <f>VLOOKUP(F1335,'Set up'!$A$2:$E$70,5,FALSE)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280"/>
        <v>1</v>
      </c>
      <c r="C1336" s="5">
        <f t="shared" si="281"/>
        <v>2023</v>
      </c>
      <c r="D1336" s="5" t="s">
        <v>1193</v>
      </c>
      <c r="E1336" s="5" t="str">
        <f>VLOOKUP(F1336,'Set up'!$A$2:$C$70,2,FALSE)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up'!$A$2:$C$70,3,FALSE)</f>
        <v>Cash</v>
      </c>
      <c r="J1336" s="5">
        <f>VLOOKUP(F1336,'Set up'!$A$2:$D$70,4,FALSE)</f>
        <v>0</v>
      </c>
      <c r="K1336" s="4">
        <f t="shared" si="282"/>
        <v>44945</v>
      </c>
      <c r="L1336" s="5">
        <f t="shared" si="283"/>
        <v>1</v>
      </c>
      <c r="M1336" s="5">
        <f t="shared" si="284"/>
        <v>2023</v>
      </c>
      <c r="N1336" s="6">
        <v>1365</v>
      </c>
      <c r="O1336" s="6">
        <f t="shared" si="302"/>
        <v>-1365</v>
      </c>
      <c r="P1336" s="6">
        <f t="shared" si="299"/>
        <v>0</v>
      </c>
      <c r="Q1336" s="7">
        <f t="shared" si="300"/>
        <v>2483058.9500000011</v>
      </c>
      <c r="R1336" s="44" t="str">
        <f>VLOOKUP(F1336,'Set up'!$A$2:$E$70,5,FALSE)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280"/>
        <v>1</v>
      </c>
      <c r="C1337" s="5">
        <f t="shared" si="281"/>
        <v>2023</v>
      </c>
      <c r="D1337" s="5" t="s">
        <v>1193</v>
      </c>
      <c r="E1337" s="5" t="str">
        <f>VLOOKUP(F1337,'Set up'!$A$2:$C$70,2,FALSE)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up'!$A$2:$C$70,3,FALSE)</f>
        <v>Cash</v>
      </c>
      <c r="J1337" s="5">
        <f>VLOOKUP(F1337,'Set up'!$A$2:$D$70,4,FALSE)</f>
        <v>0</v>
      </c>
      <c r="K1337" s="4">
        <f t="shared" si="282"/>
        <v>44945</v>
      </c>
      <c r="L1337" s="5">
        <f t="shared" si="283"/>
        <v>1</v>
      </c>
      <c r="M1337" s="5">
        <f t="shared" si="284"/>
        <v>2023</v>
      </c>
      <c r="N1337" s="6">
        <v>1000</v>
      </c>
      <c r="O1337" s="6">
        <f t="shared" si="302"/>
        <v>-1000</v>
      </c>
      <c r="P1337" s="6">
        <f t="shared" si="299"/>
        <v>0</v>
      </c>
      <c r="Q1337" s="7">
        <f t="shared" si="300"/>
        <v>2484058.9500000011</v>
      </c>
      <c r="R1337" s="44" t="str">
        <f>VLOOKUP(F1337,'Set up'!$A$2:$E$70,5,FALSE)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280"/>
        <v>1</v>
      </c>
      <c r="C1338" s="5">
        <f t="shared" si="281"/>
        <v>2023</v>
      </c>
      <c r="D1338" s="5" t="s">
        <v>1194</v>
      </c>
      <c r="E1338" s="5" t="str">
        <f>VLOOKUP(F1338,'Set up'!$A$2:$C$70,2,FALSE)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up'!$A$2:$C$70,3,FALSE)</f>
        <v>Cash</v>
      </c>
      <c r="J1338" s="5">
        <f>VLOOKUP(F1338,'Set up'!$A$2:$D$70,4,FALSE)</f>
        <v>0</v>
      </c>
      <c r="K1338" s="4">
        <f t="shared" si="282"/>
        <v>44946</v>
      </c>
      <c r="L1338" s="5">
        <f t="shared" si="283"/>
        <v>1</v>
      </c>
      <c r="M1338" s="5">
        <f t="shared" si="284"/>
        <v>2023</v>
      </c>
      <c r="N1338" s="6">
        <v>3476</v>
      </c>
      <c r="O1338" s="6">
        <f>-475.7-1000-1500-500.3</f>
        <v>-3476</v>
      </c>
      <c r="P1338" s="6">
        <f t="shared" si="299"/>
        <v>0</v>
      </c>
      <c r="Q1338" s="7">
        <f t="shared" si="300"/>
        <v>2487534.9500000011</v>
      </c>
      <c r="R1338" s="44" t="str">
        <f>VLOOKUP(F1338,'Set up'!$A$2:$E$70,5,FALSE)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280"/>
        <v>1</v>
      </c>
      <c r="C1339" s="5">
        <f t="shared" si="281"/>
        <v>2023</v>
      </c>
      <c r="D1339" s="5" t="s">
        <v>1194</v>
      </c>
      <c r="E1339" s="5" t="str">
        <f>VLOOKUP(F1339,'Set up'!$A$2:$C$70,2,FALSE)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up'!$A$2:$C$70,3,FALSE)</f>
        <v>Cash</v>
      </c>
      <c r="J1339" s="5">
        <f>VLOOKUP(F1339,'Set up'!$A$2:$D$70,4,FALSE)</f>
        <v>0</v>
      </c>
      <c r="K1339" s="4">
        <f t="shared" si="282"/>
        <v>44946</v>
      </c>
      <c r="L1339" s="5">
        <f t="shared" si="283"/>
        <v>1</v>
      </c>
      <c r="M1339" s="5">
        <f t="shared" si="284"/>
        <v>2023</v>
      </c>
      <c r="N1339" s="6">
        <v>1263.5999999999999</v>
      </c>
      <c r="O1339" s="6">
        <f t="shared" ref="O1339" si="303">-N1339</f>
        <v>-1263.5999999999999</v>
      </c>
      <c r="P1339" s="6">
        <f t="shared" si="299"/>
        <v>0</v>
      </c>
      <c r="Q1339" s="7">
        <f t="shared" si="300"/>
        <v>2488798.5500000012</v>
      </c>
      <c r="R1339" s="44" t="str">
        <f>VLOOKUP(F1339,'Set up'!$A$2:$E$70,5,FALSE)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280"/>
        <v>1</v>
      </c>
      <c r="C1340" s="5">
        <f t="shared" si="281"/>
        <v>2023</v>
      </c>
      <c r="D1340" s="5" t="s">
        <v>1194</v>
      </c>
      <c r="E1340" s="5" t="str">
        <f>VLOOKUP(F1340,'Set up'!$A$2:$C$70,2,FALSE)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up'!$A$2:$C$70,3,FALSE)</f>
        <v>Cash</v>
      </c>
      <c r="J1340" s="5">
        <f>VLOOKUP(F1340,'Set up'!$A$2:$D$70,4,FALSE)</f>
        <v>0</v>
      </c>
      <c r="K1340" s="4">
        <f t="shared" si="282"/>
        <v>44946</v>
      </c>
      <c r="L1340" s="5">
        <f t="shared" si="283"/>
        <v>1</v>
      </c>
      <c r="M1340" s="5">
        <f t="shared" si="284"/>
        <v>2023</v>
      </c>
      <c r="N1340" s="6">
        <v>312.5</v>
      </c>
      <c r="O1340" s="6">
        <f>-236.1-76.4</f>
        <v>-312.5</v>
      </c>
      <c r="P1340" s="6">
        <f t="shared" si="299"/>
        <v>0</v>
      </c>
      <c r="Q1340" s="7">
        <f t="shared" si="300"/>
        <v>2489111.0500000012</v>
      </c>
      <c r="R1340" s="44" t="str">
        <f>VLOOKUP(F1340,'Set up'!$A$2:$E$70,5,FALSE)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280"/>
        <v>1</v>
      </c>
      <c r="C1341" s="5">
        <f t="shared" si="281"/>
        <v>2023</v>
      </c>
      <c r="D1341" s="5" t="s">
        <v>1194</v>
      </c>
      <c r="E1341" s="5" t="str">
        <f>VLOOKUP(F1341,'Set up'!$A$2:$C$70,2,FALSE)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up'!$A$2:$C$70,3,FALSE)</f>
        <v>Cash</v>
      </c>
      <c r="J1341" s="5">
        <f>VLOOKUP(F1341,'Set up'!$A$2:$D$70,4,FALSE)</f>
        <v>0</v>
      </c>
      <c r="K1341" s="4">
        <f t="shared" si="282"/>
        <v>44946</v>
      </c>
      <c r="L1341" s="5">
        <f t="shared" si="283"/>
        <v>1</v>
      </c>
      <c r="M1341" s="5">
        <f t="shared" si="284"/>
        <v>2023</v>
      </c>
      <c r="N1341" s="6">
        <v>210</v>
      </c>
      <c r="O1341" s="6">
        <f t="shared" ref="O1341:O1342" si="304">-N1341</f>
        <v>-210</v>
      </c>
      <c r="P1341" s="6">
        <f t="shared" si="299"/>
        <v>0</v>
      </c>
      <c r="Q1341" s="7">
        <f t="shared" si="300"/>
        <v>2489321.0500000012</v>
      </c>
      <c r="R1341" s="44" t="str">
        <f>VLOOKUP(F1341,'Set up'!$A$2:$E$70,5,FALSE)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280"/>
        <v>1</v>
      </c>
      <c r="C1342" s="5">
        <f t="shared" si="281"/>
        <v>2023</v>
      </c>
      <c r="D1342" s="5" t="s">
        <v>1194</v>
      </c>
      <c r="E1342" s="5" t="str">
        <f>VLOOKUP(F1342,'Set up'!$A$2:$C$70,2,FALSE)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up'!$A$2:$C$70,3,FALSE)</f>
        <v>Cash</v>
      </c>
      <c r="J1342" s="5">
        <f>VLOOKUP(F1342,'Set up'!$A$2:$D$70,4,FALSE)</f>
        <v>0</v>
      </c>
      <c r="K1342" s="4">
        <f t="shared" si="282"/>
        <v>44946</v>
      </c>
      <c r="L1342" s="5">
        <f t="shared" si="283"/>
        <v>1</v>
      </c>
      <c r="M1342" s="5">
        <f t="shared" si="284"/>
        <v>2023</v>
      </c>
      <c r="N1342" s="6">
        <v>440</v>
      </c>
      <c r="O1342" s="6">
        <f t="shared" si="304"/>
        <v>-440</v>
      </c>
      <c r="P1342" s="6">
        <f t="shared" si="299"/>
        <v>0</v>
      </c>
      <c r="Q1342" s="7">
        <f t="shared" si="300"/>
        <v>2489761.0500000012</v>
      </c>
      <c r="R1342" s="44" t="str">
        <f>VLOOKUP(F1342,'Set up'!$A$2:$E$70,5,FALSE)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280"/>
        <v>1</v>
      </c>
      <c r="C1343" s="5">
        <f t="shared" si="281"/>
        <v>2023</v>
      </c>
      <c r="D1343" s="5" t="s">
        <v>1194</v>
      </c>
      <c r="E1343" s="5" t="str">
        <f>VLOOKUP(F1343,'Set up'!$A$2:$C$70,2,FALSE)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up'!$A$2:$C$70,3,FALSE)</f>
        <v>Cash</v>
      </c>
      <c r="J1343" s="5">
        <f>VLOOKUP(F1343,'Set up'!$A$2:$D$70,4,FALSE)</f>
        <v>0</v>
      </c>
      <c r="K1343" s="4">
        <f t="shared" si="282"/>
        <v>44946</v>
      </c>
      <c r="L1343" s="5">
        <f t="shared" si="283"/>
        <v>1</v>
      </c>
      <c r="M1343" s="5">
        <f t="shared" si="284"/>
        <v>2023</v>
      </c>
      <c r="N1343" s="6">
        <v>450</v>
      </c>
      <c r="O1343" s="6">
        <f>-273.6-176.4</f>
        <v>-450</v>
      </c>
      <c r="P1343" s="6">
        <f t="shared" si="299"/>
        <v>0</v>
      </c>
      <c r="Q1343" s="7">
        <f t="shared" si="300"/>
        <v>2490211.0500000012</v>
      </c>
      <c r="R1343" s="44" t="str">
        <f>VLOOKUP(F1343,'Set up'!$A$2:$E$70,5,FALSE)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280"/>
        <v>1</v>
      </c>
      <c r="C1344" s="5">
        <f t="shared" si="281"/>
        <v>2023</v>
      </c>
      <c r="D1344" s="5" t="s">
        <v>1195</v>
      </c>
      <c r="E1344" s="5" t="str">
        <f>VLOOKUP(F1344,'Set up'!$A$2:$C$70,2,FALSE)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up'!$A$2:$C$70,3,FALSE)</f>
        <v>60</v>
      </c>
      <c r="J1344" s="5">
        <f>VLOOKUP(F1344,'Set up'!$A$2:$D$70,4,FALSE)</f>
        <v>60</v>
      </c>
      <c r="K1344" s="4">
        <f t="shared" si="282"/>
        <v>45013</v>
      </c>
      <c r="L1344" s="5">
        <f t="shared" si="283"/>
        <v>3</v>
      </c>
      <c r="M1344" s="5">
        <f t="shared" si="284"/>
        <v>2023</v>
      </c>
      <c r="N1344" s="6">
        <v>3256</v>
      </c>
      <c r="O1344" s="6">
        <f t="shared" ref="O1344:O1346" si="305">-N1344</f>
        <v>-3256</v>
      </c>
      <c r="P1344" s="6">
        <f t="shared" si="299"/>
        <v>0</v>
      </c>
      <c r="Q1344" s="7">
        <f t="shared" si="300"/>
        <v>2493467.0500000012</v>
      </c>
      <c r="R1344" s="44" t="str">
        <f>VLOOKUP(F1344,'Set up'!$A$2:$E$70,5,FALSE)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280"/>
        <v>1</v>
      </c>
      <c r="C1345" s="5">
        <f t="shared" si="281"/>
        <v>2023</v>
      </c>
      <c r="D1345" s="5" t="s">
        <v>1195</v>
      </c>
      <c r="E1345" s="5" t="str">
        <f>VLOOKUP(F1345,'Set up'!$A$2:$C$70,2,FALSE)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up'!$A$2:$C$70,3,FALSE)</f>
        <v>60</v>
      </c>
      <c r="J1345" s="5">
        <f>VLOOKUP(F1345,'Set up'!$A$2:$D$70,4,FALSE)</f>
        <v>60</v>
      </c>
      <c r="K1345" s="4">
        <f t="shared" si="282"/>
        <v>45013</v>
      </c>
      <c r="L1345" s="5">
        <f t="shared" si="283"/>
        <v>3</v>
      </c>
      <c r="M1345" s="5">
        <f t="shared" si="284"/>
        <v>2023</v>
      </c>
      <c r="N1345" s="6">
        <v>1628</v>
      </c>
      <c r="O1345" s="6">
        <f t="shared" si="305"/>
        <v>-1628</v>
      </c>
      <c r="P1345" s="6">
        <f t="shared" si="299"/>
        <v>0</v>
      </c>
      <c r="Q1345" s="7">
        <f t="shared" si="300"/>
        <v>2495095.0500000012</v>
      </c>
      <c r="R1345" s="44" t="str">
        <f>VLOOKUP(F1345,'Set up'!$A$2:$E$70,5,FALSE)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280"/>
        <v>1</v>
      </c>
      <c r="C1346" s="5">
        <f t="shared" si="281"/>
        <v>2023</v>
      </c>
      <c r="D1346" s="5" t="s">
        <v>1195</v>
      </c>
      <c r="E1346" s="5" t="str">
        <f>VLOOKUP(F1346,'Set up'!$A$2:$C$70,2,FALSE)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up'!$A$2:$C$70,3,FALSE)</f>
        <v>60</v>
      </c>
      <c r="J1346" s="5">
        <f>VLOOKUP(F1346,'Set up'!$A$2:$D$70,4,FALSE)</f>
        <v>60</v>
      </c>
      <c r="K1346" s="4">
        <f t="shared" si="282"/>
        <v>45013</v>
      </c>
      <c r="L1346" s="5">
        <f t="shared" si="283"/>
        <v>3</v>
      </c>
      <c r="M1346" s="5">
        <f t="shared" si="284"/>
        <v>2023</v>
      </c>
      <c r="N1346" s="6">
        <v>732</v>
      </c>
      <c r="O1346" s="6">
        <f t="shared" si="305"/>
        <v>-732</v>
      </c>
      <c r="P1346" s="6">
        <f t="shared" si="299"/>
        <v>0</v>
      </c>
      <c r="Q1346" s="7">
        <f t="shared" si="300"/>
        <v>2495827.0500000012</v>
      </c>
      <c r="R1346" s="44" t="str">
        <f>VLOOKUP(F1346,'Set up'!$A$2:$E$70,5,FALSE)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410" si="306">MONTH(A1347)</f>
        <v>1</v>
      </c>
      <c r="C1347" s="5">
        <f t="shared" ref="C1347:C1410" si="307">YEAR(A1347)</f>
        <v>2023</v>
      </c>
      <c r="D1347" s="5" t="s">
        <v>1203</v>
      </c>
      <c r="E1347" s="5" t="str">
        <f>VLOOKUP(F1347,'Set up'!$A$2:$C$70,2,FALSE)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up'!$A$2:$C$70,3,FALSE)</f>
        <v>Cash</v>
      </c>
      <c r="J1347" s="5">
        <f>VLOOKUP(F1347,'Set up'!$A$2:$D$70,4,FALSE)</f>
        <v>0</v>
      </c>
      <c r="K1347" s="4">
        <f t="shared" ref="K1347:K1410" si="308">A1347+J1347</f>
        <v>44953</v>
      </c>
      <c r="L1347" s="5">
        <f t="shared" ref="L1347:L1410" si="309">MONTH(K1347)</f>
        <v>1</v>
      </c>
      <c r="M1347" s="5">
        <f t="shared" ref="M1347:M1410" si="310">YEAR(K1347)</f>
        <v>2023</v>
      </c>
      <c r="N1347" s="6">
        <v>1738</v>
      </c>
      <c r="O1347" s="6">
        <f t="shared" ref="O1347:O1352" si="311">-N1347</f>
        <v>-1738</v>
      </c>
      <c r="P1347" s="6">
        <f t="shared" ref="P1347:P1362" si="312">SUM(N1347+O1347)</f>
        <v>0</v>
      </c>
      <c r="Q1347" s="7">
        <f t="shared" ref="Q1347:Q1362" si="313">SUM(Q1346+N1347)</f>
        <v>2497565.0500000012</v>
      </c>
      <c r="R1347" s="44" t="str">
        <f>VLOOKUP(F1347,'Set up'!$A$2:$E$70,5,FALSE)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06"/>
        <v>1</v>
      </c>
      <c r="C1348" s="5">
        <f t="shared" si="307"/>
        <v>2023</v>
      </c>
      <c r="D1348" s="5" t="s">
        <v>1203</v>
      </c>
      <c r="E1348" s="5" t="str">
        <f>VLOOKUP(F1348,'Set up'!$A$2:$C$70,2,FALSE)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up'!$A$2:$C$70,3,FALSE)</f>
        <v>Cash</v>
      </c>
      <c r="J1348" s="5">
        <f>VLOOKUP(F1348,'Set up'!$A$2:$D$70,4,FALSE)</f>
        <v>0</v>
      </c>
      <c r="K1348" s="4">
        <f t="shared" si="308"/>
        <v>44953</v>
      </c>
      <c r="L1348" s="5">
        <f t="shared" si="309"/>
        <v>1</v>
      </c>
      <c r="M1348" s="5">
        <f t="shared" si="310"/>
        <v>2023</v>
      </c>
      <c r="N1348" s="6">
        <v>438</v>
      </c>
      <c r="O1348" s="6">
        <f t="shared" si="311"/>
        <v>-438</v>
      </c>
      <c r="P1348" s="6">
        <f t="shared" si="312"/>
        <v>0</v>
      </c>
      <c r="Q1348" s="7">
        <f t="shared" si="313"/>
        <v>2498003.0500000012</v>
      </c>
      <c r="R1348" s="44" t="str">
        <f>VLOOKUP(F1348,'Set up'!$A$2:$E$70,5,FALSE)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06"/>
        <v>1</v>
      </c>
      <c r="C1349" s="5">
        <f t="shared" si="307"/>
        <v>2023</v>
      </c>
      <c r="D1349" s="5" t="s">
        <v>1203</v>
      </c>
      <c r="E1349" s="5" t="str">
        <f>VLOOKUP(F1349,'Set up'!$A$2:$C$70,2,FALSE)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up'!$A$2:$C$70,3,FALSE)</f>
        <v>Cash</v>
      </c>
      <c r="J1349" s="5">
        <f>VLOOKUP(F1349,'Set up'!$A$2:$D$70,4,FALSE)</f>
        <v>0</v>
      </c>
      <c r="K1349" s="4">
        <f t="shared" si="308"/>
        <v>44953</v>
      </c>
      <c r="L1349" s="5">
        <f t="shared" si="309"/>
        <v>1</v>
      </c>
      <c r="M1349" s="5">
        <f t="shared" si="310"/>
        <v>2023</v>
      </c>
      <c r="N1349" s="6">
        <v>219</v>
      </c>
      <c r="O1349" s="6">
        <f t="shared" si="311"/>
        <v>-219</v>
      </c>
      <c r="P1349" s="6">
        <f t="shared" si="312"/>
        <v>0</v>
      </c>
      <c r="Q1349" s="7">
        <f t="shared" si="313"/>
        <v>2498222.0500000012</v>
      </c>
      <c r="R1349" s="44" t="str">
        <f>VLOOKUP(F1349,'Set up'!$A$2:$E$70,5,FALSE)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06"/>
        <v>1</v>
      </c>
      <c r="C1350" s="5">
        <f t="shared" si="307"/>
        <v>2023</v>
      </c>
      <c r="D1350" s="5" t="s">
        <v>1203</v>
      </c>
      <c r="E1350" s="5" t="str">
        <f>VLOOKUP(F1350,'Set up'!$A$2:$C$70,2,FALSE)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up'!$A$2:$C$70,3,FALSE)</f>
        <v>Cash</v>
      </c>
      <c r="J1350" s="5">
        <f>VLOOKUP(F1350,'Set up'!$A$2:$D$70,4,FALSE)</f>
        <v>0</v>
      </c>
      <c r="K1350" s="4">
        <f t="shared" si="308"/>
        <v>44953</v>
      </c>
      <c r="L1350" s="5">
        <f t="shared" si="309"/>
        <v>1</v>
      </c>
      <c r="M1350" s="5">
        <f t="shared" si="310"/>
        <v>2023</v>
      </c>
      <c r="N1350" s="6">
        <v>394.8</v>
      </c>
      <c r="O1350" s="6">
        <f t="shared" si="311"/>
        <v>-394.8</v>
      </c>
      <c r="P1350" s="6">
        <f t="shared" si="312"/>
        <v>0</v>
      </c>
      <c r="Q1350" s="7">
        <f t="shared" si="313"/>
        <v>2498616.850000001</v>
      </c>
      <c r="R1350" s="44" t="str">
        <f>VLOOKUP(F1350,'Set up'!$A$2:$E$70,5,FALSE)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06"/>
        <v>1</v>
      </c>
      <c r="C1351" s="5">
        <f t="shared" si="307"/>
        <v>2023</v>
      </c>
      <c r="D1351" s="5" t="s">
        <v>1203</v>
      </c>
      <c r="E1351" s="5" t="str">
        <f>VLOOKUP(F1351,'Set up'!$A$2:$C$70,2,FALSE)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up'!$A$2:$C$70,3,FALSE)</f>
        <v>Cash</v>
      </c>
      <c r="J1351" s="5">
        <f>VLOOKUP(F1351,'Set up'!$A$2:$D$70,4,FALSE)</f>
        <v>0</v>
      </c>
      <c r="K1351" s="4">
        <f t="shared" si="308"/>
        <v>44953</v>
      </c>
      <c r="L1351" s="5">
        <f t="shared" si="309"/>
        <v>1</v>
      </c>
      <c r="M1351" s="5">
        <f t="shared" si="310"/>
        <v>2023</v>
      </c>
      <c r="N1351" s="6">
        <v>64</v>
      </c>
      <c r="O1351" s="6">
        <f t="shared" si="311"/>
        <v>-64</v>
      </c>
      <c r="P1351" s="6">
        <f t="shared" si="312"/>
        <v>0</v>
      </c>
      <c r="Q1351" s="7">
        <f t="shared" si="313"/>
        <v>2498680.850000001</v>
      </c>
      <c r="R1351" s="44" t="str">
        <f>VLOOKUP(F1351,'Set up'!$A$2:$E$70,5,FALSE)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06"/>
        <v>1</v>
      </c>
      <c r="C1352" s="5">
        <f t="shared" si="307"/>
        <v>2023</v>
      </c>
      <c r="D1352" s="5" t="s">
        <v>1203</v>
      </c>
      <c r="E1352" s="5" t="str">
        <f>VLOOKUP(F1352,'Set up'!$A$2:$C$70,2,FALSE)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up'!$A$2:$C$70,3,FALSE)</f>
        <v>Cash</v>
      </c>
      <c r="J1352" s="5">
        <f>VLOOKUP(F1352,'Set up'!$A$2:$D$70,4,FALSE)</f>
        <v>0</v>
      </c>
      <c r="K1352" s="4">
        <f t="shared" si="308"/>
        <v>44953</v>
      </c>
      <c r="L1352" s="5">
        <f t="shared" si="309"/>
        <v>1</v>
      </c>
      <c r="M1352" s="5">
        <f t="shared" si="310"/>
        <v>2023</v>
      </c>
      <c r="N1352" s="6">
        <v>64</v>
      </c>
      <c r="O1352" s="6">
        <f t="shared" si="311"/>
        <v>-64</v>
      </c>
      <c r="P1352" s="6">
        <f t="shared" si="312"/>
        <v>0</v>
      </c>
      <c r="Q1352" s="7">
        <f t="shared" si="313"/>
        <v>2498744.850000001</v>
      </c>
      <c r="R1352" s="44" t="str">
        <f>VLOOKUP(F1352,'Set up'!$A$2:$E$70,5,FALSE)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06"/>
        <v>1</v>
      </c>
      <c r="C1353" s="5">
        <f t="shared" si="307"/>
        <v>2023</v>
      </c>
      <c r="D1353" s="5" t="s">
        <v>1204</v>
      </c>
      <c r="E1353" s="5" t="str">
        <f>VLOOKUP(F1353,'Set up'!$A$2:$C$70,2,FALSE)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up'!$A$2:$C$70,3,FALSE)</f>
        <v>Cash</v>
      </c>
      <c r="J1353" s="5">
        <f>VLOOKUP(F1353,'Set up'!$A$2:$D$70,4,FALSE)</f>
        <v>0</v>
      </c>
      <c r="K1353" s="4">
        <f t="shared" si="308"/>
        <v>44956</v>
      </c>
      <c r="L1353" s="5">
        <f t="shared" si="309"/>
        <v>1</v>
      </c>
      <c r="M1353" s="5">
        <f t="shared" si="310"/>
        <v>2023</v>
      </c>
      <c r="N1353" s="6">
        <v>8690</v>
      </c>
      <c r="O1353" s="6">
        <f>-8097.2-592.8</f>
        <v>-8690</v>
      </c>
      <c r="P1353" s="6">
        <f t="shared" si="312"/>
        <v>0</v>
      </c>
      <c r="Q1353" s="7">
        <f t="shared" si="313"/>
        <v>2507434.850000001</v>
      </c>
      <c r="R1353" s="44" t="str">
        <f>VLOOKUP(F1353,'Set up'!$A$2:$E$70,5,FALSE)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06"/>
        <v>1</v>
      </c>
      <c r="C1354" s="5">
        <f t="shared" si="307"/>
        <v>2023</v>
      </c>
      <c r="D1354" s="5" t="s">
        <v>1204</v>
      </c>
      <c r="E1354" s="5" t="str">
        <f>VLOOKUP(F1354,'Set up'!$A$2:$C$70,2,FALSE)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up'!$A$2:$C$70,3,FALSE)</f>
        <v>Cash</v>
      </c>
      <c r="J1354" s="5">
        <f>VLOOKUP(F1354,'Set up'!$A$2:$D$70,4,FALSE)</f>
        <v>0</v>
      </c>
      <c r="K1354" s="4">
        <f t="shared" si="308"/>
        <v>44956</v>
      </c>
      <c r="L1354" s="5">
        <f t="shared" si="309"/>
        <v>1</v>
      </c>
      <c r="M1354" s="5">
        <f t="shared" si="310"/>
        <v>2023</v>
      </c>
      <c r="N1354" s="6">
        <v>702</v>
      </c>
      <c r="O1354" s="6">
        <f t="shared" ref="O1354:O1358" si="314">-N1354</f>
        <v>-702</v>
      </c>
      <c r="P1354" s="6">
        <f t="shared" si="312"/>
        <v>0</v>
      </c>
      <c r="Q1354" s="7">
        <f t="shared" si="313"/>
        <v>2508136.850000001</v>
      </c>
      <c r="R1354" s="44" t="str">
        <f>VLOOKUP(F1354,'Set up'!$A$2:$E$70,5,FALSE)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06"/>
        <v>1</v>
      </c>
      <c r="C1355" s="5">
        <f t="shared" si="307"/>
        <v>2023</v>
      </c>
      <c r="D1355" s="5" t="s">
        <v>1204</v>
      </c>
      <c r="E1355" s="5" t="str">
        <f>VLOOKUP(F1355,'Set up'!$A$2:$C$70,2,FALSE)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up'!$A$2:$C$70,3,FALSE)</f>
        <v>Cash</v>
      </c>
      <c r="J1355" s="5">
        <f>VLOOKUP(F1355,'Set up'!$A$2:$D$70,4,FALSE)</f>
        <v>0</v>
      </c>
      <c r="K1355" s="4">
        <f t="shared" si="308"/>
        <v>44956</v>
      </c>
      <c r="L1355" s="5">
        <f t="shared" si="309"/>
        <v>1</v>
      </c>
      <c r="M1355" s="5">
        <f t="shared" si="310"/>
        <v>2023</v>
      </c>
      <c r="N1355" s="6">
        <v>1684.8</v>
      </c>
      <c r="O1355" s="6">
        <f t="shared" si="314"/>
        <v>-1684.8</v>
      </c>
      <c r="P1355" s="6">
        <f t="shared" si="312"/>
        <v>0</v>
      </c>
      <c r="Q1355" s="7">
        <f t="shared" si="313"/>
        <v>2509821.6500000008</v>
      </c>
      <c r="R1355" s="44" t="str">
        <f>VLOOKUP(F1355,'Set up'!$A$2:$E$70,5,FALSE)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06"/>
        <v>1</v>
      </c>
      <c r="C1356" s="5">
        <f t="shared" si="307"/>
        <v>2023</v>
      </c>
      <c r="D1356" s="5" t="s">
        <v>1204</v>
      </c>
      <c r="E1356" s="5" t="str">
        <f>VLOOKUP(F1356,'Set up'!$A$2:$C$70,2,FALSE)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up'!$A$2:$C$70,3,FALSE)</f>
        <v>Cash</v>
      </c>
      <c r="J1356" s="5">
        <f>VLOOKUP(F1356,'Set up'!$A$2:$D$70,4,FALSE)</f>
        <v>0</v>
      </c>
      <c r="K1356" s="4">
        <f t="shared" si="308"/>
        <v>44956</v>
      </c>
      <c r="L1356" s="5">
        <f t="shared" si="309"/>
        <v>1</v>
      </c>
      <c r="M1356" s="5">
        <f t="shared" si="310"/>
        <v>2023</v>
      </c>
      <c r="N1356" s="6">
        <v>1911</v>
      </c>
      <c r="O1356" s="6">
        <f t="shared" si="314"/>
        <v>-1911</v>
      </c>
      <c r="P1356" s="6">
        <f t="shared" si="312"/>
        <v>0</v>
      </c>
      <c r="Q1356" s="7">
        <f t="shared" si="313"/>
        <v>2511732.6500000008</v>
      </c>
      <c r="R1356" s="44" t="str">
        <f>VLOOKUP(F1356,'Set up'!$A$2:$E$70,5,FALSE)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06"/>
        <v>1</v>
      </c>
      <c r="C1357" s="5">
        <f t="shared" si="307"/>
        <v>2023</v>
      </c>
      <c r="D1357" s="5" t="s">
        <v>1204</v>
      </c>
      <c r="E1357" s="5" t="str">
        <f>VLOOKUP(F1357,'Set up'!$A$2:$C$70,2,FALSE)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up'!$A$2:$C$70,3,FALSE)</f>
        <v>Cash</v>
      </c>
      <c r="J1357" s="5">
        <f>VLOOKUP(F1357,'Set up'!$A$2:$D$70,4,FALSE)</f>
        <v>0</v>
      </c>
      <c r="K1357" s="4">
        <f t="shared" si="308"/>
        <v>44956</v>
      </c>
      <c r="L1357" s="5">
        <f t="shared" si="309"/>
        <v>1</v>
      </c>
      <c r="M1357" s="5">
        <f t="shared" si="310"/>
        <v>2023</v>
      </c>
      <c r="N1357" s="6">
        <v>1000</v>
      </c>
      <c r="O1357" s="6">
        <f t="shared" si="314"/>
        <v>-1000</v>
      </c>
      <c r="P1357" s="6">
        <f t="shared" si="312"/>
        <v>0</v>
      </c>
      <c r="Q1357" s="7">
        <f t="shared" si="313"/>
        <v>2512732.6500000008</v>
      </c>
      <c r="R1357" s="44" t="str">
        <f>VLOOKUP(F1357,'Set up'!$A$2:$E$70,5,FALSE)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06"/>
        <v>1</v>
      </c>
      <c r="C1358" s="5">
        <f t="shared" si="307"/>
        <v>2023</v>
      </c>
      <c r="D1358" s="5" t="s">
        <v>1204</v>
      </c>
      <c r="E1358" s="5" t="str">
        <f>VLOOKUP(F1358,'Set up'!$A$2:$C$70,2,FALSE)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up'!$A$2:$C$70,3,FALSE)</f>
        <v>Cash</v>
      </c>
      <c r="J1358" s="5">
        <f>VLOOKUP(F1358,'Set up'!$A$2:$D$70,4,FALSE)</f>
        <v>0</v>
      </c>
      <c r="K1358" s="4">
        <f t="shared" si="308"/>
        <v>44956</v>
      </c>
      <c r="L1358" s="5">
        <f t="shared" si="309"/>
        <v>1</v>
      </c>
      <c r="M1358" s="5">
        <f t="shared" si="310"/>
        <v>2023</v>
      </c>
      <c r="N1358" s="6">
        <v>250</v>
      </c>
      <c r="O1358" s="6">
        <f t="shared" si="314"/>
        <v>-250</v>
      </c>
      <c r="P1358" s="6">
        <f t="shared" si="312"/>
        <v>0</v>
      </c>
      <c r="Q1358" s="7">
        <f t="shared" si="313"/>
        <v>2512982.6500000008</v>
      </c>
      <c r="R1358" s="44" t="str">
        <f>VLOOKUP(F1358,'Set up'!$A$2:$E$70,5,FALSE)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06"/>
        <v>1</v>
      </c>
      <c r="C1359" s="5">
        <f t="shared" si="307"/>
        <v>2023</v>
      </c>
      <c r="D1359" s="5" t="s">
        <v>1204</v>
      </c>
      <c r="E1359" s="5" t="str">
        <f>VLOOKUP(F1359,'Set up'!$A$2:$C$70,2,FALSE)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up'!$A$2:$C$70,3,FALSE)</f>
        <v>Cash</v>
      </c>
      <c r="J1359" s="5">
        <f>VLOOKUP(F1359,'Set up'!$A$2:$D$70,4,FALSE)</f>
        <v>0</v>
      </c>
      <c r="K1359" s="4">
        <f t="shared" si="308"/>
        <v>44956</v>
      </c>
      <c r="L1359" s="5">
        <f t="shared" si="309"/>
        <v>1</v>
      </c>
      <c r="M1359" s="5">
        <f t="shared" si="310"/>
        <v>2023</v>
      </c>
      <c r="N1359" s="6">
        <v>380</v>
      </c>
      <c r="O1359" s="6">
        <f>-259.4-120.6</f>
        <v>-380</v>
      </c>
      <c r="P1359" s="6">
        <f t="shared" si="312"/>
        <v>0</v>
      </c>
      <c r="Q1359" s="7">
        <f t="shared" si="313"/>
        <v>2513362.6500000008</v>
      </c>
      <c r="R1359" s="44" t="str">
        <f>VLOOKUP(F1359,'Set up'!$A$2:$E$70,5,FALSE)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06"/>
        <v>1</v>
      </c>
      <c r="C1360" s="5">
        <f t="shared" si="307"/>
        <v>2023</v>
      </c>
      <c r="D1360" s="5" t="s">
        <v>1205</v>
      </c>
      <c r="E1360" s="5" t="str">
        <f>VLOOKUP(F1360,'Set up'!$A$2:$C$70,2,FALSE)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up'!$A$2:$C$70,3,FALSE)</f>
        <v>Cash</v>
      </c>
      <c r="J1360" s="5">
        <f>VLOOKUP(F1360,'Set up'!$A$2:$D$70,4,FALSE)</f>
        <v>0</v>
      </c>
      <c r="K1360" s="4">
        <f t="shared" si="308"/>
        <v>44956</v>
      </c>
      <c r="L1360" s="5">
        <f t="shared" si="309"/>
        <v>1</v>
      </c>
      <c r="M1360" s="5">
        <f t="shared" si="310"/>
        <v>2023</v>
      </c>
      <c r="N1360" s="6">
        <v>570</v>
      </c>
      <c r="O1360" s="6">
        <f t="shared" ref="O1360" si="315">-N1360</f>
        <v>-570</v>
      </c>
      <c r="P1360" s="6">
        <f t="shared" si="312"/>
        <v>0</v>
      </c>
      <c r="Q1360" s="7">
        <f t="shared" si="313"/>
        <v>2513932.6500000008</v>
      </c>
      <c r="R1360" s="44" t="str">
        <f>VLOOKUP(F1360,'Set up'!$A$2:$E$70,5,FALSE)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06"/>
        <v>2</v>
      </c>
      <c r="C1361" s="5">
        <f t="shared" si="307"/>
        <v>2023</v>
      </c>
      <c r="D1361" s="5" t="s">
        <v>1234</v>
      </c>
      <c r="E1361" s="5" t="str">
        <f>VLOOKUP(F1361,'Set up'!$A$2:$C$70,2,FALSE)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up'!$A$2:$C$70,3,FALSE)</f>
        <v>Cash</v>
      </c>
      <c r="J1361" s="5">
        <f>VLOOKUP(F1361,'Set up'!$A$2:$D$70,4,FALSE)</f>
        <v>0</v>
      </c>
      <c r="K1361" s="4">
        <f t="shared" si="308"/>
        <v>44958</v>
      </c>
      <c r="L1361" s="5">
        <f t="shared" si="309"/>
        <v>2</v>
      </c>
      <c r="M1361" s="5">
        <f t="shared" si="310"/>
        <v>2023</v>
      </c>
      <c r="N1361" s="6">
        <v>3555</v>
      </c>
      <c r="O1361" s="6">
        <f t="shared" ref="O1361:O1364" si="316">-N1361</f>
        <v>-3555</v>
      </c>
      <c r="P1361" s="6">
        <f t="shared" si="312"/>
        <v>0</v>
      </c>
      <c r="Q1361" s="7">
        <f t="shared" si="313"/>
        <v>2517487.6500000008</v>
      </c>
      <c r="R1361" s="44" t="str">
        <f>VLOOKUP(F1361,'Set up'!$A$2:$E$70,5,FALSE)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06"/>
        <v>2</v>
      </c>
      <c r="C1362" s="5">
        <f t="shared" si="307"/>
        <v>2023</v>
      </c>
      <c r="D1362" s="5" t="s">
        <v>1236</v>
      </c>
      <c r="E1362" s="5" t="str">
        <f>VLOOKUP(F1362,'Set up'!$A$2:$C$70,2,FALSE)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up'!$A$2:$C$70,3,FALSE)</f>
        <v>Cash</v>
      </c>
      <c r="J1362" s="5">
        <f>VLOOKUP(F1362,'Set up'!$A$2:$D$70,4,FALSE)</f>
        <v>0</v>
      </c>
      <c r="K1362" s="4">
        <f t="shared" si="308"/>
        <v>44959</v>
      </c>
      <c r="L1362" s="5">
        <f t="shared" si="309"/>
        <v>2</v>
      </c>
      <c r="M1362" s="5">
        <f t="shared" si="310"/>
        <v>2023</v>
      </c>
      <c r="N1362" s="6">
        <v>1870</v>
      </c>
      <c r="O1362" s="6">
        <f t="shared" si="316"/>
        <v>-1870</v>
      </c>
      <c r="P1362" s="6">
        <f t="shared" si="312"/>
        <v>0</v>
      </c>
      <c r="Q1362" s="7">
        <f t="shared" si="313"/>
        <v>2519357.6500000008</v>
      </c>
      <c r="R1362" s="44" t="str">
        <f>VLOOKUP(F1362,'Set up'!$A$2:$E$70,5,FALSE)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si="306"/>
        <v>2</v>
      </c>
      <c r="C1363" s="5">
        <f t="shared" si="307"/>
        <v>2023</v>
      </c>
      <c r="D1363" s="5" t="s">
        <v>1236</v>
      </c>
      <c r="E1363" s="5" t="str">
        <f>VLOOKUP(F1363,'Set up'!$A$2:$C$70,2,FALSE)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up'!$A$2:$C$70,3,FALSE)</f>
        <v>Cash</v>
      </c>
      <c r="J1363" s="5">
        <f>VLOOKUP(F1363,'Set up'!$A$2:$D$70,4,FALSE)</f>
        <v>0</v>
      </c>
      <c r="K1363" s="4">
        <f t="shared" si="308"/>
        <v>44959</v>
      </c>
      <c r="L1363" s="5">
        <f t="shared" si="309"/>
        <v>2</v>
      </c>
      <c r="M1363" s="5">
        <f t="shared" si="310"/>
        <v>2023</v>
      </c>
      <c r="N1363" s="6">
        <v>510</v>
      </c>
      <c r="O1363" s="6">
        <f t="shared" si="316"/>
        <v>-510</v>
      </c>
      <c r="P1363" s="6">
        <f t="shared" ref="P1363:P1403" si="317">SUM(N1363+O1363)</f>
        <v>0</v>
      </c>
      <c r="Q1363" s="7">
        <f t="shared" ref="Q1363:Q1403" si="318">SUM(Q1362+N1363)</f>
        <v>2519867.6500000008</v>
      </c>
      <c r="R1363" s="44" t="str">
        <f>VLOOKUP(F1363,'Set up'!$A$2:$E$70,5,FALSE)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06"/>
        <v>2</v>
      </c>
      <c r="C1364" s="5">
        <f t="shared" si="307"/>
        <v>2023</v>
      </c>
      <c r="D1364" s="5" t="s">
        <v>1236</v>
      </c>
      <c r="E1364" s="5" t="str">
        <f>VLOOKUP(F1364,'Set up'!$A$2:$C$70,2,FALSE)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up'!$A$2:$C$70,3,FALSE)</f>
        <v>Cash</v>
      </c>
      <c r="J1364" s="5">
        <f>VLOOKUP(F1364,'Set up'!$A$2:$D$70,4,FALSE)</f>
        <v>0</v>
      </c>
      <c r="K1364" s="4">
        <f t="shared" si="308"/>
        <v>44959</v>
      </c>
      <c r="L1364" s="5">
        <f t="shared" si="309"/>
        <v>2</v>
      </c>
      <c r="M1364" s="5">
        <f t="shared" si="310"/>
        <v>2023</v>
      </c>
      <c r="N1364" s="6">
        <v>95</v>
      </c>
      <c r="O1364" s="6">
        <f t="shared" si="316"/>
        <v>-95</v>
      </c>
      <c r="P1364" s="6">
        <f t="shared" si="317"/>
        <v>0</v>
      </c>
      <c r="Q1364" s="7">
        <f t="shared" si="318"/>
        <v>2519962.6500000008</v>
      </c>
      <c r="R1364" s="44" t="str">
        <f>VLOOKUP(F1364,'Set up'!$A$2:$E$70,5,FALSE)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06"/>
        <v>2</v>
      </c>
      <c r="C1365" s="5">
        <f t="shared" si="307"/>
        <v>2023</v>
      </c>
      <c r="D1365" s="5" t="s">
        <v>1237</v>
      </c>
      <c r="E1365" s="5" t="str">
        <f>VLOOKUP(F1365,'Set up'!$A$2:$C$70,2,FALSE)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up'!$A$2:$C$70,3,FALSE)</f>
        <v>Cash</v>
      </c>
      <c r="J1365" s="5">
        <f>VLOOKUP(F1365,'Set up'!$A$2:$D$70,4,FALSE)</f>
        <v>0</v>
      </c>
      <c r="K1365" s="4">
        <f t="shared" si="308"/>
        <v>44960</v>
      </c>
      <c r="L1365" s="5">
        <f t="shared" si="309"/>
        <v>2</v>
      </c>
      <c r="M1365" s="5">
        <f t="shared" si="310"/>
        <v>2023</v>
      </c>
      <c r="N1365" s="6">
        <v>5214</v>
      </c>
      <c r="O1365" s="6">
        <f>-489.4-1025-3699.6</f>
        <v>-5214</v>
      </c>
      <c r="P1365" s="6">
        <f t="shared" si="317"/>
        <v>0</v>
      </c>
      <c r="Q1365" s="7">
        <f t="shared" si="318"/>
        <v>2525176.6500000008</v>
      </c>
      <c r="R1365" s="44" t="str">
        <f>VLOOKUP(F1365,'Set up'!$A$2:$E$70,5,FALSE)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si="306"/>
        <v>2</v>
      </c>
      <c r="C1366" s="5">
        <f t="shared" si="307"/>
        <v>2023</v>
      </c>
      <c r="D1366" s="5" t="s">
        <v>1237</v>
      </c>
      <c r="E1366" s="5" t="str">
        <f>VLOOKUP(F1366,'Set up'!$A$2:$C$70,2,FALSE)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up'!$A$2:$C$70,3,FALSE)</f>
        <v>Cash</v>
      </c>
      <c r="J1366" s="5">
        <f>VLOOKUP(F1366,'Set up'!$A$2:$D$70,4,FALSE)</f>
        <v>0</v>
      </c>
      <c r="K1366" s="4">
        <f t="shared" si="308"/>
        <v>44960</v>
      </c>
      <c r="L1366" s="5">
        <f t="shared" si="309"/>
        <v>2</v>
      </c>
      <c r="M1366" s="5">
        <f t="shared" si="310"/>
        <v>2023</v>
      </c>
      <c r="N1366" s="6">
        <v>684</v>
      </c>
      <c r="O1366" s="6">
        <f t="shared" ref="O1366:O1369" si="319">-N1366</f>
        <v>-684</v>
      </c>
      <c r="P1366" s="6">
        <f t="shared" si="317"/>
        <v>0</v>
      </c>
      <c r="Q1366" s="7">
        <f t="shared" si="318"/>
        <v>2525860.6500000008</v>
      </c>
      <c r="R1366" s="44" t="str">
        <f>VLOOKUP(F1366,'Set up'!$A$2:$E$70,5,FALSE)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06"/>
        <v>2</v>
      </c>
      <c r="C1367" s="5">
        <f t="shared" si="307"/>
        <v>2023</v>
      </c>
      <c r="D1367" s="5" t="s">
        <v>1237</v>
      </c>
      <c r="E1367" s="5" t="str">
        <f>VLOOKUP(F1367,'Set up'!$A$2:$C$70,2,FALSE)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up'!$A$2:$C$70,3,FALSE)</f>
        <v>Cash</v>
      </c>
      <c r="J1367" s="5">
        <f>VLOOKUP(F1367,'Set up'!$A$2:$D$70,4,FALSE)</f>
        <v>0</v>
      </c>
      <c r="K1367" s="4">
        <f t="shared" si="308"/>
        <v>44960</v>
      </c>
      <c r="L1367" s="5">
        <f t="shared" si="309"/>
        <v>2</v>
      </c>
      <c r="M1367" s="5">
        <f t="shared" si="310"/>
        <v>2023</v>
      </c>
      <c r="N1367" s="6">
        <v>793.80000000000007</v>
      </c>
      <c r="O1367" s="6">
        <f t="shared" si="319"/>
        <v>-793.80000000000007</v>
      </c>
      <c r="P1367" s="6">
        <f t="shared" si="317"/>
        <v>0</v>
      </c>
      <c r="Q1367" s="7">
        <f t="shared" si="318"/>
        <v>2526654.4500000007</v>
      </c>
      <c r="R1367" s="44" t="str">
        <f>VLOOKUP(F1367,'Set up'!$A$2:$E$70,5,FALSE)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06"/>
        <v>2</v>
      </c>
      <c r="C1368" s="5">
        <f t="shared" si="307"/>
        <v>2023</v>
      </c>
      <c r="D1368" s="5" t="s">
        <v>1237</v>
      </c>
      <c r="E1368" s="5" t="str">
        <f>VLOOKUP(F1368,'Set up'!$A$2:$C$70,2,FALSE)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up'!$A$2:$C$70,3,FALSE)</f>
        <v>Cash</v>
      </c>
      <c r="J1368" s="5">
        <f>VLOOKUP(F1368,'Set up'!$A$2:$D$70,4,FALSE)</f>
        <v>0</v>
      </c>
      <c r="K1368" s="4">
        <f t="shared" si="308"/>
        <v>44960</v>
      </c>
      <c r="L1368" s="5">
        <f t="shared" si="309"/>
        <v>2</v>
      </c>
      <c r="M1368" s="5">
        <f t="shared" si="310"/>
        <v>2023</v>
      </c>
      <c r="N1368" s="6">
        <v>285</v>
      </c>
      <c r="O1368" s="6">
        <f t="shared" si="319"/>
        <v>-285</v>
      </c>
      <c r="P1368" s="6">
        <f t="shared" si="317"/>
        <v>0</v>
      </c>
      <c r="Q1368" s="7">
        <f t="shared" si="318"/>
        <v>2526939.4500000007</v>
      </c>
      <c r="R1368" s="44" t="str">
        <f>VLOOKUP(F1368,'Set up'!$A$2:$E$70,5,FALSE)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06"/>
        <v>2</v>
      </c>
      <c r="C1369" s="5">
        <f t="shared" si="307"/>
        <v>2023</v>
      </c>
      <c r="D1369" s="5" t="s">
        <v>1237</v>
      </c>
      <c r="E1369" s="5" t="str">
        <f>VLOOKUP(F1369,'Set up'!$A$2:$C$70,2,FALSE)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up'!$A$2:$C$70,3,FALSE)</f>
        <v>Cash</v>
      </c>
      <c r="J1369" s="5">
        <f>VLOOKUP(F1369,'Set up'!$A$2:$D$70,4,FALSE)</f>
        <v>0</v>
      </c>
      <c r="K1369" s="4">
        <f t="shared" si="308"/>
        <v>44960</v>
      </c>
      <c r="L1369" s="5">
        <f t="shared" si="309"/>
        <v>2</v>
      </c>
      <c r="M1369" s="5">
        <f t="shared" si="310"/>
        <v>2023</v>
      </c>
      <c r="N1369" s="6">
        <v>105</v>
      </c>
      <c r="O1369" s="6">
        <f t="shared" si="319"/>
        <v>-105</v>
      </c>
      <c r="P1369" s="6">
        <f t="shared" si="317"/>
        <v>0</v>
      </c>
      <c r="Q1369" s="7">
        <f t="shared" si="318"/>
        <v>2527044.4500000007</v>
      </c>
      <c r="R1369" s="44" t="str">
        <f>VLOOKUP(F1369,'Set up'!$A$2:$E$70,5,FALSE)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06"/>
        <v>2</v>
      </c>
      <c r="C1370" s="5">
        <f t="shared" si="307"/>
        <v>2023</v>
      </c>
      <c r="D1370" s="5" t="s">
        <v>1239</v>
      </c>
      <c r="E1370" s="5" t="str">
        <f>VLOOKUP(F1370,'Set up'!$A$2:$C$70,2,FALSE)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up'!$A$2:$C$70,3,FALSE)</f>
        <v>Cash</v>
      </c>
      <c r="J1370" s="5">
        <f>VLOOKUP(F1370,'Set up'!$A$2:$D$70,4,FALSE)</f>
        <v>0</v>
      </c>
      <c r="K1370" s="4">
        <f t="shared" si="308"/>
        <v>44965</v>
      </c>
      <c r="L1370" s="5">
        <f t="shared" si="309"/>
        <v>2</v>
      </c>
      <c r="M1370" s="5">
        <f t="shared" si="310"/>
        <v>2023</v>
      </c>
      <c r="N1370" s="6">
        <v>1936</v>
      </c>
      <c r="O1370" s="6">
        <f>-714-1222</f>
        <v>-1936</v>
      </c>
      <c r="P1370" s="6">
        <f t="shared" si="317"/>
        <v>0</v>
      </c>
      <c r="Q1370" s="7">
        <f t="shared" si="318"/>
        <v>2528980.4500000007</v>
      </c>
      <c r="R1370" s="44" t="str">
        <f>VLOOKUP(F1370,'Set up'!$A$2:$E$70,5,FALSE)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06"/>
        <v>2</v>
      </c>
      <c r="C1371" s="5">
        <f t="shared" si="307"/>
        <v>2023</v>
      </c>
      <c r="D1371" s="5" t="s">
        <v>1239</v>
      </c>
      <c r="E1371" s="5" t="str">
        <f>VLOOKUP(F1371,'Set up'!$A$2:$C$70,2,FALSE)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up'!$A$2:$C$70,3,FALSE)</f>
        <v>Cash</v>
      </c>
      <c r="J1371" s="5">
        <f>VLOOKUP(F1371,'Set up'!$A$2:$D$70,4,FALSE)</f>
        <v>0</v>
      </c>
      <c r="K1371" s="4">
        <f t="shared" si="308"/>
        <v>44965</v>
      </c>
      <c r="L1371" s="5">
        <f t="shared" si="309"/>
        <v>2</v>
      </c>
      <c r="M1371" s="5">
        <f t="shared" si="310"/>
        <v>2023</v>
      </c>
      <c r="N1371" s="6">
        <v>570</v>
      </c>
      <c r="O1371" s="6">
        <f t="shared" ref="O1371" si="320">-N1371</f>
        <v>-570</v>
      </c>
      <c r="P1371" s="6">
        <f t="shared" si="317"/>
        <v>0</v>
      </c>
      <c r="Q1371" s="7">
        <f t="shared" si="318"/>
        <v>2529550.4500000007</v>
      </c>
      <c r="R1371" s="44" t="str">
        <f>VLOOKUP(F1371,'Set up'!$A$2:$E$70,5,FALSE)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06"/>
        <v>2</v>
      </c>
      <c r="C1372" s="5">
        <f t="shared" si="307"/>
        <v>2023</v>
      </c>
      <c r="D1372" s="5" t="s">
        <v>1239</v>
      </c>
      <c r="E1372" s="5" t="str">
        <f>VLOOKUP(F1372,'Set up'!$A$2:$C$70,2,FALSE)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up'!$A$2:$C$70,3,FALSE)</f>
        <v>Cash</v>
      </c>
      <c r="J1372" s="5">
        <f>VLOOKUP(F1372,'Set up'!$A$2:$D$70,4,FALSE)</f>
        <v>0</v>
      </c>
      <c r="K1372" s="4">
        <f t="shared" si="308"/>
        <v>44965</v>
      </c>
      <c r="L1372" s="5">
        <f t="shared" si="309"/>
        <v>2</v>
      </c>
      <c r="M1372" s="5">
        <f t="shared" si="310"/>
        <v>2023</v>
      </c>
      <c r="N1372" s="6">
        <v>450</v>
      </c>
      <c r="O1372" s="6">
        <f>-208-242</f>
        <v>-450</v>
      </c>
      <c r="P1372" s="6">
        <f t="shared" si="317"/>
        <v>0</v>
      </c>
      <c r="Q1372" s="7">
        <f t="shared" si="318"/>
        <v>2530000.4500000007</v>
      </c>
      <c r="R1372" s="44" t="str">
        <f>VLOOKUP(F1372,'Set up'!$A$2:$E$70,5,FALSE)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06"/>
        <v>2</v>
      </c>
      <c r="C1373" s="5">
        <f t="shared" si="307"/>
        <v>2023</v>
      </c>
      <c r="D1373" s="5" t="s">
        <v>1244</v>
      </c>
      <c r="E1373" s="5" t="str">
        <f>VLOOKUP(F1373,'Set up'!$A$2:$C$70,2,FALSE)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up'!$A$2:$C$70,3,FALSE)</f>
        <v>Cash</v>
      </c>
      <c r="J1373" s="5">
        <f>VLOOKUP(F1373,'Set up'!$A$2:$D$70,4,FALSE)</f>
        <v>0</v>
      </c>
      <c r="K1373" s="4">
        <f t="shared" si="308"/>
        <v>44965</v>
      </c>
      <c r="L1373" s="5">
        <f t="shared" si="309"/>
        <v>2</v>
      </c>
      <c r="M1373" s="5">
        <f t="shared" si="310"/>
        <v>2023</v>
      </c>
      <c r="N1373" s="6">
        <v>1752</v>
      </c>
      <c r="O1373" s="6">
        <f t="shared" ref="O1373:O1379" si="321">-N1373</f>
        <v>-1752</v>
      </c>
      <c r="P1373" s="6">
        <f t="shared" si="317"/>
        <v>0</v>
      </c>
      <c r="Q1373" s="7">
        <f t="shared" si="318"/>
        <v>2531752.4500000007</v>
      </c>
      <c r="R1373" s="44" t="str">
        <f>VLOOKUP(F1373,'Set up'!$A$2:$E$70,5,FALSE)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06"/>
        <v>2</v>
      </c>
      <c r="C1374" s="5">
        <f t="shared" si="307"/>
        <v>2023</v>
      </c>
      <c r="D1374" s="5" t="s">
        <v>1244</v>
      </c>
      <c r="E1374" s="5" t="str">
        <f>VLOOKUP(F1374,'Set up'!$A$2:$C$70,2,FALSE)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up'!$A$2:$C$70,3,FALSE)</f>
        <v>Cash</v>
      </c>
      <c r="J1374" s="5">
        <f>VLOOKUP(F1374,'Set up'!$A$2:$D$70,4,FALSE)</f>
        <v>0</v>
      </c>
      <c r="K1374" s="4">
        <f t="shared" si="308"/>
        <v>44965</v>
      </c>
      <c r="L1374" s="5">
        <f t="shared" si="309"/>
        <v>2</v>
      </c>
      <c r="M1374" s="5">
        <f t="shared" si="310"/>
        <v>2023</v>
      </c>
      <c r="N1374" s="6">
        <v>876</v>
      </c>
      <c r="O1374" s="6">
        <f t="shared" si="321"/>
        <v>-876</v>
      </c>
      <c r="P1374" s="6">
        <f t="shared" si="317"/>
        <v>0</v>
      </c>
      <c r="Q1374" s="7">
        <f t="shared" si="318"/>
        <v>2532628.4500000007</v>
      </c>
      <c r="R1374" s="44" t="str">
        <f>VLOOKUP(F1374,'Set up'!$A$2:$E$70,5,FALSE)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06"/>
        <v>2</v>
      </c>
      <c r="C1375" s="5">
        <f t="shared" si="307"/>
        <v>2023</v>
      </c>
      <c r="D1375" s="5" t="s">
        <v>1244</v>
      </c>
      <c r="E1375" s="5" t="str">
        <f>VLOOKUP(F1375,'Set up'!$A$2:$C$70,2,FALSE)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up'!$A$2:$C$70,3,FALSE)</f>
        <v>Cash</v>
      </c>
      <c r="J1375" s="5">
        <f>VLOOKUP(F1375,'Set up'!$A$2:$D$70,4,FALSE)</f>
        <v>0</v>
      </c>
      <c r="K1375" s="4">
        <f t="shared" si="308"/>
        <v>44965</v>
      </c>
      <c r="L1375" s="5">
        <f t="shared" si="309"/>
        <v>2</v>
      </c>
      <c r="M1375" s="5">
        <f t="shared" si="310"/>
        <v>2023</v>
      </c>
      <c r="N1375" s="6">
        <v>987</v>
      </c>
      <c r="O1375" s="6">
        <f t="shared" si="321"/>
        <v>-987</v>
      </c>
      <c r="P1375" s="6">
        <f t="shared" si="317"/>
        <v>0</v>
      </c>
      <c r="Q1375" s="7">
        <f t="shared" si="318"/>
        <v>2533615.4500000007</v>
      </c>
      <c r="R1375" s="44" t="str">
        <f>VLOOKUP(F1375,'Set up'!$A$2:$E$70,5,FALSE)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06"/>
        <v>2</v>
      </c>
      <c r="C1376" s="5">
        <f t="shared" si="307"/>
        <v>2023</v>
      </c>
      <c r="D1376" s="5" t="s">
        <v>1244</v>
      </c>
      <c r="E1376" s="5" t="str">
        <f>VLOOKUP(F1376,'Set up'!$A$2:$C$70,2,FALSE)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up'!$A$2:$C$70,3,FALSE)</f>
        <v>Cash</v>
      </c>
      <c r="J1376" s="5">
        <f>VLOOKUP(F1376,'Set up'!$A$2:$D$70,4,FALSE)</f>
        <v>0</v>
      </c>
      <c r="K1376" s="4">
        <f t="shared" si="308"/>
        <v>44965</v>
      </c>
      <c r="L1376" s="5">
        <f t="shared" si="309"/>
        <v>2</v>
      </c>
      <c r="M1376" s="5">
        <f t="shared" si="310"/>
        <v>2023</v>
      </c>
      <c r="N1376" s="6">
        <v>350</v>
      </c>
      <c r="O1376" s="6">
        <f t="shared" si="321"/>
        <v>-350</v>
      </c>
      <c r="P1376" s="6">
        <f t="shared" si="317"/>
        <v>0</v>
      </c>
      <c r="Q1376" s="7">
        <f t="shared" si="318"/>
        <v>2533965.4500000007</v>
      </c>
      <c r="R1376" s="44" t="str">
        <f>VLOOKUP(F1376,'Set up'!$A$2:$E$70,5,FALSE)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06"/>
        <v>2</v>
      </c>
      <c r="C1377" s="5">
        <f t="shared" si="307"/>
        <v>2023</v>
      </c>
      <c r="D1377" s="5" t="s">
        <v>1244</v>
      </c>
      <c r="E1377" s="5" t="str">
        <f>VLOOKUP(F1377,'Set up'!$A$2:$C$70,2,FALSE)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up'!$A$2:$C$70,3,FALSE)</f>
        <v>Cash</v>
      </c>
      <c r="J1377" s="5">
        <f>VLOOKUP(F1377,'Set up'!$A$2:$D$70,4,FALSE)</f>
        <v>0</v>
      </c>
      <c r="K1377" s="4">
        <f t="shared" si="308"/>
        <v>44965</v>
      </c>
      <c r="L1377" s="5">
        <f t="shared" si="309"/>
        <v>2</v>
      </c>
      <c r="M1377" s="5">
        <f t="shared" si="310"/>
        <v>2023</v>
      </c>
      <c r="N1377" s="6">
        <v>2268</v>
      </c>
      <c r="O1377" s="6">
        <f t="shared" si="321"/>
        <v>-2268</v>
      </c>
      <c r="P1377" s="6">
        <f t="shared" si="317"/>
        <v>0</v>
      </c>
      <c r="Q1377" s="7">
        <f t="shared" si="318"/>
        <v>2536233.4500000007</v>
      </c>
      <c r="R1377" s="44" t="str">
        <f>VLOOKUP(F1377,'Set up'!$A$2:$E$70,5,FALSE)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06"/>
        <v>2</v>
      </c>
      <c r="C1378" s="5">
        <f t="shared" si="307"/>
        <v>2023</v>
      </c>
      <c r="D1378" s="5" t="s">
        <v>1244</v>
      </c>
      <c r="E1378" s="5" t="str">
        <f>VLOOKUP(F1378,'Set up'!$A$2:$C$70,2,FALSE)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up'!$A$2:$C$70,3,FALSE)</f>
        <v>Cash</v>
      </c>
      <c r="J1378" s="5">
        <f>VLOOKUP(F1378,'Set up'!$A$2:$D$70,4,FALSE)</f>
        <v>0</v>
      </c>
      <c r="K1378" s="4">
        <f t="shared" si="308"/>
        <v>44965</v>
      </c>
      <c r="L1378" s="5">
        <f t="shared" si="309"/>
        <v>2</v>
      </c>
      <c r="M1378" s="5">
        <f t="shared" si="310"/>
        <v>2023</v>
      </c>
      <c r="N1378" s="6">
        <v>714</v>
      </c>
      <c r="O1378" s="6">
        <f t="shared" si="321"/>
        <v>-714</v>
      </c>
      <c r="P1378" s="6">
        <f t="shared" si="317"/>
        <v>0</v>
      </c>
      <c r="Q1378" s="7">
        <f t="shared" si="318"/>
        <v>2536947.4500000007</v>
      </c>
      <c r="R1378" s="44" t="str">
        <f>VLOOKUP(F1378,'Set up'!$A$2:$E$70,5,FALSE)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06"/>
        <v>2</v>
      </c>
      <c r="C1379" s="5">
        <f t="shared" si="307"/>
        <v>2023</v>
      </c>
      <c r="D1379" s="5" t="s">
        <v>1245</v>
      </c>
      <c r="E1379" s="5" t="str">
        <f>VLOOKUP(F1379,'Set up'!$A$2:$C$70,2,FALSE)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up'!$A$2:$C$70,3,FALSE)</f>
        <v>Cash</v>
      </c>
      <c r="J1379" s="5">
        <f>VLOOKUP(F1379,'Set up'!$A$2:$D$70,4,FALSE)</f>
        <v>0</v>
      </c>
      <c r="K1379" s="4">
        <f t="shared" si="308"/>
        <v>44966</v>
      </c>
      <c r="L1379" s="5">
        <f t="shared" si="309"/>
        <v>2</v>
      </c>
      <c r="M1379" s="5">
        <f t="shared" si="310"/>
        <v>2023</v>
      </c>
      <c r="N1379" s="6">
        <v>6952</v>
      </c>
      <c r="O1379" s="6">
        <f t="shared" si="321"/>
        <v>-6952</v>
      </c>
      <c r="P1379" s="6">
        <f t="shared" si="317"/>
        <v>0</v>
      </c>
      <c r="Q1379" s="7">
        <f t="shared" si="318"/>
        <v>2543899.4500000007</v>
      </c>
      <c r="R1379" s="44" t="str">
        <f>VLOOKUP(F1379,'Set up'!$A$2:$E$70,5,FALSE)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06"/>
        <v>2</v>
      </c>
      <c r="C1380" s="5">
        <f t="shared" si="307"/>
        <v>2023</v>
      </c>
      <c r="D1380" s="5" t="s">
        <v>1245</v>
      </c>
      <c r="E1380" s="5" t="str">
        <f>VLOOKUP(F1380,'Set up'!$A$2:$C$70,2,FALSE)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up'!$A$2:$C$70,3,FALSE)</f>
        <v>Cash</v>
      </c>
      <c r="J1380" s="5">
        <f>VLOOKUP(F1380,'Set up'!$A$2:$D$70,4,FALSE)</f>
        <v>0</v>
      </c>
      <c r="K1380" s="4">
        <f t="shared" si="308"/>
        <v>44966</v>
      </c>
      <c r="L1380" s="5">
        <f t="shared" si="309"/>
        <v>2</v>
      </c>
      <c r="M1380" s="5">
        <f t="shared" si="310"/>
        <v>2023</v>
      </c>
      <c r="N1380" s="6">
        <v>3420</v>
      </c>
      <c r="O1380" s="6">
        <f>-2480.6-939.4</f>
        <v>-3420</v>
      </c>
      <c r="P1380" s="6">
        <f t="shared" si="317"/>
        <v>0</v>
      </c>
      <c r="Q1380" s="7">
        <f t="shared" si="318"/>
        <v>2547319.4500000007</v>
      </c>
      <c r="R1380" s="44" t="str">
        <f>VLOOKUP(F1380,'Set up'!$A$2:$E$70,5,FALSE)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06"/>
        <v>2</v>
      </c>
      <c r="C1381" s="5">
        <f t="shared" si="307"/>
        <v>2023</v>
      </c>
      <c r="D1381" s="5" t="s">
        <v>1245</v>
      </c>
      <c r="E1381" s="5" t="str">
        <f>VLOOKUP(F1381,'Set up'!$A$2:$C$70,2,FALSE)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up'!$A$2:$C$70,3,FALSE)</f>
        <v>Cash</v>
      </c>
      <c r="J1381" s="5">
        <f>VLOOKUP(F1381,'Set up'!$A$2:$D$70,4,FALSE)</f>
        <v>0</v>
      </c>
      <c r="K1381" s="4">
        <f t="shared" si="308"/>
        <v>44966</v>
      </c>
      <c r="L1381" s="5">
        <f t="shared" si="309"/>
        <v>2</v>
      </c>
      <c r="M1381" s="5">
        <f t="shared" si="310"/>
        <v>2023</v>
      </c>
      <c r="N1381" s="6">
        <v>2116.8000000000002</v>
      </c>
      <c r="O1381" s="6">
        <f>-2060.6-56.2</f>
        <v>-2116.7999999999997</v>
      </c>
      <c r="P1381" s="6">
        <f t="shared" si="317"/>
        <v>4.5474735088646412E-13</v>
      </c>
      <c r="Q1381" s="7">
        <f t="shared" si="318"/>
        <v>2549436.2500000005</v>
      </c>
      <c r="R1381" s="44" t="str">
        <f>VLOOKUP(F1381,'Set up'!$A$2:$E$70,5,FALSE)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06"/>
        <v>2</v>
      </c>
      <c r="C1382" s="5">
        <f t="shared" si="307"/>
        <v>2023</v>
      </c>
      <c r="D1382" s="5" t="s">
        <v>1245</v>
      </c>
      <c r="E1382" s="5" t="str">
        <f>VLOOKUP(F1382,'Set up'!$A$2:$C$70,2,FALSE)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up'!$A$2:$C$70,3,FALSE)</f>
        <v>Cash</v>
      </c>
      <c r="J1382" s="5">
        <f>VLOOKUP(F1382,'Set up'!$A$2:$D$70,4,FALSE)</f>
        <v>0</v>
      </c>
      <c r="K1382" s="4">
        <f t="shared" si="308"/>
        <v>44966</v>
      </c>
      <c r="L1382" s="5">
        <f t="shared" si="309"/>
        <v>2</v>
      </c>
      <c r="M1382" s="5">
        <f t="shared" si="310"/>
        <v>2023</v>
      </c>
      <c r="N1382" s="6">
        <v>380</v>
      </c>
      <c r="O1382" s="6">
        <f t="shared" ref="O1382:O1384" si="322">-N1382</f>
        <v>-380</v>
      </c>
      <c r="P1382" s="6">
        <f t="shared" si="317"/>
        <v>0</v>
      </c>
      <c r="Q1382" s="7">
        <f t="shared" si="318"/>
        <v>2549816.2500000005</v>
      </c>
      <c r="R1382" s="44" t="str">
        <f>VLOOKUP(F1382,'Set up'!$A$2:$E$70,5,FALSE)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06"/>
        <v>2</v>
      </c>
      <c r="C1383" s="5">
        <f t="shared" si="307"/>
        <v>2023</v>
      </c>
      <c r="D1383" s="5" t="s">
        <v>1245</v>
      </c>
      <c r="E1383" s="5" t="str">
        <f>VLOOKUP(F1383,'Set up'!$A$2:$C$70,2,FALSE)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up'!$A$2:$C$70,3,FALSE)</f>
        <v>Cash</v>
      </c>
      <c r="J1383" s="5">
        <f>VLOOKUP(F1383,'Set up'!$A$2:$D$70,4,FALSE)</f>
        <v>0</v>
      </c>
      <c r="K1383" s="4">
        <f t="shared" si="308"/>
        <v>44966</v>
      </c>
      <c r="L1383" s="5">
        <f t="shared" si="309"/>
        <v>2</v>
      </c>
      <c r="M1383" s="5">
        <f t="shared" si="310"/>
        <v>2023</v>
      </c>
      <c r="N1383" s="6">
        <v>1000</v>
      </c>
      <c r="O1383" s="6">
        <f t="shared" si="322"/>
        <v>-1000</v>
      </c>
      <c r="P1383" s="6">
        <f t="shared" si="317"/>
        <v>0</v>
      </c>
      <c r="Q1383" s="7">
        <f t="shared" si="318"/>
        <v>2550816.2500000005</v>
      </c>
      <c r="R1383" s="44" t="str">
        <f>VLOOKUP(F1383,'Set up'!$A$2:$E$70,5,FALSE)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06"/>
        <v>2</v>
      </c>
      <c r="C1384" s="5">
        <f t="shared" si="307"/>
        <v>2023</v>
      </c>
      <c r="D1384" s="5" t="s">
        <v>1247</v>
      </c>
      <c r="E1384" s="5" t="str">
        <f>VLOOKUP(F1384,'Set up'!$A$2:$C$70,2,FALSE)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up'!$A$2:$C$70,3,FALSE)</f>
        <v>Cash</v>
      </c>
      <c r="J1384" s="5">
        <f>VLOOKUP(F1384,'Set up'!$A$2:$D$70,4,FALSE)</f>
        <v>0</v>
      </c>
      <c r="K1384" s="4">
        <f t="shared" si="308"/>
        <v>44966</v>
      </c>
      <c r="L1384" s="5">
        <f t="shared" si="309"/>
        <v>2</v>
      </c>
      <c r="M1384" s="5">
        <f t="shared" si="310"/>
        <v>2023</v>
      </c>
      <c r="N1384" s="6">
        <v>250</v>
      </c>
      <c r="O1384" s="6">
        <f t="shared" si="322"/>
        <v>-250</v>
      </c>
      <c r="P1384" s="6">
        <f t="shared" si="317"/>
        <v>0</v>
      </c>
      <c r="Q1384" s="7">
        <f t="shared" si="318"/>
        <v>2551066.2500000005</v>
      </c>
      <c r="R1384" s="44" t="str">
        <f>VLOOKUP(F1384,'Set up'!$A$2:$E$70,5,FALSE)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06"/>
        <v>2</v>
      </c>
      <c r="C1385" s="5">
        <f t="shared" si="307"/>
        <v>2023</v>
      </c>
      <c r="D1385" s="5" t="s">
        <v>1248</v>
      </c>
      <c r="E1385" s="5" t="str">
        <f>VLOOKUP(F1385,'Set up'!$A$2:$C$70,2,FALSE)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up'!$A$2:$C$70,3,FALSE)</f>
        <v>Cash</v>
      </c>
      <c r="J1385" s="5">
        <f>VLOOKUP(F1385,'Set up'!$A$2:$D$70,4,FALSE)</f>
        <v>0</v>
      </c>
      <c r="K1385" s="4">
        <f t="shared" si="308"/>
        <v>44966</v>
      </c>
      <c r="L1385" s="5">
        <f t="shared" si="309"/>
        <v>2</v>
      </c>
      <c r="M1385" s="5">
        <f t="shared" si="310"/>
        <v>2023</v>
      </c>
      <c r="N1385" s="6">
        <v>110</v>
      </c>
      <c r="O1385" s="6">
        <f t="shared" ref="O1385:O1388" si="323">-N1385</f>
        <v>-110</v>
      </c>
      <c r="P1385" s="6">
        <f t="shared" si="317"/>
        <v>0</v>
      </c>
      <c r="Q1385" s="7">
        <f t="shared" si="318"/>
        <v>2551176.2500000005</v>
      </c>
      <c r="R1385" s="44" t="str">
        <f>VLOOKUP(F1385,'Set up'!$A$2:$E$70,5,FALSE)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06"/>
        <v>2</v>
      </c>
      <c r="C1386" s="5">
        <f t="shared" si="307"/>
        <v>2023</v>
      </c>
      <c r="D1386" s="5" t="s">
        <v>1249</v>
      </c>
      <c r="E1386" s="5" t="str">
        <f>VLOOKUP(F1386,'Set up'!$A$2:$C$70,2,FALSE)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up'!$A$2:$C$70,3,FALSE)</f>
        <v>Cash</v>
      </c>
      <c r="J1386" s="5">
        <f>VLOOKUP(F1386,'Set up'!$A$2:$D$70,4,FALSE)</f>
        <v>0</v>
      </c>
      <c r="K1386" s="4">
        <f t="shared" si="308"/>
        <v>44967</v>
      </c>
      <c r="L1386" s="5">
        <f t="shared" si="309"/>
        <v>2</v>
      </c>
      <c r="M1386" s="5">
        <f t="shared" si="310"/>
        <v>2023</v>
      </c>
      <c r="N1386" s="6">
        <v>1870</v>
      </c>
      <c r="O1386" s="6">
        <f t="shared" si="323"/>
        <v>-1870</v>
      </c>
      <c r="P1386" s="6">
        <f t="shared" si="317"/>
        <v>0</v>
      </c>
      <c r="Q1386" s="7">
        <f t="shared" si="318"/>
        <v>2553046.2500000005</v>
      </c>
      <c r="R1386" s="44" t="str">
        <f>VLOOKUP(F1386,'Set up'!$A$2:$E$70,5,FALSE)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06"/>
        <v>2</v>
      </c>
      <c r="C1387" s="5">
        <f t="shared" si="307"/>
        <v>2023</v>
      </c>
      <c r="D1387" s="5" t="s">
        <v>1249</v>
      </c>
      <c r="E1387" s="5" t="str">
        <f>VLOOKUP(F1387,'Set up'!$A$2:$C$70,2,FALSE)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up'!$A$2:$C$70,3,FALSE)</f>
        <v>Cash</v>
      </c>
      <c r="J1387" s="5">
        <f>VLOOKUP(F1387,'Set up'!$A$2:$D$70,4,FALSE)</f>
        <v>0</v>
      </c>
      <c r="K1387" s="4">
        <f t="shared" si="308"/>
        <v>44967</v>
      </c>
      <c r="L1387" s="5">
        <f t="shared" si="309"/>
        <v>2</v>
      </c>
      <c r="M1387" s="5">
        <f t="shared" si="310"/>
        <v>2023</v>
      </c>
      <c r="N1387" s="6">
        <v>765</v>
      </c>
      <c r="O1387" s="6">
        <f t="shared" si="323"/>
        <v>-765</v>
      </c>
      <c r="P1387" s="6">
        <f t="shared" si="317"/>
        <v>0</v>
      </c>
      <c r="Q1387" s="7">
        <f t="shared" si="318"/>
        <v>2553811.2500000005</v>
      </c>
      <c r="R1387" s="44" t="str">
        <f>VLOOKUP(F1387,'Set up'!$A$2:$E$70,5,FALSE)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06"/>
        <v>2</v>
      </c>
      <c r="C1388" s="5">
        <f t="shared" si="307"/>
        <v>2023</v>
      </c>
      <c r="D1388" s="5" t="s">
        <v>1249</v>
      </c>
      <c r="E1388" s="5" t="str">
        <f>VLOOKUP(F1388,'Set up'!$A$2:$C$70,2,FALSE)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up'!$A$2:$C$70,3,FALSE)</f>
        <v>Cash</v>
      </c>
      <c r="J1388" s="5">
        <f>VLOOKUP(F1388,'Set up'!$A$2:$D$70,4,FALSE)</f>
        <v>0</v>
      </c>
      <c r="K1388" s="4">
        <f t="shared" si="308"/>
        <v>44967</v>
      </c>
      <c r="L1388" s="5">
        <f t="shared" si="309"/>
        <v>2</v>
      </c>
      <c r="M1388" s="5">
        <f t="shared" si="310"/>
        <v>2023</v>
      </c>
      <c r="N1388" s="6">
        <v>95</v>
      </c>
      <c r="O1388" s="6">
        <f t="shared" si="323"/>
        <v>-95</v>
      </c>
      <c r="P1388" s="6">
        <f t="shared" si="317"/>
        <v>0</v>
      </c>
      <c r="Q1388" s="7">
        <f t="shared" si="318"/>
        <v>2553906.2500000005</v>
      </c>
      <c r="R1388" s="44" t="str">
        <f>VLOOKUP(F1388,'Set up'!$A$2:$E$70,5,FALSE)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06"/>
        <v>2</v>
      </c>
      <c r="C1389" s="5">
        <f t="shared" si="307"/>
        <v>2023</v>
      </c>
      <c r="D1389" s="5" t="s">
        <v>1251</v>
      </c>
      <c r="E1389" s="5" t="str">
        <f>VLOOKUP(F1389,'Set up'!$A$2:$C$70,2,FALSE)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up'!$A$2:$C$70,3,FALSE)</f>
        <v>120</v>
      </c>
      <c r="J1389" s="5">
        <f>VLOOKUP(F1389,'Set up'!$A$2:$D$70,4,FALSE)</f>
        <v>120</v>
      </c>
      <c r="K1389" s="4">
        <f t="shared" si="308"/>
        <v>45087</v>
      </c>
      <c r="L1389" s="5">
        <f t="shared" si="309"/>
        <v>6</v>
      </c>
      <c r="M1389" s="5">
        <f t="shared" si="310"/>
        <v>2023</v>
      </c>
      <c r="N1389" s="6">
        <v>8140</v>
      </c>
      <c r="O1389" s="6">
        <f t="shared" ref="O1389:O1393" si="324">-N1389</f>
        <v>-8140</v>
      </c>
      <c r="P1389" s="6">
        <f t="shared" si="317"/>
        <v>0</v>
      </c>
      <c r="Q1389" s="7">
        <f t="shared" si="318"/>
        <v>2562046.2500000005</v>
      </c>
      <c r="R1389" s="44" t="str">
        <f>VLOOKUP(F1389,'Set up'!$A$2:$E$70,5,FALSE)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06"/>
        <v>2</v>
      </c>
      <c r="C1390" s="5">
        <f t="shared" si="307"/>
        <v>2023</v>
      </c>
      <c r="D1390" s="5" t="s">
        <v>1251</v>
      </c>
      <c r="E1390" s="5" t="str">
        <f>VLOOKUP(F1390,'Set up'!$A$2:$C$70,2,FALSE)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up'!$A$2:$C$70,3,FALSE)</f>
        <v>120</v>
      </c>
      <c r="J1390" s="5">
        <f>VLOOKUP(F1390,'Set up'!$A$2:$D$70,4,FALSE)</f>
        <v>120</v>
      </c>
      <c r="K1390" s="4">
        <f t="shared" si="308"/>
        <v>45087</v>
      </c>
      <c r="L1390" s="5">
        <f t="shared" si="309"/>
        <v>6</v>
      </c>
      <c r="M1390" s="5">
        <f t="shared" si="310"/>
        <v>2023</v>
      </c>
      <c r="N1390" s="6">
        <v>1035</v>
      </c>
      <c r="O1390" s="6">
        <f t="shared" si="324"/>
        <v>-1035</v>
      </c>
      <c r="P1390" s="6">
        <f t="shared" si="317"/>
        <v>0</v>
      </c>
      <c r="Q1390" s="7">
        <f t="shared" si="318"/>
        <v>2563081.2500000005</v>
      </c>
      <c r="R1390" s="44" t="str">
        <f>VLOOKUP(F1390,'Set up'!$A$2:$E$70,5,FALSE)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06"/>
        <v>2</v>
      </c>
      <c r="C1391" s="5">
        <f t="shared" si="307"/>
        <v>2023</v>
      </c>
      <c r="D1391" s="5" t="s">
        <v>1251</v>
      </c>
      <c r="E1391" s="5" t="str">
        <f>VLOOKUP(F1391,'Set up'!$A$2:$C$70,2,FALSE)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up'!$A$2:$C$70,3,FALSE)</f>
        <v>120</v>
      </c>
      <c r="J1391" s="5">
        <f>VLOOKUP(F1391,'Set up'!$A$2:$D$70,4,FALSE)</f>
        <v>120</v>
      </c>
      <c r="K1391" s="4">
        <f t="shared" si="308"/>
        <v>45087</v>
      </c>
      <c r="L1391" s="5">
        <f t="shared" si="309"/>
        <v>6</v>
      </c>
      <c r="M1391" s="5">
        <f t="shared" si="310"/>
        <v>2023</v>
      </c>
      <c r="N1391" s="6">
        <v>575</v>
      </c>
      <c r="O1391" s="6">
        <f t="shared" si="324"/>
        <v>-575</v>
      </c>
      <c r="P1391" s="6">
        <f t="shared" si="317"/>
        <v>0</v>
      </c>
      <c r="Q1391" s="7">
        <f t="shared" si="318"/>
        <v>2563656.2500000005</v>
      </c>
      <c r="R1391" s="44" t="str">
        <f>VLOOKUP(F1391,'Set up'!$A$2:$E$70,5,FALSE)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06"/>
        <v>2</v>
      </c>
      <c r="C1392" s="5">
        <f t="shared" si="307"/>
        <v>2023</v>
      </c>
      <c r="D1392" s="5" t="s">
        <v>1251</v>
      </c>
      <c r="E1392" s="5" t="str">
        <f>VLOOKUP(F1392,'Set up'!$A$2:$C$70,2,FALSE)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up'!$A$2:$C$70,3,FALSE)</f>
        <v>120</v>
      </c>
      <c r="J1392" s="5">
        <f>VLOOKUP(F1392,'Set up'!$A$2:$D$70,4,FALSE)</f>
        <v>120</v>
      </c>
      <c r="K1392" s="4">
        <f t="shared" si="308"/>
        <v>45087</v>
      </c>
      <c r="L1392" s="5">
        <f t="shared" si="309"/>
        <v>6</v>
      </c>
      <c r="M1392" s="5">
        <f t="shared" si="310"/>
        <v>2023</v>
      </c>
      <c r="N1392" s="6">
        <v>420</v>
      </c>
      <c r="O1392" s="6">
        <f t="shared" si="324"/>
        <v>-420</v>
      </c>
      <c r="P1392" s="6">
        <f t="shared" si="317"/>
        <v>0</v>
      </c>
      <c r="Q1392" s="7">
        <f t="shared" si="318"/>
        <v>2564076.2500000005</v>
      </c>
      <c r="R1392" s="44" t="str">
        <f>VLOOKUP(F1392,'Set up'!$A$2:$E$70,5,FALSE)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06"/>
        <v>2</v>
      </c>
      <c r="C1393" s="5">
        <f t="shared" si="307"/>
        <v>2023</v>
      </c>
      <c r="D1393" s="5" t="s">
        <v>1251</v>
      </c>
      <c r="E1393" s="5" t="str">
        <f>VLOOKUP(F1393,'Set up'!$A$2:$C$70,2,FALSE)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up'!$A$2:$C$70,3,FALSE)</f>
        <v>120</v>
      </c>
      <c r="J1393" s="5">
        <f>VLOOKUP(F1393,'Set up'!$A$2:$D$70,4,FALSE)</f>
        <v>120</v>
      </c>
      <c r="K1393" s="4">
        <f t="shared" si="308"/>
        <v>45087</v>
      </c>
      <c r="L1393" s="5">
        <f t="shared" si="309"/>
        <v>6</v>
      </c>
      <c r="M1393" s="5">
        <f t="shared" si="310"/>
        <v>2023</v>
      </c>
      <c r="N1393" s="6">
        <v>595</v>
      </c>
      <c r="O1393" s="6">
        <f t="shared" si="324"/>
        <v>-595</v>
      </c>
      <c r="P1393" s="6">
        <f t="shared" si="317"/>
        <v>0</v>
      </c>
      <c r="Q1393" s="7">
        <f t="shared" si="318"/>
        <v>2564671.2500000005</v>
      </c>
      <c r="R1393" s="44" t="str">
        <f>VLOOKUP(F1393,'Set up'!$A$2:$E$70,5,FALSE)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06"/>
        <v>2</v>
      </c>
      <c r="C1394" s="5">
        <f t="shared" si="307"/>
        <v>2023</v>
      </c>
      <c r="D1394" s="5" t="s">
        <v>1254</v>
      </c>
      <c r="E1394" s="5" t="str">
        <f>VLOOKUP(F1394,'Set up'!$A$2:$C$70,2,FALSE)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up'!$A$2:$C$70,3,FALSE)</f>
        <v>Cash</v>
      </c>
      <c r="J1394" s="5">
        <f>VLOOKUP(F1394,'Set up'!$A$2:$D$70,4,FALSE)</f>
        <v>0</v>
      </c>
      <c r="K1394" s="4">
        <f t="shared" si="308"/>
        <v>44968</v>
      </c>
      <c r="L1394" s="5">
        <f t="shared" si="309"/>
        <v>2</v>
      </c>
      <c r="M1394" s="5">
        <f t="shared" si="310"/>
        <v>2023</v>
      </c>
      <c r="N1394" s="6">
        <v>8690</v>
      </c>
      <c r="O1394" s="6">
        <f>-6613.8-1100-976.2</f>
        <v>-8690</v>
      </c>
      <c r="P1394" s="6">
        <f t="shared" si="317"/>
        <v>0</v>
      </c>
      <c r="Q1394" s="7">
        <f t="shared" si="318"/>
        <v>2573361.2500000005</v>
      </c>
      <c r="R1394" s="44" t="str">
        <f>VLOOKUP(F1394,'Set up'!$A$2:$E$70,5,FALSE)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06"/>
        <v>2</v>
      </c>
      <c r="C1395" s="5">
        <f t="shared" si="307"/>
        <v>2023</v>
      </c>
      <c r="D1395" s="5" t="s">
        <v>1254</v>
      </c>
      <c r="E1395" s="5" t="str">
        <f>VLOOKUP(F1395,'Set up'!$A$2:$C$70,2,FALSE)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up'!$A$2:$C$70,3,FALSE)</f>
        <v>Cash</v>
      </c>
      <c r="J1395" s="5">
        <f>VLOOKUP(F1395,'Set up'!$A$2:$D$70,4,FALSE)</f>
        <v>0</v>
      </c>
      <c r="K1395" s="4">
        <f t="shared" si="308"/>
        <v>44968</v>
      </c>
      <c r="L1395" s="5">
        <f t="shared" si="309"/>
        <v>2</v>
      </c>
      <c r="M1395" s="5">
        <f t="shared" si="310"/>
        <v>2023</v>
      </c>
      <c r="N1395" s="6">
        <v>3420</v>
      </c>
      <c r="O1395" s="6">
        <f t="shared" ref="O1395:O1398" si="325">-N1395</f>
        <v>-3420</v>
      </c>
      <c r="P1395" s="6">
        <f t="shared" si="317"/>
        <v>0</v>
      </c>
      <c r="Q1395" s="7">
        <f t="shared" si="318"/>
        <v>2576781.2500000005</v>
      </c>
      <c r="R1395" s="44" t="str">
        <f>VLOOKUP(F1395,'Set up'!$A$2:$E$70,5,FALSE)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06"/>
        <v>2</v>
      </c>
      <c r="C1396" s="5">
        <f t="shared" si="307"/>
        <v>2023</v>
      </c>
      <c r="D1396" s="5" t="s">
        <v>1254</v>
      </c>
      <c r="E1396" s="5" t="str">
        <f>VLOOKUP(F1396,'Set up'!$A$2:$C$70,2,FALSE)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up'!$A$2:$C$70,3,FALSE)</f>
        <v>Cash</v>
      </c>
      <c r="J1396" s="5">
        <f>VLOOKUP(F1396,'Set up'!$A$2:$D$70,4,FALSE)</f>
        <v>0</v>
      </c>
      <c r="K1396" s="4">
        <f t="shared" si="308"/>
        <v>44968</v>
      </c>
      <c r="L1396" s="5">
        <f t="shared" si="309"/>
        <v>2</v>
      </c>
      <c r="M1396" s="5">
        <f t="shared" si="310"/>
        <v>2023</v>
      </c>
      <c r="N1396" s="6">
        <v>2116.8000000000002</v>
      </c>
      <c r="O1396" s="6">
        <f t="shared" si="325"/>
        <v>-2116.8000000000002</v>
      </c>
      <c r="P1396" s="6">
        <f t="shared" si="317"/>
        <v>0</v>
      </c>
      <c r="Q1396" s="7">
        <f t="shared" si="318"/>
        <v>2578898.0500000003</v>
      </c>
      <c r="R1396" s="44" t="str">
        <f>VLOOKUP(F1396,'Set up'!$A$2:$E$70,5,FALSE)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06"/>
        <v>2</v>
      </c>
      <c r="C1397" s="5">
        <f t="shared" si="307"/>
        <v>2023</v>
      </c>
      <c r="D1397" s="5" t="s">
        <v>1254</v>
      </c>
      <c r="E1397" s="5" t="str">
        <f>VLOOKUP(F1397,'Set up'!$A$2:$C$70,2,FALSE)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up'!$A$2:$C$70,3,FALSE)</f>
        <v>Cash</v>
      </c>
      <c r="J1397" s="5">
        <f>VLOOKUP(F1397,'Set up'!$A$2:$D$70,4,FALSE)</f>
        <v>0</v>
      </c>
      <c r="K1397" s="4">
        <f t="shared" si="308"/>
        <v>44968</v>
      </c>
      <c r="L1397" s="5">
        <f t="shared" si="309"/>
        <v>2</v>
      </c>
      <c r="M1397" s="5">
        <f t="shared" si="310"/>
        <v>2023</v>
      </c>
      <c r="N1397" s="6">
        <v>1000</v>
      </c>
      <c r="O1397" s="6">
        <f t="shared" si="325"/>
        <v>-1000</v>
      </c>
      <c r="P1397" s="6">
        <f t="shared" si="317"/>
        <v>0</v>
      </c>
      <c r="Q1397" s="7">
        <f t="shared" si="318"/>
        <v>2579898.0500000003</v>
      </c>
      <c r="R1397" s="44" t="str">
        <f>VLOOKUP(F1397,'Set up'!$A$2:$E$70,5,FALSE)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06"/>
        <v>2</v>
      </c>
      <c r="C1398" s="5">
        <f t="shared" si="307"/>
        <v>2023</v>
      </c>
      <c r="D1398" s="5" t="s">
        <v>1255</v>
      </c>
      <c r="E1398" s="5" t="str">
        <f>VLOOKUP(F1398,'Set up'!$A$2:$C$70,2,FALSE)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up'!$A$2:$C$70,3,FALSE)</f>
        <v>Cash</v>
      </c>
      <c r="J1398" s="5">
        <f>VLOOKUP(F1398,'Set up'!$A$2:$D$70,4,FALSE)</f>
        <v>0</v>
      </c>
      <c r="K1398" s="4">
        <f t="shared" si="308"/>
        <v>44968</v>
      </c>
      <c r="L1398" s="5">
        <f t="shared" si="309"/>
        <v>2</v>
      </c>
      <c r="M1398" s="5">
        <f t="shared" si="310"/>
        <v>2023</v>
      </c>
      <c r="N1398" s="6">
        <v>312.5</v>
      </c>
      <c r="O1398" s="6">
        <f t="shared" si="325"/>
        <v>-312.5</v>
      </c>
      <c r="P1398" s="6">
        <f t="shared" si="317"/>
        <v>0</v>
      </c>
      <c r="Q1398" s="7">
        <f t="shared" si="318"/>
        <v>2580210.5500000003</v>
      </c>
      <c r="R1398" s="44" t="str">
        <f>VLOOKUP(F1398,'Set up'!$A$2:$E$70,5,FALSE)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si="306"/>
        <v>2</v>
      </c>
      <c r="C1399" s="5">
        <f t="shared" si="307"/>
        <v>2023</v>
      </c>
      <c r="D1399" s="5" t="s">
        <v>1256</v>
      </c>
      <c r="E1399" s="5" t="str">
        <f>VLOOKUP(F1399,'Set up'!$A$2:$C$70,2,FALSE)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up'!$A$2:$C$70,3,FALSE)</f>
        <v>Cash</v>
      </c>
      <c r="J1399" s="5">
        <f>VLOOKUP(F1399,'Set up'!$A$2:$D$70,4,FALSE)</f>
        <v>0</v>
      </c>
      <c r="K1399" s="4">
        <f t="shared" si="308"/>
        <v>44968</v>
      </c>
      <c r="L1399" s="5">
        <f t="shared" si="309"/>
        <v>2</v>
      </c>
      <c r="M1399" s="5">
        <f t="shared" si="310"/>
        <v>2023</v>
      </c>
      <c r="N1399" s="6">
        <v>450</v>
      </c>
      <c r="O1399" s="6">
        <f t="shared" ref="O1399" si="326">-N1399</f>
        <v>-450</v>
      </c>
      <c r="P1399" s="6">
        <f t="shared" si="317"/>
        <v>0</v>
      </c>
      <c r="Q1399" s="7">
        <f t="shared" si="318"/>
        <v>2580660.5500000003</v>
      </c>
      <c r="R1399" s="44" t="str">
        <f>VLOOKUP(F1399,'Set up'!$A$2:$E$70,5,FALSE)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06"/>
        <v>2</v>
      </c>
      <c r="C1400" s="5">
        <f t="shared" si="307"/>
        <v>2023</v>
      </c>
      <c r="D1400" s="5" t="s">
        <v>1262</v>
      </c>
      <c r="E1400" s="5" t="str">
        <f>VLOOKUP(F1400,'Set up'!$A$2:$C$70,2,FALSE)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up'!$A$2:$C$70,3,FALSE)</f>
        <v>Cash</v>
      </c>
      <c r="J1400" s="5">
        <f>VLOOKUP(F1400,'Set up'!$A$2:$D$70,4,FALSE)</f>
        <v>0</v>
      </c>
      <c r="K1400" s="4">
        <f t="shared" si="308"/>
        <v>44972</v>
      </c>
      <c r="L1400" s="5">
        <f t="shared" si="309"/>
        <v>2</v>
      </c>
      <c r="M1400" s="5">
        <f t="shared" si="310"/>
        <v>2023</v>
      </c>
      <c r="N1400" s="6">
        <v>260</v>
      </c>
      <c r="O1400" s="6">
        <f t="shared" ref="O1400:O1405" si="327">-N1400</f>
        <v>-260</v>
      </c>
      <c r="P1400" s="6">
        <f t="shared" si="317"/>
        <v>0</v>
      </c>
      <c r="Q1400" s="7">
        <f t="shared" si="318"/>
        <v>2580920.5500000003</v>
      </c>
      <c r="R1400" s="44" t="str">
        <f>VLOOKUP(F1400,'Set up'!$A$2:$E$70,5,FALSE)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06"/>
        <v>2</v>
      </c>
      <c r="C1401" s="5">
        <f t="shared" si="307"/>
        <v>2023</v>
      </c>
      <c r="D1401" s="5" t="s">
        <v>1262</v>
      </c>
      <c r="E1401" s="5" t="str">
        <f>VLOOKUP(F1401,'Set up'!$A$2:$C$70,2,FALSE)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up'!$A$2:$C$70,3,FALSE)</f>
        <v>Cash</v>
      </c>
      <c r="J1401" s="5">
        <f>VLOOKUP(F1401,'Set up'!$A$2:$D$70,4,FALSE)</f>
        <v>0</v>
      </c>
      <c r="K1401" s="4">
        <f t="shared" si="308"/>
        <v>44972</v>
      </c>
      <c r="L1401" s="5">
        <f t="shared" si="309"/>
        <v>2</v>
      </c>
      <c r="M1401" s="5">
        <f t="shared" si="310"/>
        <v>2023</v>
      </c>
      <c r="N1401" s="6">
        <v>228</v>
      </c>
      <c r="O1401" s="6">
        <f t="shared" si="327"/>
        <v>-228</v>
      </c>
      <c r="P1401" s="6">
        <f t="shared" si="317"/>
        <v>0</v>
      </c>
      <c r="Q1401" s="7">
        <f t="shared" si="318"/>
        <v>2581148.5500000003</v>
      </c>
      <c r="R1401" s="44" t="str">
        <f>VLOOKUP(F1401,'Set up'!$A$2:$E$70,5,FALSE)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06"/>
        <v>2</v>
      </c>
      <c r="C1402" s="5">
        <f t="shared" si="307"/>
        <v>2023</v>
      </c>
      <c r="D1402" s="5" t="s">
        <v>1262</v>
      </c>
      <c r="E1402" s="5" t="str">
        <f>VLOOKUP(F1402,'Set up'!$A$2:$C$70,2,FALSE)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up'!$A$2:$C$70,3,FALSE)</f>
        <v>Cash</v>
      </c>
      <c r="J1402" s="5">
        <f>VLOOKUP(F1402,'Set up'!$A$2:$D$70,4,FALSE)</f>
        <v>0</v>
      </c>
      <c r="K1402" s="4">
        <f t="shared" si="308"/>
        <v>44972</v>
      </c>
      <c r="L1402" s="5">
        <f t="shared" si="309"/>
        <v>2</v>
      </c>
      <c r="M1402" s="5">
        <f t="shared" si="310"/>
        <v>2023</v>
      </c>
      <c r="N1402" s="6">
        <v>105</v>
      </c>
      <c r="O1402" s="6">
        <f t="shared" si="327"/>
        <v>-105</v>
      </c>
      <c r="P1402" s="6">
        <f t="shared" si="317"/>
        <v>0</v>
      </c>
      <c r="Q1402" s="7">
        <f t="shared" si="318"/>
        <v>2581253.5500000003</v>
      </c>
      <c r="R1402" s="44" t="str">
        <f>VLOOKUP(F1402,'Set up'!$A$2:$E$70,5,FALSE)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06"/>
        <v>2</v>
      </c>
      <c r="C1403" s="5">
        <f t="shared" si="307"/>
        <v>2023</v>
      </c>
      <c r="D1403" s="5" t="s">
        <v>1262</v>
      </c>
      <c r="E1403" s="5" t="str">
        <f>VLOOKUP(F1403,'Set up'!$A$2:$C$70,2,FALSE)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up'!$A$2:$C$70,3,FALSE)</f>
        <v>Cash</v>
      </c>
      <c r="J1403" s="5">
        <f>VLOOKUP(F1403,'Set up'!$A$2:$D$70,4,FALSE)</f>
        <v>0</v>
      </c>
      <c r="K1403" s="4">
        <f t="shared" si="308"/>
        <v>44972</v>
      </c>
      <c r="L1403" s="5">
        <f t="shared" si="309"/>
        <v>2</v>
      </c>
      <c r="M1403" s="5">
        <f t="shared" si="310"/>
        <v>2023</v>
      </c>
      <c r="N1403" s="6">
        <v>170</v>
      </c>
      <c r="O1403" s="6">
        <f t="shared" si="327"/>
        <v>-170</v>
      </c>
      <c r="P1403" s="6">
        <f t="shared" si="317"/>
        <v>0</v>
      </c>
      <c r="Q1403" s="7">
        <f t="shared" si="318"/>
        <v>2581423.5500000003</v>
      </c>
      <c r="R1403" s="44" t="str">
        <f>VLOOKUP(F1403,'Set up'!$A$2:$E$70,5,FALSE)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06"/>
        <v>2</v>
      </c>
      <c r="C1404" s="5">
        <f t="shared" si="307"/>
        <v>2023</v>
      </c>
      <c r="D1404" s="5" t="s">
        <v>1262</v>
      </c>
      <c r="E1404" s="5" t="str">
        <f>VLOOKUP(F1404,'Set up'!$A$2:$C$70,2,FALSE)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up'!$A$2:$C$70,3,FALSE)</f>
        <v>Cash</v>
      </c>
      <c r="J1404" s="5">
        <f>VLOOKUP(F1404,'Set up'!$A$2:$D$70,4,FALSE)</f>
        <v>0</v>
      </c>
      <c r="K1404" s="4">
        <f t="shared" si="308"/>
        <v>44972</v>
      </c>
      <c r="L1404" s="5">
        <f t="shared" si="309"/>
        <v>2</v>
      </c>
      <c r="M1404" s="5">
        <f t="shared" si="310"/>
        <v>2023</v>
      </c>
      <c r="N1404" s="6">
        <v>50</v>
      </c>
      <c r="O1404" s="6">
        <f t="shared" si="327"/>
        <v>-50</v>
      </c>
      <c r="P1404" s="6">
        <f t="shared" ref="P1404:P1428" si="328">SUM(N1404+O1404)</f>
        <v>0</v>
      </c>
      <c r="Q1404" s="7">
        <f t="shared" ref="Q1404:Q1428" si="329">SUM(Q1403+N1404)</f>
        <v>2581473.5500000003</v>
      </c>
      <c r="R1404" s="44" t="str">
        <f>VLOOKUP(F1404,'Set up'!$A$2:$E$70,5,FALSE)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06"/>
        <v>2</v>
      </c>
      <c r="C1405" s="5">
        <f t="shared" si="307"/>
        <v>2023</v>
      </c>
      <c r="D1405" s="5" t="s">
        <v>1262</v>
      </c>
      <c r="E1405" s="5" t="str">
        <f>VLOOKUP(F1405,'Set up'!$A$2:$C$70,2,FALSE)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up'!$A$2:$C$70,3,FALSE)</f>
        <v>Cash</v>
      </c>
      <c r="J1405" s="5">
        <f>VLOOKUP(F1405,'Set up'!$A$2:$D$70,4,FALSE)</f>
        <v>0</v>
      </c>
      <c r="K1405" s="4">
        <f t="shared" si="308"/>
        <v>44972</v>
      </c>
      <c r="L1405" s="5">
        <f t="shared" si="309"/>
        <v>2</v>
      </c>
      <c r="M1405" s="5">
        <f t="shared" si="310"/>
        <v>2023</v>
      </c>
      <c r="N1405" s="6">
        <v>48</v>
      </c>
      <c r="O1405" s="6">
        <f t="shared" si="327"/>
        <v>-48</v>
      </c>
      <c r="P1405" s="6">
        <f t="shared" si="328"/>
        <v>0</v>
      </c>
      <c r="Q1405" s="7">
        <f t="shared" si="329"/>
        <v>2581521.5500000003</v>
      </c>
      <c r="R1405" s="44" t="str">
        <f>VLOOKUP(F1405,'Set up'!$A$2:$E$70,5,FALSE)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06"/>
        <v>2</v>
      </c>
      <c r="C1406" s="5">
        <f t="shared" si="307"/>
        <v>2023</v>
      </c>
      <c r="D1406" s="5" t="s">
        <v>1263</v>
      </c>
      <c r="E1406" s="5" t="str">
        <f>VLOOKUP(F1406,'Set up'!$A$2:$C$70,2,FALSE)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up'!$A$2:$C$70,3,FALSE)</f>
        <v>Cash</v>
      </c>
      <c r="J1406" s="5">
        <f>VLOOKUP(F1406,'Set up'!$A$2:$D$70,4,FALSE)</f>
        <v>0</v>
      </c>
      <c r="K1406" s="4">
        <f t="shared" si="308"/>
        <v>44973</v>
      </c>
      <c r="L1406" s="5">
        <f t="shared" si="309"/>
        <v>2</v>
      </c>
      <c r="M1406" s="5">
        <f t="shared" si="310"/>
        <v>2023</v>
      </c>
      <c r="N1406" s="6">
        <v>5214</v>
      </c>
      <c r="O1406" s="6">
        <f>-1174.5-4039.5</f>
        <v>-5214</v>
      </c>
      <c r="P1406" s="6">
        <f t="shared" si="328"/>
        <v>0</v>
      </c>
      <c r="Q1406" s="7">
        <f t="shared" si="329"/>
        <v>2586735.5500000003</v>
      </c>
      <c r="R1406" s="44" t="str">
        <f>VLOOKUP(F1406,'Set up'!$A$2:$E$70,5,FALSE)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06"/>
        <v>2</v>
      </c>
      <c r="C1407" s="5">
        <f t="shared" si="307"/>
        <v>2023</v>
      </c>
      <c r="D1407" s="5" t="s">
        <v>1263</v>
      </c>
      <c r="E1407" s="5" t="str">
        <f>VLOOKUP(F1407,'Set up'!$A$2:$C$70,2,FALSE)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up'!$A$2:$C$70,3,FALSE)</f>
        <v>Cash</v>
      </c>
      <c r="J1407" s="5">
        <f>VLOOKUP(F1407,'Set up'!$A$2:$D$70,4,FALSE)</f>
        <v>0</v>
      </c>
      <c r="K1407" s="4">
        <f t="shared" si="308"/>
        <v>44973</v>
      </c>
      <c r="L1407" s="5">
        <f t="shared" si="309"/>
        <v>2</v>
      </c>
      <c r="M1407" s="5">
        <f t="shared" si="310"/>
        <v>2023</v>
      </c>
      <c r="N1407" s="6">
        <v>4560</v>
      </c>
      <c r="O1407" s="6">
        <f t="shared" ref="O1407:O1412" si="330">-N1407</f>
        <v>-4560</v>
      </c>
      <c r="P1407" s="6">
        <f t="shared" si="328"/>
        <v>0</v>
      </c>
      <c r="Q1407" s="7">
        <f t="shared" si="329"/>
        <v>2591295.5500000003</v>
      </c>
      <c r="R1407" s="44" t="str">
        <f>VLOOKUP(F1407,'Set up'!$A$2:$E$70,5,FALSE)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06"/>
        <v>2</v>
      </c>
      <c r="C1408" s="5">
        <f t="shared" si="307"/>
        <v>2023</v>
      </c>
      <c r="D1408" s="5" t="s">
        <v>1263</v>
      </c>
      <c r="E1408" s="5" t="str">
        <f>VLOOKUP(F1408,'Set up'!$A$2:$C$70,2,FALSE)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up'!$A$2:$C$70,3,FALSE)</f>
        <v>Cash</v>
      </c>
      <c r="J1408" s="5">
        <f>VLOOKUP(F1408,'Set up'!$A$2:$D$70,4,FALSE)</f>
        <v>0</v>
      </c>
      <c r="K1408" s="4">
        <f t="shared" si="308"/>
        <v>44973</v>
      </c>
      <c r="L1408" s="5">
        <f t="shared" si="309"/>
        <v>2</v>
      </c>
      <c r="M1408" s="5">
        <f t="shared" si="310"/>
        <v>2023</v>
      </c>
      <c r="N1408" s="6">
        <v>1587.6000000000001</v>
      </c>
      <c r="O1408" s="6">
        <f t="shared" si="330"/>
        <v>-1587.6000000000001</v>
      </c>
      <c r="P1408" s="6">
        <f t="shared" si="328"/>
        <v>0</v>
      </c>
      <c r="Q1408" s="7">
        <f t="shared" si="329"/>
        <v>2592883.1500000004</v>
      </c>
      <c r="R1408" s="44" t="str">
        <f>VLOOKUP(F1408,'Set up'!$A$2:$E$70,5,FALSE)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06"/>
        <v>2</v>
      </c>
      <c r="C1409" s="5">
        <f t="shared" si="307"/>
        <v>2023</v>
      </c>
      <c r="D1409" s="5" t="s">
        <v>1263</v>
      </c>
      <c r="E1409" s="5" t="str">
        <f>VLOOKUP(F1409,'Set up'!$A$2:$C$70,2,FALSE)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up'!$A$2:$C$70,3,FALSE)</f>
        <v>Cash</v>
      </c>
      <c r="J1409" s="5">
        <f>VLOOKUP(F1409,'Set up'!$A$2:$D$70,4,FALSE)</f>
        <v>0</v>
      </c>
      <c r="K1409" s="4">
        <f t="shared" si="308"/>
        <v>44973</v>
      </c>
      <c r="L1409" s="5">
        <f t="shared" si="309"/>
        <v>2</v>
      </c>
      <c r="M1409" s="5">
        <f t="shared" si="310"/>
        <v>2023</v>
      </c>
      <c r="N1409" s="6">
        <v>1008</v>
      </c>
      <c r="O1409" s="6">
        <f t="shared" si="330"/>
        <v>-1008</v>
      </c>
      <c r="P1409" s="6">
        <f t="shared" si="328"/>
        <v>0</v>
      </c>
      <c r="Q1409" s="7">
        <f t="shared" si="329"/>
        <v>2593891.1500000004</v>
      </c>
      <c r="R1409" s="44" t="str">
        <f>VLOOKUP(F1409,'Set up'!$A$2:$E$70,5,FALSE)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06"/>
        <v>2</v>
      </c>
      <c r="C1410" s="5">
        <f t="shared" si="307"/>
        <v>2023</v>
      </c>
      <c r="D1410" s="5" t="s">
        <v>1263</v>
      </c>
      <c r="E1410" s="5" t="str">
        <f>VLOOKUP(F1410,'Set up'!$A$2:$C$70,2,FALSE)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up'!$A$2:$C$70,3,FALSE)</f>
        <v>Cash</v>
      </c>
      <c r="J1410" s="5">
        <f>VLOOKUP(F1410,'Set up'!$A$2:$D$70,4,FALSE)</f>
        <v>0</v>
      </c>
      <c r="K1410" s="4">
        <f t="shared" si="308"/>
        <v>44973</v>
      </c>
      <c r="L1410" s="5">
        <f t="shared" si="309"/>
        <v>2</v>
      </c>
      <c r="M1410" s="5">
        <f t="shared" si="310"/>
        <v>2023</v>
      </c>
      <c r="N1410" s="6">
        <v>1000</v>
      </c>
      <c r="O1410" s="6">
        <f t="shared" si="330"/>
        <v>-1000</v>
      </c>
      <c r="P1410" s="6">
        <f t="shared" si="328"/>
        <v>0</v>
      </c>
      <c r="Q1410" s="7">
        <f t="shared" si="329"/>
        <v>2594891.1500000004</v>
      </c>
      <c r="R1410" s="44" t="str">
        <f>VLOOKUP(F1410,'Set up'!$A$2:$E$70,5,FALSE)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ref="B1411:B1474" si="331">MONTH(A1411)</f>
        <v>2</v>
      </c>
      <c r="C1411" s="5">
        <f t="shared" ref="C1411:C1474" si="332">YEAR(A1411)</f>
        <v>2023</v>
      </c>
      <c r="D1411" s="5" t="s">
        <v>1266</v>
      </c>
      <c r="E1411" s="5" t="str">
        <f>VLOOKUP(F1411,'Set up'!$A$2:$C$70,2,FALSE)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up'!$A$2:$C$70,3,FALSE)</f>
        <v>Cash</v>
      </c>
      <c r="J1411" s="5">
        <f>VLOOKUP(F1411,'Set up'!$A$2:$D$70,4,FALSE)</f>
        <v>0</v>
      </c>
      <c r="K1411" s="4">
        <f t="shared" ref="K1411:K1474" si="333">A1411+J1411</f>
        <v>44973</v>
      </c>
      <c r="L1411" s="5">
        <f t="shared" ref="L1411:L1474" si="334">MONTH(K1411)</f>
        <v>2</v>
      </c>
      <c r="M1411" s="5">
        <f t="shared" ref="M1411:M1474" si="335">YEAR(K1411)</f>
        <v>2023</v>
      </c>
      <c r="N1411" s="6">
        <v>437.5</v>
      </c>
      <c r="O1411" s="6">
        <f t="shared" si="330"/>
        <v>-437.5</v>
      </c>
      <c r="P1411" s="6">
        <f t="shared" si="328"/>
        <v>0</v>
      </c>
      <c r="Q1411" s="7">
        <f t="shared" si="329"/>
        <v>2595328.6500000004</v>
      </c>
      <c r="R1411" s="44" t="str">
        <f>VLOOKUP(F1411,'Set up'!$A$2:$E$70,5,FALSE)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31"/>
        <v>2</v>
      </c>
      <c r="C1412" s="5">
        <f t="shared" si="332"/>
        <v>2023</v>
      </c>
      <c r="D1412" s="5" t="s">
        <v>1267</v>
      </c>
      <c r="E1412" s="5" t="str">
        <f>VLOOKUP(F1412,'Set up'!$A$2:$C$70,2,FALSE)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up'!$A$2:$C$70,3,FALSE)</f>
        <v>Cash</v>
      </c>
      <c r="J1412" s="5">
        <f>VLOOKUP(F1412,'Set up'!$A$2:$D$70,4,FALSE)</f>
        <v>0</v>
      </c>
      <c r="K1412" s="4">
        <f t="shared" si="333"/>
        <v>44973</v>
      </c>
      <c r="L1412" s="5">
        <f t="shared" si="334"/>
        <v>2</v>
      </c>
      <c r="M1412" s="5">
        <f t="shared" si="335"/>
        <v>2023</v>
      </c>
      <c r="N1412" s="6">
        <v>3476</v>
      </c>
      <c r="O1412" s="6">
        <f t="shared" si="330"/>
        <v>-3476</v>
      </c>
      <c r="P1412" s="6">
        <f t="shared" si="328"/>
        <v>0</v>
      </c>
      <c r="Q1412" s="7">
        <f t="shared" si="329"/>
        <v>2598804.6500000004</v>
      </c>
      <c r="R1412" s="44" t="str">
        <f>VLOOKUP(F1412,'Set up'!$A$2:$E$70,5,FALSE)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31"/>
        <v>2</v>
      </c>
      <c r="C1413" s="5">
        <f t="shared" si="332"/>
        <v>2023</v>
      </c>
      <c r="D1413" s="5" t="s">
        <v>1267</v>
      </c>
      <c r="E1413" s="5" t="str">
        <f>VLOOKUP(F1413,'Set up'!$A$2:$C$70,2,FALSE)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up'!$A$2:$C$70,3,FALSE)</f>
        <v>Cash</v>
      </c>
      <c r="J1413" s="5">
        <f>VLOOKUP(F1413,'Set up'!$A$2:$D$70,4,FALSE)</f>
        <v>0</v>
      </c>
      <c r="K1413" s="4">
        <f t="shared" si="333"/>
        <v>44973</v>
      </c>
      <c r="L1413" s="5">
        <f t="shared" si="334"/>
        <v>2</v>
      </c>
      <c r="M1413" s="5">
        <f t="shared" si="335"/>
        <v>2023</v>
      </c>
      <c r="N1413" s="6">
        <v>3828</v>
      </c>
      <c r="O1413" s="6">
        <f>-3391.4-436.6</f>
        <v>-3828</v>
      </c>
      <c r="P1413" s="6">
        <f t="shared" si="328"/>
        <v>0</v>
      </c>
      <c r="Q1413" s="7">
        <f t="shared" si="329"/>
        <v>2602632.6500000004</v>
      </c>
      <c r="R1413" s="44" t="str">
        <f>VLOOKUP(F1413,'Set up'!$A$2:$E$70,5,FALSE)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31"/>
        <v>2</v>
      </c>
      <c r="C1414" s="5">
        <f t="shared" si="332"/>
        <v>2023</v>
      </c>
      <c r="D1414" s="5" t="s">
        <v>1268</v>
      </c>
      <c r="E1414" s="5" t="str">
        <f>VLOOKUP(F1414,'Set up'!$A$2:$C$70,2,FALSE)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up'!$A$2:$C$70,3,FALSE)</f>
        <v>Cash</v>
      </c>
      <c r="J1414" s="5">
        <f>VLOOKUP(F1414,'Set up'!$A$2:$D$70,4,FALSE)</f>
        <v>0</v>
      </c>
      <c r="K1414" s="4">
        <f t="shared" si="333"/>
        <v>44973</v>
      </c>
      <c r="L1414" s="5">
        <f t="shared" si="334"/>
        <v>2</v>
      </c>
      <c r="M1414" s="5">
        <f t="shared" si="335"/>
        <v>2023</v>
      </c>
      <c r="N1414" s="6">
        <v>100</v>
      </c>
      <c r="O1414" s="6">
        <f t="shared" ref="O1414:O1420" si="336">-N1414</f>
        <v>-100</v>
      </c>
      <c r="P1414" s="6">
        <f t="shared" si="328"/>
        <v>0</v>
      </c>
      <c r="Q1414" s="7">
        <f t="shared" si="329"/>
        <v>2602732.6500000004</v>
      </c>
      <c r="R1414" s="44" t="str">
        <f>VLOOKUP(F1414,'Set up'!$A$2:$E$70,5,FALSE)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31"/>
        <v>2</v>
      </c>
      <c r="C1415" s="5">
        <f t="shared" si="332"/>
        <v>2023</v>
      </c>
      <c r="D1415" s="5" t="s">
        <v>1268</v>
      </c>
      <c r="E1415" s="5" t="str">
        <f>VLOOKUP(F1415,'Set up'!$A$2:$C$70,2,FALSE)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up'!$A$2:$C$70,3,FALSE)</f>
        <v>Cash</v>
      </c>
      <c r="J1415" s="5">
        <f>VLOOKUP(F1415,'Set up'!$A$2:$D$70,4,FALSE)</f>
        <v>0</v>
      </c>
      <c r="K1415" s="4">
        <f t="shared" si="333"/>
        <v>44973</v>
      </c>
      <c r="L1415" s="5">
        <f t="shared" si="334"/>
        <v>2</v>
      </c>
      <c r="M1415" s="5">
        <f t="shared" si="335"/>
        <v>2023</v>
      </c>
      <c r="N1415" s="6">
        <v>102</v>
      </c>
      <c r="O1415" s="6">
        <f t="shared" si="336"/>
        <v>-102</v>
      </c>
      <c r="P1415" s="6">
        <f t="shared" si="328"/>
        <v>0</v>
      </c>
      <c r="Q1415" s="7">
        <f t="shared" si="329"/>
        <v>2602834.6500000004</v>
      </c>
      <c r="R1415" s="44" t="str">
        <f>VLOOKUP(F1415,'Set up'!$A$2:$E$70,5,FALSE)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31"/>
        <v>2</v>
      </c>
      <c r="C1416" s="5">
        <f t="shared" si="332"/>
        <v>2023</v>
      </c>
      <c r="D1416" s="5" t="s">
        <v>1271</v>
      </c>
      <c r="E1416" s="5" t="str">
        <f>VLOOKUP(F1416,'Set up'!$A$2:$C$70,2,FALSE)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up'!$A$2:$C$70,3,FALSE)</f>
        <v>Cash</v>
      </c>
      <c r="J1416" s="5">
        <f>VLOOKUP(F1416,'Set up'!$A$2:$D$70,4,FALSE)</f>
        <v>0</v>
      </c>
      <c r="K1416" s="4">
        <f t="shared" si="333"/>
        <v>44975</v>
      </c>
      <c r="L1416" s="5">
        <f t="shared" si="334"/>
        <v>2</v>
      </c>
      <c r="M1416" s="5">
        <f t="shared" si="335"/>
        <v>2023</v>
      </c>
      <c r="N1416" s="6">
        <v>1870</v>
      </c>
      <c r="O1416" s="6">
        <f t="shared" si="336"/>
        <v>-1870</v>
      </c>
      <c r="P1416" s="6">
        <f t="shared" si="328"/>
        <v>0</v>
      </c>
      <c r="Q1416" s="7">
        <f t="shared" si="329"/>
        <v>2604704.6500000004</v>
      </c>
      <c r="R1416" s="44" t="str">
        <f>VLOOKUP(F1416,'Set up'!$A$2:$E$70,5,FALSE)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31"/>
        <v>2</v>
      </c>
      <c r="C1417" s="5">
        <f t="shared" si="332"/>
        <v>2023</v>
      </c>
      <c r="D1417" s="5" t="s">
        <v>1271</v>
      </c>
      <c r="E1417" s="5" t="str">
        <f>VLOOKUP(F1417,'Set up'!$A$2:$C$70,2,FALSE)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up'!$A$2:$C$70,3,FALSE)</f>
        <v>Cash</v>
      </c>
      <c r="J1417" s="5">
        <f>VLOOKUP(F1417,'Set up'!$A$2:$D$70,4,FALSE)</f>
        <v>0</v>
      </c>
      <c r="K1417" s="4">
        <f t="shared" si="333"/>
        <v>44975</v>
      </c>
      <c r="L1417" s="5">
        <f t="shared" si="334"/>
        <v>2</v>
      </c>
      <c r="M1417" s="5">
        <f t="shared" si="335"/>
        <v>2023</v>
      </c>
      <c r="N1417" s="6">
        <v>510</v>
      </c>
      <c r="O1417" s="6">
        <f t="shared" si="336"/>
        <v>-510</v>
      </c>
      <c r="P1417" s="6">
        <f t="shared" si="328"/>
        <v>0</v>
      </c>
      <c r="Q1417" s="7">
        <f t="shared" si="329"/>
        <v>2605214.6500000004</v>
      </c>
      <c r="R1417" s="44" t="str">
        <f>VLOOKUP(F1417,'Set up'!$A$2:$E$70,5,FALSE)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31"/>
        <v>2</v>
      </c>
      <c r="C1418" s="5">
        <f t="shared" si="332"/>
        <v>2023</v>
      </c>
      <c r="D1418" s="5" t="s">
        <v>1271</v>
      </c>
      <c r="E1418" s="5" t="str">
        <f>VLOOKUP(F1418,'Set up'!$A$2:$C$70,2,FALSE)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up'!$A$2:$C$70,3,FALSE)</f>
        <v>Cash</v>
      </c>
      <c r="J1418" s="5">
        <f>VLOOKUP(F1418,'Set up'!$A$2:$D$70,4,FALSE)</f>
        <v>0</v>
      </c>
      <c r="K1418" s="4">
        <f t="shared" si="333"/>
        <v>44975</v>
      </c>
      <c r="L1418" s="5">
        <f t="shared" si="334"/>
        <v>2</v>
      </c>
      <c r="M1418" s="5">
        <f t="shared" si="335"/>
        <v>2023</v>
      </c>
      <c r="N1418" s="6">
        <v>95</v>
      </c>
      <c r="O1418" s="6">
        <f t="shared" si="336"/>
        <v>-95</v>
      </c>
      <c r="P1418" s="6">
        <f t="shared" si="328"/>
        <v>0</v>
      </c>
      <c r="Q1418" s="7">
        <f t="shared" si="329"/>
        <v>2605309.6500000004</v>
      </c>
      <c r="R1418" s="44" t="str">
        <f>VLOOKUP(F1418,'Set up'!$A$2:$E$70,5,FALSE)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31"/>
        <v>2</v>
      </c>
      <c r="C1419" s="5">
        <f t="shared" si="332"/>
        <v>2023</v>
      </c>
      <c r="D1419" s="5" t="s">
        <v>1273</v>
      </c>
      <c r="E1419" s="5" t="str">
        <f>VLOOKUP(F1419,'Set up'!$A$2:$C$70,2,FALSE)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up'!$A$2:$C$70,3,FALSE)</f>
        <v>120</v>
      </c>
      <c r="J1419" s="5">
        <f>VLOOKUP(F1419,'Set up'!$A$2:$D$70,4,FALSE)</f>
        <v>120</v>
      </c>
      <c r="K1419" s="4">
        <f t="shared" si="333"/>
        <v>45098</v>
      </c>
      <c r="L1419" s="5">
        <f t="shared" si="334"/>
        <v>6</v>
      </c>
      <c r="M1419" s="5">
        <f t="shared" si="335"/>
        <v>2023</v>
      </c>
      <c r="N1419" s="6">
        <v>1620</v>
      </c>
      <c r="O1419" s="6">
        <f t="shared" si="336"/>
        <v>-1620</v>
      </c>
      <c r="P1419" s="6">
        <f t="shared" si="328"/>
        <v>0</v>
      </c>
      <c r="Q1419" s="7">
        <f t="shared" si="329"/>
        <v>2606929.6500000004</v>
      </c>
      <c r="R1419" s="44" t="str">
        <f>VLOOKUP(F1419,'Set up'!$A$2:$E$70,5,FALSE)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31"/>
        <v>2</v>
      </c>
      <c r="C1420" s="5">
        <f t="shared" si="332"/>
        <v>2023</v>
      </c>
      <c r="D1420" s="5" t="s">
        <v>1274</v>
      </c>
      <c r="E1420" s="5" t="str">
        <f>VLOOKUP(F1420,'Set up'!$A$2:$C$70,2,FALSE)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up'!$A$2:$C$70,3,FALSE)</f>
        <v>Cash</v>
      </c>
      <c r="J1420" s="5">
        <f>VLOOKUP(F1420,'Set up'!$A$2:$D$70,4,FALSE)</f>
        <v>0</v>
      </c>
      <c r="K1420" s="4">
        <f t="shared" si="333"/>
        <v>44978</v>
      </c>
      <c r="L1420" s="5">
        <f t="shared" si="334"/>
        <v>2</v>
      </c>
      <c r="M1420" s="5">
        <f t="shared" si="335"/>
        <v>2023</v>
      </c>
      <c r="N1420" s="6">
        <v>750</v>
      </c>
      <c r="O1420" s="6">
        <f t="shared" si="336"/>
        <v>-750</v>
      </c>
      <c r="P1420" s="6">
        <f t="shared" si="328"/>
        <v>0</v>
      </c>
      <c r="Q1420" s="7">
        <f t="shared" si="329"/>
        <v>2607679.6500000004</v>
      </c>
      <c r="R1420" s="44" t="str">
        <f>VLOOKUP(F1420,'Set up'!$A$2:$E$70,5,FALSE)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31"/>
        <v>2</v>
      </c>
      <c r="C1421" s="5">
        <f t="shared" si="332"/>
        <v>2023</v>
      </c>
      <c r="D1421" s="5" t="s">
        <v>1275</v>
      </c>
      <c r="E1421" s="5" t="str">
        <f>VLOOKUP(F1421,'Set up'!$A$2:$C$70,2,FALSE)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up'!$A$2:$C$70,3,FALSE)</f>
        <v>Cash</v>
      </c>
      <c r="J1421" s="5">
        <f>VLOOKUP(F1421,'Set up'!$A$2:$D$70,4,FALSE)</f>
        <v>0</v>
      </c>
      <c r="K1421" s="4">
        <f t="shared" si="333"/>
        <v>44978</v>
      </c>
      <c r="L1421" s="5">
        <f t="shared" si="334"/>
        <v>2</v>
      </c>
      <c r="M1421" s="5">
        <f t="shared" si="335"/>
        <v>2023</v>
      </c>
      <c r="N1421" s="6">
        <v>8690</v>
      </c>
      <c r="O1421" s="6">
        <f>-6613.4-2076.6</f>
        <v>-8690</v>
      </c>
      <c r="P1421" s="6">
        <f t="shared" si="328"/>
        <v>0</v>
      </c>
      <c r="Q1421" s="7">
        <f t="shared" si="329"/>
        <v>2616369.6500000004</v>
      </c>
      <c r="R1421" s="44" t="str">
        <f>VLOOKUP(F1421,'Set up'!$A$2:$E$70,5,FALSE)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31"/>
        <v>2</v>
      </c>
      <c r="C1422" s="5">
        <f t="shared" si="332"/>
        <v>2023</v>
      </c>
      <c r="D1422" s="5" t="s">
        <v>1275</v>
      </c>
      <c r="E1422" s="5" t="str">
        <f>VLOOKUP(F1422,'Set up'!$A$2:$C$70,2,FALSE)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up'!$A$2:$C$70,3,FALSE)</f>
        <v>Cash</v>
      </c>
      <c r="J1422" s="5">
        <f>VLOOKUP(F1422,'Set up'!$A$2:$D$70,4,FALSE)</f>
        <v>0</v>
      </c>
      <c r="K1422" s="4">
        <f t="shared" si="333"/>
        <v>44978</v>
      </c>
      <c r="L1422" s="5">
        <f t="shared" si="334"/>
        <v>2</v>
      </c>
      <c r="M1422" s="5">
        <f t="shared" si="335"/>
        <v>2023</v>
      </c>
      <c r="N1422" s="6">
        <v>17380</v>
      </c>
      <c r="O1422" s="6">
        <f>-923.4-3500-9500-3456.6</f>
        <v>-17380</v>
      </c>
      <c r="P1422" s="6">
        <f t="shared" si="328"/>
        <v>0</v>
      </c>
      <c r="Q1422" s="7">
        <f t="shared" si="329"/>
        <v>2633749.6500000004</v>
      </c>
      <c r="R1422" s="44" t="str">
        <f>VLOOKUP(F1422,'Set up'!$A$2:$E$70,5,FALSE)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31"/>
        <v>2</v>
      </c>
      <c r="C1423" s="5">
        <f t="shared" si="332"/>
        <v>2023</v>
      </c>
      <c r="D1423" s="5" t="s">
        <v>1275</v>
      </c>
      <c r="E1423" s="5" t="str">
        <f>VLOOKUP(F1423,'Set up'!$A$2:$C$70,2,FALSE)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up'!$A$2:$C$70,3,FALSE)</f>
        <v>Cash</v>
      </c>
      <c r="J1423" s="5">
        <f>VLOOKUP(F1423,'Set up'!$A$2:$D$70,4,FALSE)</f>
        <v>0</v>
      </c>
      <c r="K1423" s="4">
        <f t="shared" si="333"/>
        <v>44978</v>
      </c>
      <c r="L1423" s="5">
        <f t="shared" si="334"/>
        <v>2</v>
      </c>
      <c r="M1423" s="5">
        <f t="shared" si="335"/>
        <v>2023</v>
      </c>
      <c r="N1423" s="6">
        <v>10260</v>
      </c>
      <c r="O1423" s="6">
        <f>-5043.4-5000-216.6</f>
        <v>-10260</v>
      </c>
      <c r="P1423" s="6">
        <f t="shared" si="328"/>
        <v>0</v>
      </c>
      <c r="Q1423" s="7">
        <f t="shared" si="329"/>
        <v>2644009.6500000004</v>
      </c>
      <c r="R1423" s="44" t="str">
        <f>VLOOKUP(F1423,'Set up'!$A$2:$E$70,5,FALSE)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31"/>
        <v>2</v>
      </c>
      <c r="C1424" s="5">
        <f t="shared" si="332"/>
        <v>2023</v>
      </c>
      <c r="D1424" s="5" t="s">
        <v>1275</v>
      </c>
      <c r="E1424" s="5" t="str">
        <f>VLOOKUP(F1424,'Set up'!$A$2:$C$70,2,FALSE)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up'!$A$2:$C$70,3,FALSE)</f>
        <v>Cash</v>
      </c>
      <c r="J1424" s="5">
        <f>VLOOKUP(F1424,'Set up'!$A$2:$D$70,4,FALSE)</f>
        <v>0</v>
      </c>
      <c r="K1424" s="4">
        <f t="shared" si="333"/>
        <v>44978</v>
      </c>
      <c r="L1424" s="5">
        <f t="shared" si="334"/>
        <v>2</v>
      </c>
      <c r="M1424" s="5">
        <f t="shared" si="335"/>
        <v>2023</v>
      </c>
      <c r="N1424" s="6">
        <v>5040</v>
      </c>
      <c r="O1424" s="6">
        <f t="shared" ref="O1424:O1426" si="337">-N1424</f>
        <v>-5040</v>
      </c>
      <c r="P1424" s="6">
        <f t="shared" si="328"/>
        <v>0</v>
      </c>
      <c r="Q1424" s="7">
        <f t="shared" si="329"/>
        <v>2649049.6500000004</v>
      </c>
      <c r="R1424" s="44" t="str">
        <f>VLOOKUP(F1424,'Set up'!$A$2:$E$70,5,FALSE)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31"/>
        <v>2</v>
      </c>
      <c r="C1425" s="5">
        <f t="shared" si="332"/>
        <v>2023</v>
      </c>
      <c r="D1425" s="5" t="s">
        <v>1275</v>
      </c>
      <c r="E1425" s="5" t="str">
        <f>VLOOKUP(F1425,'Set up'!$A$2:$C$70,2,FALSE)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up'!$A$2:$C$70,3,FALSE)</f>
        <v>Cash</v>
      </c>
      <c r="J1425" s="5">
        <f>VLOOKUP(F1425,'Set up'!$A$2:$D$70,4,FALSE)</f>
        <v>0</v>
      </c>
      <c r="K1425" s="4">
        <f t="shared" si="333"/>
        <v>44978</v>
      </c>
      <c r="L1425" s="5">
        <f t="shared" si="334"/>
        <v>2</v>
      </c>
      <c r="M1425" s="5">
        <f t="shared" si="335"/>
        <v>2023</v>
      </c>
      <c r="N1425" s="6">
        <v>380</v>
      </c>
      <c r="O1425" s="6">
        <f t="shared" si="337"/>
        <v>-380</v>
      </c>
      <c r="P1425" s="6">
        <f t="shared" si="328"/>
        <v>0</v>
      </c>
      <c r="Q1425" s="7">
        <f t="shared" si="329"/>
        <v>2649429.6500000004</v>
      </c>
      <c r="R1425" s="44" t="str">
        <f>VLOOKUP(F1425,'Set up'!$A$2:$E$70,5,FALSE)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31"/>
        <v>2</v>
      </c>
      <c r="C1426" s="5">
        <f t="shared" si="332"/>
        <v>2023</v>
      </c>
      <c r="D1426" s="5" t="s">
        <v>1275</v>
      </c>
      <c r="E1426" s="5" t="str">
        <f>VLOOKUP(F1426,'Set up'!$A$2:$C$70,2,FALSE)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up'!$A$2:$C$70,3,FALSE)</f>
        <v>Cash</v>
      </c>
      <c r="J1426" s="5">
        <f>VLOOKUP(F1426,'Set up'!$A$2:$D$70,4,FALSE)</f>
        <v>0</v>
      </c>
      <c r="K1426" s="4">
        <f t="shared" si="333"/>
        <v>44978</v>
      </c>
      <c r="L1426" s="5">
        <f t="shared" si="334"/>
        <v>2</v>
      </c>
      <c r="M1426" s="5">
        <f t="shared" si="335"/>
        <v>2023</v>
      </c>
      <c r="N1426" s="6">
        <v>2000</v>
      </c>
      <c r="O1426" s="6">
        <f t="shared" si="337"/>
        <v>-2000</v>
      </c>
      <c r="P1426" s="6">
        <f t="shared" si="328"/>
        <v>0</v>
      </c>
      <c r="Q1426" s="7">
        <f t="shared" si="329"/>
        <v>2651429.6500000004</v>
      </c>
      <c r="R1426" s="44" t="str">
        <f>VLOOKUP(F1426,'Set up'!$A$2:$E$70,5,FALSE)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31"/>
        <v>2</v>
      </c>
      <c r="C1427" s="5">
        <f t="shared" si="332"/>
        <v>2023</v>
      </c>
      <c r="D1427" s="5" t="s">
        <v>1276</v>
      </c>
      <c r="E1427" s="5" t="str">
        <f>VLOOKUP(F1427,'Set up'!$A$2:$C$70,2,FALSE)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up'!$A$2:$C$70,3,FALSE)</f>
        <v>Cash</v>
      </c>
      <c r="J1427" s="5">
        <f>VLOOKUP(F1427,'Set up'!$A$2:$D$70,4,FALSE)</f>
        <v>0</v>
      </c>
      <c r="K1427" s="4">
        <f t="shared" si="333"/>
        <v>44981</v>
      </c>
      <c r="L1427" s="5">
        <f t="shared" si="334"/>
        <v>2</v>
      </c>
      <c r="M1427" s="5">
        <f t="shared" si="335"/>
        <v>2023</v>
      </c>
      <c r="N1427" s="6">
        <v>1059.5</v>
      </c>
      <c r="O1427" s="6">
        <f t="shared" ref="O1427:O1430" si="338">-N1427</f>
        <v>-1059.5</v>
      </c>
      <c r="P1427" s="6">
        <f t="shared" si="328"/>
        <v>0</v>
      </c>
      <c r="Q1427" s="7">
        <f t="shared" si="329"/>
        <v>2652489.1500000004</v>
      </c>
      <c r="R1427" s="44" t="str">
        <f>VLOOKUP(F1427,'Set up'!$A$2:$E$70,5,FALSE)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31"/>
        <v>2</v>
      </c>
      <c r="C1428" s="5">
        <f t="shared" si="332"/>
        <v>2023</v>
      </c>
      <c r="D1428" s="5" t="s">
        <v>1277</v>
      </c>
      <c r="E1428" s="5" t="str">
        <f>VLOOKUP(F1428,'Set up'!$A$2:$C$70,2,FALSE)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up'!$A$2:$C$70,3,FALSE)</f>
        <v>Cash</v>
      </c>
      <c r="J1428" s="5">
        <f>VLOOKUP(F1428,'Set up'!$A$2:$D$70,4,FALSE)</f>
        <v>0</v>
      </c>
      <c r="K1428" s="4">
        <f t="shared" si="333"/>
        <v>44982</v>
      </c>
      <c r="L1428" s="5">
        <f t="shared" si="334"/>
        <v>2</v>
      </c>
      <c r="M1428" s="5">
        <f t="shared" si="335"/>
        <v>2023</v>
      </c>
      <c r="N1428" s="6">
        <v>187.5</v>
      </c>
      <c r="O1428" s="6">
        <f t="shared" si="338"/>
        <v>-187.5</v>
      </c>
      <c r="P1428" s="6">
        <f t="shared" si="328"/>
        <v>0</v>
      </c>
      <c r="Q1428" s="7">
        <f t="shared" si="329"/>
        <v>2652676.6500000004</v>
      </c>
      <c r="R1428" s="44" t="str">
        <f>VLOOKUP(F1428,'Set up'!$A$2:$E$70,5,FALSE)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si="331"/>
        <v>2</v>
      </c>
      <c r="C1429" s="5">
        <f t="shared" si="332"/>
        <v>2023</v>
      </c>
      <c r="D1429" s="5" t="s">
        <v>1277</v>
      </c>
      <c r="E1429" s="5" t="str">
        <f>VLOOKUP(F1429,'Set up'!$A$2:$C$70,2,FALSE)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up'!$A$2:$C$70,3,FALSE)</f>
        <v>Cash</v>
      </c>
      <c r="J1429" s="5">
        <f>VLOOKUP(F1429,'Set up'!$A$2:$D$70,4,FALSE)</f>
        <v>0</v>
      </c>
      <c r="K1429" s="4">
        <f t="shared" si="333"/>
        <v>44982</v>
      </c>
      <c r="L1429" s="5">
        <f t="shared" si="334"/>
        <v>2</v>
      </c>
      <c r="M1429" s="5">
        <f t="shared" si="335"/>
        <v>2023</v>
      </c>
      <c r="N1429" s="6">
        <v>380</v>
      </c>
      <c r="O1429" s="6">
        <f t="shared" si="338"/>
        <v>-380</v>
      </c>
      <c r="P1429" s="6">
        <f t="shared" ref="P1429:P1432" si="339">SUM(N1429+O1429)</f>
        <v>0</v>
      </c>
      <c r="Q1429" s="7">
        <f t="shared" ref="Q1429:Q1432" si="340">SUM(Q1428+N1429)</f>
        <v>2653056.6500000004</v>
      </c>
      <c r="R1429" s="44" t="str">
        <f>VLOOKUP(F1429,'Set up'!$A$2:$E$70,5,FALSE)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331"/>
        <v>2</v>
      </c>
      <c r="C1430" s="5">
        <f t="shared" si="332"/>
        <v>2023</v>
      </c>
      <c r="D1430" s="5" t="s">
        <v>1277</v>
      </c>
      <c r="E1430" s="5" t="str">
        <f>VLOOKUP(F1430,'Set up'!$A$2:$C$70,2,FALSE)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up'!$A$2:$C$70,3,FALSE)</f>
        <v>Cash</v>
      </c>
      <c r="J1430" s="5">
        <f>VLOOKUP(F1430,'Set up'!$A$2:$D$70,4,FALSE)</f>
        <v>0</v>
      </c>
      <c r="K1430" s="4">
        <f t="shared" si="333"/>
        <v>44982</v>
      </c>
      <c r="L1430" s="5">
        <f t="shared" si="334"/>
        <v>2</v>
      </c>
      <c r="M1430" s="5">
        <f t="shared" si="335"/>
        <v>2023</v>
      </c>
      <c r="N1430" s="6">
        <v>1000</v>
      </c>
      <c r="O1430" s="6">
        <f t="shared" si="338"/>
        <v>-1000</v>
      </c>
      <c r="P1430" s="6">
        <f t="shared" si="339"/>
        <v>0</v>
      </c>
      <c r="Q1430" s="7">
        <f t="shared" si="340"/>
        <v>2654056.6500000004</v>
      </c>
      <c r="R1430" s="44" t="str">
        <f>VLOOKUP(F1430,'Set up'!$A$2:$E$70,5,FALSE)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331"/>
        <v>2</v>
      </c>
      <c r="C1431" s="5">
        <f t="shared" si="332"/>
        <v>2023</v>
      </c>
      <c r="D1431" s="5" t="s">
        <v>1280</v>
      </c>
      <c r="E1431" s="5" t="str">
        <f>VLOOKUP(F1431,'Set up'!$A$2:$C$70,2,FALSE)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up'!$A$2:$C$70,3,FALSE)</f>
        <v>Cash</v>
      </c>
      <c r="J1431" s="5">
        <f>VLOOKUP(F1431,'Set up'!$A$2:$D$70,4,FALSE)</f>
        <v>0</v>
      </c>
      <c r="K1431" s="4">
        <f t="shared" si="333"/>
        <v>44982</v>
      </c>
      <c r="L1431" s="5">
        <f t="shared" si="334"/>
        <v>2</v>
      </c>
      <c r="M1431" s="5">
        <f t="shared" si="335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340"/>
        <v>2654899.0500000003</v>
      </c>
      <c r="R1431" s="44" t="str">
        <f>VLOOKUP(F1431,'Set up'!$A$2:$E$70,5,FALSE)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331"/>
        <v>2</v>
      </c>
      <c r="C1432" s="5">
        <f t="shared" si="332"/>
        <v>2023</v>
      </c>
      <c r="D1432" s="5" t="s">
        <v>1281</v>
      </c>
      <c r="E1432" s="5" t="str">
        <f>VLOOKUP(F1432,'Set up'!$A$2:$C$70,2,FALSE)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up'!$A$2:$C$70,3,FALSE)</f>
        <v>Cash</v>
      </c>
      <c r="J1432" s="5">
        <f>VLOOKUP(F1432,'Set up'!$A$2:$D$70,4,FALSE)</f>
        <v>0</v>
      </c>
      <c r="K1432" s="4">
        <f t="shared" si="333"/>
        <v>44985</v>
      </c>
      <c r="L1432" s="5">
        <f t="shared" si="334"/>
        <v>2</v>
      </c>
      <c r="M1432" s="5">
        <f t="shared" si="335"/>
        <v>2023</v>
      </c>
      <c r="N1432" s="6">
        <v>312.5</v>
      </c>
      <c r="O1432" s="6">
        <f t="shared" ref="O1432" si="341">-N1432</f>
        <v>-312.5</v>
      </c>
      <c r="P1432" s="6">
        <f t="shared" si="339"/>
        <v>0</v>
      </c>
      <c r="Q1432" s="7">
        <f t="shared" si="340"/>
        <v>2655211.5500000003</v>
      </c>
      <c r="R1432" s="44" t="str">
        <f>VLOOKUP(F1432,'Set up'!$A$2:$E$70,5,FALSE)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si="331"/>
        <v>3</v>
      </c>
      <c r="C1433" s="5">
        <f t="shared" si="332"/>
        <v>2023</v>
      </c>
      <c r="D1433" s="5" t="s">
        <v>1282</v>
      </c>
      <c r="E1433" s="5" t="str">
        <f>VLOOKUP(F1433,'Set up'!$A$2:$C$70,2,FALSE)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up'!$A$2:$C$70,3,FALSE)</f>
        <v>Cash</v>
      </c>
      <c r="J1433" s="5">
        <f>VLOOKUP(F1433,'Set up'!$A$2:$D$70,4,FALSE)</f>
        <v>0</v>
      </c>
      <c r="K1433" s="4">
        <f t="shared" si="333"/>
        <v>44986</v>
      </c>
      <c r="L1433" s="5">
        <f t="shared" si="334"/>
        <v>3</v>
      </c>
      <c r="M1433" s="5">
        <f t="shared" si="335"/>
        <v>2023</v>
      </c>
      <c r="N1433" s="6">
        <v>1936</v>
      </c>
      <c r="O1433" s="6">
        <f>-946-990</f>
        <v>-1936</v>
      </c>
      <c r="P1433" s="6">
        <f t="shared" ref="P1433:P1470" si="342">SUM(N1433+O1433)</f>
        <v>0</v>
      </c>
      <c r="Q1433" s="7">
        <f t="shared" ref="Q1433:Q1470" si="343">SUM(Q1432+N1433)</f>
        <v>2657147.5500000003</v>
      </c>
      <c r="R1433" s="44" t="str">
        <f>VLOOKUP(F1433,'Set up'!$A$2:$E$70,5,FALSE)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331"/>
        <v>3</v>
      </c>
      <c r="C1434" s="5">
        <f t="shared" si="332"/>
        <v>2023</v>
      </c>
      <c r="D1434" s="5" t="s">
        <v>1302</v>
      </c>
      <c r="E1434" s="5" t="str">
        <f>VLOOKUP(F1434,'Set up'!$A$2:$C$70,2,FALSE)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up'!$A$2:$C$70,3,FALSE)</f>
        <v>Cash</v>
      </c>
      <c r="J1434" s="5">
        <f>VLOOKUP(F1434,'Set up'!$A$2:$D$70,4,FALSE)</f>
        <v>0</v>
      </c>
      <c r="K1434" s="4">
        <f t="shared" si="333"/>
        <v>44987</v>
      </c>
      <c r="L1434" s="5">
        <f t="shared" si="334"/>
        <v>3</v>
      </c>
      <c r="M1434" s="5">
        <f t="shared" si="335"/>
        <v>2023</v>
      </c>
      <c r="N1434" s="6">
        <v>1804</v>
      </c>
      <c r="O1434" s="6">
        <f>-N1434</f>
        <v>-1804</v>
      </c>
      <c r="P1434" s="6">
        <f t="shared" si="342"/>
        <v>0</v>
      </c>
      <c r="Q1434" s="7">
        <f t="shared" si="343"/>
        <v>2658951.5500000003</v>
      </c>
      <c r="R1434" s="44" t="str">
        <f>VLOOKUP(F1434,'Set up'!$A$2:$E$70,5,FALSE)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331"/>
        <v>3</v>
      </c>
      <c r="C1435" s="5">
        <f t="shared" si="332"/>
        <v>2023</v>
      </c>
      <c r="D1435" s="5" t="s">
        <v>1302</v>
      </c>
      <c r="E1435" s="5" t="str">
        <f>VLOOKUP(F1435,'Set up'!$A$2:$C$70,2,FALSE)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up'!$A$2:$C$70,3,FALSE)</f>
        <v>Cash</v>
      </c>
      <c r="J1435" s="5">
        <f>VLOOKUP(F1435,'Set up'!$A$2:$D$70,4,FALSE)</f>
        <v>0</v>
      </c>
      <c r="K1435" s="4">
        <f t="shared" si="333"/>
        <v>44987</v>
      </c>
      <c r="L1435" s="5">
        <f t="shared" si="334"/>
        <v>3</v>
      </c>
      <c r="M1435" s="5">
        <f t="shared" si="335"/>
        <v>2023</v>
      </c>
      <c r="N1435" s="6">
        <v>912</v>
      </c>
      <c r="O1435" s="6">
        <f>-N1435</f>
        <v>-912</v>
      </c>
      <c r="P1435" s="6">
        <f t="shared" si="342"/>
        <v>0</v>
      </c>
      <c r="Q1435" s="7">
        <f t="shared" si="343"/>
        <v>2659863.5500000003</v>
      </c>
      <c r="R1435" s="44" t="str">
        <f>VLOOKUP(F1435,'Set up'!$A$2:$E$70,5,FALSE)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331"/>
        <v>3</v>
      </c>
      <c r="C1436" s="5">
        <f t="shared" si="332"/>
        <v>2023</v>
      </c>
      <c r="D1436" s="5" t="s">
        <v>1306</v>
      </c>
      <c r="E1436" s="5" t="str">
        <f>VLOOKUP(F1436,'Set up'!$A$2:$C$70,2,FALSE)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up'!$A$2:$C$70,3,FALSE)</f>
        <v>Cash</v>
      </c>
      <c r="J1436" s="5">
        <f>VLOOKUP(F1436,'Set up'!$A$2:$D$70,4,FALSE)</f>
        <v>0</v>
      </c>
      <c r="K1436" s="4">
        <f t="shared" si="333"/>
        <v>44987</v>
      </c>
      <c r="L1436" s="5">
        <f t="shared" si="334"/>
        <v>3</v>
      </c>
      <c r="M1436" s="5">
        <f t="shared" si="335"/>
        <v>2023</v>
      </c>
      <c r="N1436" s="6">
        <v>256</v>
      </c>
      <c r="O1436" s="6">
        <f t="shared" ref="O1436:O1438" si="344">-N1436</f>
        <v>-256</v>
      </c>
      <c r="P1436" s="6">
        <f t="shared" si="342"/>
        <v>0</v>
      </c>
      <c r="Q1436" s="7">
        <f t="shared" si="343"/>
        <v>2660119.5500000003</v>
      </c>
      <c r="R1436" s="44" t="str">
        <f>VLOOKUP(F1436,'Set up'!$A$2:$E$70,5,FALSE)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331"/>
        <v>3</v>
      </c>
      <c r="C1437" s="5">
        <f t="shared" si="332"/>
        <v>2023</v>
      </c>
      <c r="D1437" s="5" t="s">
        <v>1306</v>
      </c>
      <c r="E1437" s="5" t="str">
        <f>VLOOKUP(F1437,'Set up'!$A$2:$C$70,2,FALSE)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up'!$A$2:$C$70,3,FALSE)</f>
        <v>Cash</v>
      </c>
      <c r="J1437" s="5">
        <f>VLOOKUP(F1437,'Set up'!$A$2:$D$70,4,FALSE)</f>
        <v>0</v>
      </c>
      <c r="K1437" s="4">
        <f t="shared" si="333"/>
        <v>44987</v>
      </c>
      <c r="L1437" s="5">
        <f t="shared" si="334"/>
        <v>3</v>
      </c>
      <c r="M1437" s="5">
        <f t="shared" si="335"/>
        <v>2023</v>
      </c>
      <c r="N1437" s="6">
        <v>110</v>
      </c>
      <c r="O1437" s="6">
        <f t="shared" si="344"/>
        <v>-110</v>
      </c>
      <c r="P1437" s="6">
        <f t="shared" si="342"/>
        <v>0</v>
      </c>
      <c r="Q1437" s="7">
        <f t="shared" si="343"/>
        <v>2660229.5500000003</v>
      </c>
      <c r="R1437" s="44" t="str">
        <f>VLOOKUP(F1437,'Set up'!$A$2:$E$70,5,FALSE)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331"/>
        <v>3</v>
      </c>
      <c r="C1438" s="5">
        <f t="shared" si="332"/>
        <v>2023</v>
      </c>
      <c r="D1438" s="5" t="s">
        <v>1307</v>
      </c>
      <c r="E1438" s="5" t="str">
        <f>VLOOKUP(F1438,'Set up'!$A$2:$C$70,2,FALSE)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up'!$A$2:$C$70,3,FALSE)</f>
        <v>Cash</v>
      </c>
      <c r="J1438" s="5">
        <f>VLOOKUP(F1438,'Set up'!$A$2:$D$70,4,FALSE)</f>
        <v>0</v>
      </c>
      <c r="K1438" s="4">
        <f t="shared" si="333"/>
        <v>44988</v>
      </c>
      <c r="L1438" s="5">
        <f t="shared" si="334"/>
        <v>3</v>
      </c>
      <c r="M1438" s="5">
        <f t="shared" si="335"/>
        <v>2023</v>
      </c>
      <c r="N1438" s="6">
        <v>937.5</v>
      </c>
      <c r="O1438" s="6">
        <f t="shared" si="344"/>
        <v>-937.5</v>
      </c>
      <c r="P1438" s="6">
        <f t="shared" si="342"/>
        <v>0</v>
      </c>
      <c r="Q1438" s="7">
        <f t="shared" si="343"/>
        <v>2661167.0500000003</v>
      </c>
      <c r="R1438" s="44" t="str">
        <f>VLOOKUP(F1438,'Set up'!$A$2:$E$70,5,FALSE)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331"/>
        <v>3</v>
      </c>
      <c r="C1439" s="5">
        <f t="shared" si="332"/>
        <v>2023</v>
      </c>
      <c r="D1439" s="5" t="s">
        <v>1311</v>
      </c>
      <c r="E1439" s="5" t="str">
        <f>VLOOKUP(F1439,'Set up'!$A$2:$C$70,2,FALSE)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up'!$A$2:$C$70,3,FALSE)</f>
        <v>Cash</v>
      </c>
      <c r="J1439" s="5">
        <f>VLOOKUP(F1439,'Set up'!$A$2:$D$70,4,FALSE)</f>
        <v>0</v>
      </c>
      <c r="K1439" s="4">
        <f t="shared" si="333"/>
        <v>44988</v>
      </c>
      <c r="L1439" s="5">
        <f t="shared" si="334"/>
        <v>3</v>
      </c>
      <c r="M1439" s="5">
        <f t="shared" si="335"/>
        <v>2023</v>
      </c>
      <c r="N1439" s="6">
        <v>17380</v>
      </c>
      <c r="O1439" s="6">
        <f>-1858.4-12000-3521.6</f>
        <v>-17380</v>
      </c>
      <c r="P1439" s="6">
        <f t="shared" si="342"/>
        <v>0</v>
      </c>
      <c r="Q1439" s="7">
        <f t="shared" si="343"/>
        <v>2678547.0500000003</v>
      </c>
      <c r="R1439" s="44" t="str">
        <f>VLOOKUP(F1439,'Set up'!$A$2:$E$70,5,FALSE)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331"/>
        <v>3</v>
      </c>
      <c r="C1440" s="5">
        <f t="shared" si="332"/>
        <v>2023</v>
      </c>
      <c r="D1440" s="5" t="s">
        <v>1311</v>
      </c>
      <c r="E1440" s="5" t="str">
        <f>VLOOKUP(F1440,'Set up'!$A$2:$C$70,2,FALSE)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up'!$A$2:$C$70,3,FALSE)</f>
        <v>Cash</v>
      </c>
      <c r="J1440" s="5">
        <f>VLOOKUP(F1440,'Set up'!$A$2:$D$70,4,FALSE)</f>
        <v>0</v>
      </c>
      <c r="K1440" s="4">
        <f t="shared" si="333"/>
        <v>44988</v>
      </c>
      <c r="L1440" s="5">
        <f t="shared" si="334"/>
        <v>3</v>
      </c>
      <c r="M1440" s="5">
        <f t="shared" si="335"/>
        <v>2023</v>
      </c>
      <c r="N1440" s="6">
        <v>8690</v>
      </c>
      <c r="O1440" s="6">
        <f>-3478.4-5211.6</f>
        <v>-8690</v>
      </c>
      <c r="P1440" s="6">
        <f t="shared" si="342"/>
        <v>0</v>
      </c>
      <c r="Q1440" s="7">
        <f t="shared" si="343"/>
        <v>2687237.0500000003</v>
      </c>
      <c r="R1440" s="44" t="str">
        <f>VLOOKUP(F1440,'Set up'!$A$2:$E$70,5,FALSE)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331"/>
        <v>3</v>
      </c>
      <c r="C1441" s="5">
        <f t="shared" si="332"/>
        <v>2023</v>
      </c>
      <c r="D1441" s="5" t="s">
        <v>1311</v>
      </c>
      <c r="E1441" s="5" t="str">
        <f>VLOOKUP(F1441,'Set up'!$A$2:$C$70,2,FALSE)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up'!$A$2:$C$70,3,FALSE)</f>
        <v>Cash</v>
      </c>
      <c r="J1441" s="5">
        <f>VLOOKUP(F1441,'Set up'!$A$2:$D$70,4,FALSE)</f>
        <v>0</v>
      </c>
      <c r="K1441" s="4">
        <f t="shared" si="333"/>
        <v>44988</v>
      </c>
      <c r="L1441" s="5">
        <f t="shared" si="334"/>
        <v>3</v>
      </c>
      <c r="M1441" s="5">
        <f t="shared" si="335"/>
        <v>2023</v>
      </c>
      <c r="N1441" s="6">
        <v>9120</v>
      </c>
      <c r="O1441" s="6">
        <f>-5788.4-3331.6</f>
        <v>-9120</v>
      </c>
      <c r="P1441" s="6">
        <f t="shared" si="342"/>
        <v>0</v>
      </c>
      <c r="Q1441" s="7">
        <f t="shared" si="343"/>
        <v>2696357.0500000003</v>
      </c>
      <c r="R1441" s="44" t="str">
        <f>VLOOKUP(F1441,'Set up'!$A$2:$E$70,5,FALSE)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331"/>
        <v>3</v>
      </c>
      <c r="C1442" s="5">
        <f t="shared" si="332"/>
        <v>2023</v>
      </c>
      <c r="D1442" s="5" t="s">
        <v>1311</v>
      </c>
      <c r="E1442" s="5" t="str">
        <f>VLOOKUP(F1442,'Set up'!$A$2:$C$70,2,FALSE)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up'!$A$2:$C$70,3,FALSE)</f>
        <v>Cash</v>
      </c>
      <c r="J1442" s="5">
        <f>VLOOKUP(F1442,'Set up'!$A$2:$D$70,4,FALSE)</f>
        <v>0</v>
      </c>
      <c r="K1442" s="4">
        <f t="shared" si="333"/>
        <v>44988</v>
      </c>
      <c r="L1442" s="5">
        <f t="shared" si="334"/>
        <v>3</v>
      </c>
      <c r="M1442" s="5">
        <f t="shared" si="335"/>
        <v>2023</v>
      </c>
      <c r="N1442" s="6">
        <v>5040</v>
      </c>
      <c r="O1442" s="6">
        <f t="shared" ref="O1442:O1444" si="345">-N1442</f>
        <v>-5040</v>
      </c>
      <c r="P1442" s="6">
        <f t="shared" si="342"/>
        <v>0</v>
      </c>
      <c r="Q1442" s="7">
        <f t="shared" si="343"/>
        <v>2701397.0500000003</v>
      </c>
      <c r="R1442" s="44" t="str">
        <f>VLOOKUP(F1442,'Set up'!$A$2:$E$70,5,FALSE)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331"/>
        <v>3</v>
      </c>
      <c r="C1443" s="5">
        <f t="shared" si="332"/>
        <v>2023</v>
      </c>
      <c r="D1443" s="5" t="s">
        <v>1311</v>
      </c>
      <c r="E1443" s="5" t="str">
        <f>VLOOKUP(F1443,'Set up'!$A$2:$C$70,2,FALSE)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up'!$A$2:$C$70,3,FALSE)</f>
        <v>Cash</v>
      </c>
      <c r="J1443" s="5">
        <f>VLOOKUP(F1443,'Set up'!$A$2:$D$70,4,FALSE)</f>
        <v>0</v>
      </c>
      <c r="K1443" s="4">
        <f t="shared" si="333"/>
        <v>44988</v>
      </c>
      <c r="L1443" s="5">
        <f t="shared" si="334"/>
        <v>3</v>
      </c>
      <c r="M1443" s="5">
        <f t="shared" si="335"/>
        <v>2023</v>
      </c>
      <c r="N1443" s="6">
        <v>380</v>
      </c>
      <c r="O1443" s="6">
        <f t="shared" si="345"/>
        <v>-380</v>
      </c>
      <c r="P1443" s="6">
        <f t="shared" si="342"/>
        <v>0</v>
      </c>
      <c r="Q1443" s="7">
        <f t="shared" si="343"/>
        <v>2701777.0500000003</v>
      </c>
      <c r="R1443" s="44" t="str">
        <f>VLOOKUP(F1443,'Set up'!$A$2:$E$70,5,FALSE)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331"/>
        <v>3</v>
      </c>
      <c r="C1444" s="5">
        <f t="shared" si="332"/>
        <v>2023</v>
      </c>
      <c r="D1444" s="5" t="s">
        <v>1311</v>
      </c>
      <c r="E1444" s="5" t="str">
        <f>VLOOKUP(F1444,'Set up'!$A$2:$C$70,2,FALSE)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up'!$A$2:$C$70,3,FALSE)</f>
        <v>Cash</v>
      </c>
      <c r="J1444" s="5">
        <f>VLOOKUP(F1444,'Set up'!$A$2:$D$70,4,FALSE)</f>
        <v>0</v>
      </c>
      <c r="K1444" s="4">
        <f t="shared" si="333"/>
        <v>44988</v>
      </c>
      <c r="L1444" s="5">
        <f t="shared" si="334"/>
        <v>3</v>
      </c>
      <c r="M1444" s="5">
        <f t="shared" si="335"/>
        <v>2023</v>
      </c>
      <c r="N1444" s="6">
        <v>2000</v>
      </c>
      <c r="O1444" s="6">
        <f t="shared" si="345"/>
        <v>-2000</v>
      </c>
      <c r="P1444" s="6">
        <f t="shared" si="342"/>
        <v>0</v>
      </c>
      <c r="Q1444" s="7">
        <f t="shared" si="343"/>
        <v>2703777.0500000003</v>
      </c>
      <c r="R1444" s="44" t="str">
        <f>VLOOKUP(F1444,'Set up'!$A$2:$E$70,5,FALSE)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331"/>
        <v>3</v>
      </c>
      <c r="C1445" s="5">
        <f t="shared" si="332"/>
        <v>2023</v>
      </c>
      <c r="D1445" s="5" t="s">
        <v>1312</v>
      </c>
      <c r="E1445" s="5" t="str">
        <f>VLOOKUP(F1445,'Set up'!$A$2:$C$70,2,FALSE)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up'!$A$2:$C$70,3,FALSE)</f>
        <v>30</v>
      </c>
      <c r="J1445" s="5">
        <f>VLOOKUP(F1445,'Set up'!$A$2:$D$70,4,FALSE)</f>
        <v>30</v>
      </c>
      <c r="K1445" s="4">
        <f t="shared" si="333"/>
        <v>45018</v>
      </c>
      <c r="L1445" s="5">
        <f t="shared" si="334"/>
        <v>4</v>
      </c>
      <c r="M1445" s="5">
        <f t="shared" si="335"/>
        <v>2023</v>
      </c>
      <c r="N1445" s="6">
        <v>3608</v>
      </c>
      <c r="O1445" s="6">
        <f t="shared" ref="O1445:O1448" si="346">-N1445</f>
        <v>-3608</v>
      </c>
      <c r="P1445" s="6">
        <f t="shared" si="342"/>
        <v>0</v>
      </c>
      <c r="Q1445" s="7">
        <f t="shared" si="343"/>
        <v>2707385.0500000003</v>
      </c>
      <c r="R1445" s="44" t="str">
        <f>VLOOKUP(F1445,'Set up'!$A$2:$E$70,5,FALSE)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331"/>
        <v>3</v>
      </c>
      <c r="C1446" s="5">
        <f t="shared" si="332"/>
        <v>2023</v>
      </c>
      <c r="D1446" s="5" t="s">
        <v>1312</v>
      </c>
      <c r="E1446" s="5" t="str">
        <f>VLOOKUP(F1446,'Set up'!$A$2:$C$70,2,FALSE)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up'!$A$2:$C$70,3,FALSE)</f>
        <v>30</v>
      </c>
      <c r="J1446" s="5">
        <f>VLOOKUP(F1446,'Set up'!$A$2:$D$70,4,FALSE)</f>
        <v>30</v>
      </c>
      <c r="K1446" s="4">
        <f t="shared" si="333"/>
        <v>45018</v>
      </c>
      <c r="L1446" s="5">
        <f t="shared" si="334"/>
        <v>4</v>
      </c>
      <c r="M1446" s="5">
        <f t="shared" si="335"/>
        <v>2023</v>
      </c>
      <c r="N1446" s="6">
        <v>842.4</v>
      </c>
      <c r="O1446" s="6">
        <f t="shared" si="346"/>
        <v>-842.4</v>
      </c>
      <c r="P1446" s="6">
        <f t="shared" si="342"/>
        <v>0</v>
      </c>
      <c r="Q1446" s="7">
        <f t="shared" si="343"/>
        <v>2708227.45</v>
      </c>
      <c r="R1446" s="44" t="str">
        <f>VLOOKUP(F1446,'Set up'!$A$2:$E$70,5,FALSE)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331"/>
        <v>3</v>
      </c>
      <c r="C1447" s="5">
        <f t="shared" si="332"/>
        <v>2023</v>
      </c>
      <c r="D1447" s="5" t="s">
        <v>1312</v>
      </c>
      <c r="E1447" s="5" t="str">
        <f>VLOOKUP(F1447,'Set up'!$A$2:$C$70,2,FALSE)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up'!$A$2:$C$70,3,FALSE)</f>
        <v>30</v>
      </c>
      <c r="J1447" s="5">
        <f>VLOOKUP(F1447,'Set up'!$A$2:$D$70,4,FALSE)</f>
        <v>30</v>
      </c>
      <c r="K1447" s="4">
        <f t="shared" si="333"/>
        <v>45018</v>
      </c>
      <c r="L1447" s="5">
        <f t="shared" si="334"/>
        <v>4</v>
      </c>
      <c r="M1447" s="5">
        <f t="shared" si="335"/>
        <v>2023</v>
      </c>
      <c r="N1447" s="6">
        <v>190</v>
      </c>
      <c r="O1447" s="6">
        <f t="shared" si="346"/>
        <v>-190</v>
      </c>
      <c r="P1447" s="6">
        <f t="shared" si="342"/>
        <v>0</v>
      </c>
      <c r="Q1447" s="7">
        <f t="shared" si="343"/>
        <v>2708417.45</v>
      </c>
      <c r="R1447" s="44" t="str">
        <f>VLOOKUP(F1447,'Set up'!$A$2:$E$70,5,FALSE)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331"/>
        <v>3</v>
      </c>
      <c r="C1448" s="5">
        <f t="shared" si="332"/>
        <v>2023</v>
      </c>
      <c r="D1448" s="5" t="s">
        <v>1312</v>
      </c>
      <c r="E1448" s="5" t="str">
        <f>VLOOKUP(F1448,'Set up'!$A$2:$C$70,2,FALSE)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up'!$A$2:$C$70,3,FALSE)</f>
        <v>30</v>
      </c>
      <c r="J1448" s="5">
        <f>VLOOKUP(F1448,'Set up'!$A$2:$D$70,4,FALSE)</f>
        <v>30</v>
      </c>
      <c r="K1448" s="4">
        <f t="shared" si="333"/>
        <v>45018</v>
      </c>
      <c r="L1448" s="5">
        <f t="shared" si="334"/>
        <v>4</v>
      </c>
      <c r="M1448" s="5">
        <f t="shared" si="335"/>
        <v>2023</v>
      </c>
      <c r="N1448" s="6">
        <v>144</v>
      </c>
      <c r="O1448" s="6">
        <f t="shared" si="346"/>
        <v>-144</v>
      </c>
      <c r="P1448" s="6">
        <f t="shared" si="342"/>
        <v>0</v>
      </c>
      <c r="Q1448" s="7">
        <f t="shared" si="343"/>
        <v>2708561.45</v>
      </c>
      <c r="R1448" s="44" t="str">
        <f>VLOOKUP(F1448,'Set up'!$A$2:$E$70,5,FALSE)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331"/>
        <v>3</v>
      </c>
      <c r="C1449" s="5">
        <f t="shared" si="332"/>
        <v>2023</v>
      </c>
      <c r="D1449" s="5" t="s">
        <v>1313</v>
      </c>
      <c r="E1449" s="5" t="str">
        <f>VLOOKUP(F1449,'Set up'!$A$2:$C$70,2,FALSE)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up'!$A$2:$C$70,3,FALSE)</f>
        <v>Cash</v>
      </c>
      <c r="J1449" s="5">
        <f>VLOOKUP(F1449,'Set up'!$A$2:$D$70,4,FALSE)</f>
        <v>0</v>
      </c>
      <c r="K1449" s="4">
        <f t="shared" si="333"/>
        <v>44991</v>
      </c>
      <c r="L1449" s="5">
        <f t="shared" si="334"/>
        <v>3</v>
      </c>
      <c r="M1449" s="5">
        <f t="shared" si="335"/>
        <v>2023</v>
      </c>
      <c r="N1449" s="6">
        <v>950</v>
      </c>
      <c r="O1449" s="6">
        <f t="shared" ref="O1449:O1454" si="347">-N1449</f>
        <v>-950</v>
      </c>
      <c r="P1449" s="6">
        <f t="shared" si="342"/>
        <v>0</v>
      </c>
      <c r="Q1449" s="7">
        <f t="shared" si="343"/>
        <v>2709511.45</v>
      </c>
      <c r="R1449" s="44" t="str">
        <f>VLOOKUP(F1449,'Set up'!$A$2:$E$70,5,FALSE)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331"/>
        <v>3</v>
      </c>
      <c r="C1450" s="5">
        <f t="shared" si="332"/>
        <v>2023</v>
      </c>
      <c r="D1450" s="5" t="s">
        <v>1313</v>
      </c>
      <c r="E1450" s="5" t="str">
        <f>VLOOKUP(F1450,'Set up'!$A$2:$C$70,2,FALSE)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up'!$A$2:$C$70,3,FALSE)</f>
        <v>Cash</v>
      </c>
      <c r="J1450" s="5">
        <f>VLOOKUP(F1450,'Set up'!$A$2:$D$70,4,FALSE)</f>
        <v>0</v>
      </c>
      <c r="K1450" s="4">
        <f t="shared" si="333"/>
        <v>44991</v>
      </c>
      <c r="L1450" s="5">
        <f t="shared" si="334"/>
        <v>3</v>
      </c>
      <c r="M1450" s="5">
        <f t="shared" si="335"/>
        <v>2023</v>
      </c>
      <c r="N1450" s="6">
        <v>475</v>
      </c>
      <c r="O1450" s="6">
        <f t="shared" si="347"/>
        <v>-475</v>
      </c>
      <c r="P1450" s="6">
        <f t="shared" si="342"/>
        <v>0</v>
      </c>
      <c r="Q1450" s="7">
        <f t="shared" si="343"/>
        <v>2709986.45</v>
      </c>
      <c r="R1450" s="44" t="str">
        <f>VLOOKUP(F1450,'Set up'!$A$2:$E$70,5,FALSE)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331"/>
        <v>3</v>
      </c>
      <c r="C1451" s="5">
        <f t="shared" si="332"/>
        <v>2023</v>
      </c>
      <c r="D1451" s="5" t="s">
        <v>1313</v>
      </c>
      <c r="E1451" s="5" t="str">
        <f>VLOOKUP(F1451,'Set up'!$A$2:$C$70,2,FALSE)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up'!$A$2:$C$70,3,FALSE)</f>
        <v>Cash</v>
      </c>
      <c r="J1451" s="5">
        <f>VLOOKUP(F1451,'Set up'!$A$2:$D$70,4,FALSE)</f>
        <v>0</v>
      </c>
      <c r="K1451" s="4">
        <f t="shared" si="333"/>
        <v>44991</v>
      </c>
      <c r="L1451" s="5">
        <f t="shared" si="334"/>
        <v>3</v>
      </c>
      <c r="M1451" s="5">
        <f t="shared" si="335"/>
        <v>2023</v>
      </c>
      <c r="N1451" s="6">
        <v>0</v>
      </c>
      <c r="O1451" s="6">
        <f t="shared" si="347"/>
        <v>0</v>
      </c>
      <c r="P1451" s="6">
        <f t="shared" si="342"/>
        <v>0</v>
      </c>
      <c r="Q1451" s="7">
        <f t="shared" si="343"/>
        <v>2709986.45</v>
      </c>
      <c r="R1451" s="44" t="str">
        <f>VLOOKUP(F1451,'Set up'!$A$2:$E$70,5,FALSE)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331"/>
        <v>3</v>
      </c>
      <c r="C1452" s="5">
        <f t="shared" si="332"/>
        <v>2023</v>
      </c>
      <c r="D1452" s="5" t="s">
        <v>1318</v>
      </c>
      <c r="E1452" s="5" t="str">
        <f>VLOOKUP(F1452,'Set up'!$A$2:$C$70,2,FALSE)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up'!$A$2:$C$70,3,FALSE)</f>
        <v>Cash</v>
      </c>
      <c r="J1452" s="5">
        <f>VLOOKUP(F1452,'Set up'!$A$2:$D$70,4,FALSE)</f>
        <v>0</v>
      </c>
      <c r="K1452" s="4">
        <f t="shared" si="333"/>
        <v>44991</v>
      </c>
      <c r="L1452" s="5">
        <f t="shared" si="334"/>
        <v>3</v>
      </c>
      <c r="M1452" s="5">
        <f t="shared" si="335"/>
        <v>2023</v>
      </c>
      <c r="N1452" s="6">
        <v>1870</v>
      </c>
      <c r="O1452" s="6">
        <f t="shared" si="347"/>
        <v>-1870</v>
      </c>
      <c r="P1452" s="6">
        <f t="shared" si="342"/>
        <v>0</v>
      </c>
      <c r="Q1452" s="7">
        <f t="shared" si="343"/>
        <v>2711856.45</v>
      </c>
      <c r="R1452" s="44" t="str">
        <f>VLOOKUP(F1452,'Set up'!$A$2:$E$70,5,FALSE)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331"/>
        <v>3</v>
      </c>
      <c r="C1453" s="5">
        <f t="shared" si="332"/>
        <v>2023</v>
      </c>
      <c r="D1453" s="5" t="s">
        <v>1318</v>
      </c>
      <c r="E1453" s="5" t="str">
        <f>VLOOKUP(F1453,'Set up'!$A$2:$C$70,2,FALSE)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up'!$A$2:$C$70,3,FALSE)</f>
        <v>Cash</v>
      </c>
      <c r="J1453" s="5">
        <f>VLOOKUP(F1453,'Set up'!$A$2:$D$70,4,FALSE)</f>
        <v>0</v>
      </c>
      <c r="K1453" s="4">
        <f t="shared" si="333"/>
        <v>44991</v>
      </c>
      <c r="L1453" s="5">
        <f t="shared" si="334"/>
        <v>3</v>
      </c>
      <c r="M1453" s="5">
        <f t="shared" si="335"/>
        <v>2023</v>
      </c>
      <c r="N1453" s="6">
        <v>510</v>
      </c>
      <c r="O1453" s="6">
        <f t="shared" si="347"/>
        <v>-510</v>
      </c>
      <c r="P1453" s="6">
        <f t="shared" si="342"/>
        <v>0</v>
      </c>
      <c r="Q1453" s="7">
        <f t="shared" si="343"/>
        <v>2712366.45</v>
      </c>
      <c r="R1453" s="44" t="str">
        <f>VLOOKUP(F1453,'Set up'!$A$2:$E$70,5,FALSE)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331"/>
        <v>3</v>
      </c>
      <c r="C1454" s="5">
        <f t="shared" si="332"/>
        <v>2023</v>
      </c>
      <c r="D1454" s="5" t="s">
        <v>1318</v>
      </c>
      <c r="E1454" s="5" t="str">
        <f>VLOOKUP(F1454,'Set up'!$A$2:$C$70,2,FALSE)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up'!$A$2:$C$70,3,FALSE)</f>
        <v>Cash</v>
      </c>
      <c r="J1454" s="5">
        <f>VLOOKUP(F1454,'Set up'!$A$2:$D$70,4,FALSE)</f>
        <v>0</v>
      </c>
      <c r="K1454" s="4">
        <f t="shared" si="333"/>
        <v>44991</v>
      </c>
      <c r="L1454" s="5">
        <f t="shared" si="334"/>
        <v>3</v>
      </c>
      <c r="M1454" s="5">
        <f t="shared" si="335"/>
        <v>2023</v>
      </c>
      <c r="N1454" s="6">
        <v>95</v>
      </c>
      <c r="O1454" s="6">
        <f t="shared" si="347"/>
        <v>-95</v>
      </c>
      <c r="P1454" s="6">
        <f t="shared" si="342"/>
        <v>0</v>
      </c>
      <c r="Q1454" s="7">
        <f t="shared" si="343"/>
        <v>2712461.45</v>
      </c>
      <c r="R1454" s="44" t="str">
        <f>VLOOKUP(F1454,'Set up'!$A$2:$E$70,5,FALSE)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331"/>
        <v>3</v>
      </c>
      <c r="C1455" s="5">
        <f t="shared" si="332"/>
        <v>2023</v>
      </c>
      <c r="D1455" s="5" t="s">
        <v>1319</v>
      </c>
      <c r="E1455" s="5" t="str">
        <f>VLOOKUP(F1455,'Set up'!$A$2:$C$70,2,FALSE)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up'!$A$2:$C$70,3,FALSE)</f>
        <v>Cash</v>
      </c>
      <c r="J1455" s="5">
        <f>VLOOKUP(F1455,'Set up'!$A$2:$D$70,4,FALSE)</f>
        <v>0</v>
      </c>
      <c r="K1455" s="4">
        <f t="shared" si="333"/>
        <v>44992</v>
      </c>
      <c r="L1455" s="5">
        <f t="shared" si="334"/>
        <v>3</v>
      </c>
      <c r="M1455" s="5">
        <f t="shared" si="335"/>
        <v>2023</v>
      </c>
      <c r="N1455" s="6">
        <v>3564</v>
      </c>
      <c r="O1455" s="6">
        <f>-718.7-1000-1845.3</f>
        <v>-3564</v>
      </c>
      <c r="P1455" s="6">
        <f t="shared" si="342"/>
        <v>0</v>
      </c>
      <c r="Q1455" s="7">
        <f t="shared" si="343"/>
        <v>2716025.45</v>
      </c>
      <c r="R1455" s="44" t="str">
        <f>VLOOKUP(F1455,'Set up'!$A$2:$E$70,5,FALSE)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331"/>
        <v>3</v>
      </c>
      <c r="C1456" s="5">
        <f t="shared" si="332"/>
        <v>2023</v>
      </c>
      <c r="D1456" s="5" t="s">
        <v>1319</v>
      </c>
      <c r="E1456" s="5" t="str">
        <f>VLOOKUP(F1456,'Set up'!$A$2:$C$70,2,FALSE)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up'!$A$2:$C$70,3,FALSE)</f>
        <v>Cash</v>
      </c>
      <c r="J1456" s="5">
        <f>VLOOKUP(F1456,'Set up'!$A$2:$D$70,4,FALSE)</f>
        <v>0</v>
      </c>
      <c r="K1456" s="4">
        <f t="shared" si="333"/>
        <v>44992</v>
      </c>
      <c r="L1456" s="5">
        <f t="shared" si="334"/>
        <v>3</v>
      </c>
      <c r="M1456" s="5">
        <f t="shared" si="335"/>
        <v>2023</v>
      </c>
      <c r="N1456" s="6">
        <v>842.4</v>
      </c>
      <c r="O1456" s="6">
        <f>-154.7-500-187.7</f>
        <v>-842.40000000000009</v>
      </c>
      <c r="P1456" s="6">
        <f t="shared" si="342"/>
        <v>-1.1368683772161603E-13</v>
      </c>
      <c r="Q1456" s="7">
        <f t="shared" si="343"/>
        <v>2716867.85</v>
      </c>
      <c r="R1456" s="44" t="str">
        <f>VLOOKUP(F1456,'Set up'!$A$2:$E$70,5,FALSE)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331"/>
        <v>3</v>
      </c>
      <c r="C1457" s="5">
        <f t="shared" si="332"/>
        <v>2023</v>
      </c>
      <c r="D1457" s="5" t="s">
        <v>1320</v>
      </c>
      <c r="E1457" s="5" t="str">
        <f>VLOOKUP(F1457,'Set up'!$A$2:$C$70,2,FALSE)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up'!$A$2:$C$70,3,FALSE)</f>
        <v>Cash</v>
      </c>
      <c r="J1457" s="5">
        <f>VLOOKUP(F1457,'Set up'!$A$2:$D$70,4,FALSE)</f>
        <v>0</v>
      </c>
      <c r="K1457" s="4">
        <f t="shared" si="333"/>
        <v>44993</v>
      </c>
      <c r="L1457" s="5">
        <f t="shared" si="334"/>
        <v>3</v>
      </c>
      <c r="M1457" s="5">
        <f t="shared" si="335"/>
        <v>2023</v>
      </c>
      <c r="N1457" s="6">
        <v>312.5</v>
      </c>
      <c r="O1457" s="6">
        <f t="shared" ref="O1457:O1460" si="348">-N1457</f>
        <v>-312.5</v>
      </c>
      <c r="P1457" s="6">
        <f t="shared" si="342"/>
        <v>0</v>
      </c>
      <c r="Q1457" s="7">
        <f t="shared" si="343"/>
        <v>2717180.35</v>
      </c>
      <c r="R1457" s="44" t="str">
        <f>VLOOKUP(F1457,'Set up'!$A$2:$E$70,5,FALSE)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331"/>
        <v>3</v>
      </c>
      <c r="C1458" s="5">
        <f t="shared" si="332"/>
        <v>2023</v>
      </c>
      <c r="D1458" s="5" t="s">
        <v>1320</v>
      </c>
      <c r="E1458" s="5" t="str">
        <f>VLOOKUP(F1458,'Set up'!$A$2:$C$70,2,FALSE)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up'!$A$2:$C$70,3,FALSE)</f>
        <v>Cash</v>
      </c>
      <c r="J1458" s="5">
        <f>VLOOKUP(F1458,'Set up'!$A$2:$D$70,4,FALSE)</f>
        <v>0</v>
      </c>
      <c r="K1458" s="4">
        <f t="shared" si="333"/>
        <v>44993</v>
      </c>
      <c r="L1458" s="5">
        <f t="shared" si="334"/>
        <v>3</v>
      </c>
      <c r="M1458" s="5">
        <f t="shared" si="335"/>
        <v>2023</v>
      </c>
      <c r="N1458" s="6">
        <v>625</v>
      </c>
      <c r="O1458" s="6">
        <f>-499.8-125.2</f>
        <v>-625</v>
      </c>
      <c r="P1458" s="6">
        <f t="shared" si="342"/>
        <v>0</v>
      </c>
      <c r="Q1458" s="7">
        <f t="shared" si="343"/>
        <v>2717805.35</v>
      </c>
      <c r="R1458" s="44" t="str">
        <f>VLOOKUP(F1458,'Set up'!$A$2:$E$70,5,FALSE)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331"/>
        <v>3</v>
      </c>
      <c r="C1459" s="5">
        <f t="shared" si="332"/>
        <v>2023</v>
      </c>
      <c r="D1459" s="5" t="s">
        <v>1320</v>
      </c>
      <c r="E1459" s="5" t="str">
        <f>VLOOKUP(F1459,'Set up'!$A$2:$C$70,2,FALSE)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up'!$A$2:$C$70,3,FALSE)</f>
        <v>Cash</v>
      </c>
      <c r="J1459" s="5">
        <f>VLOOKUP(F1459,'Set up'!$A$2:$D$70,4,FALSE)</f>
        <v>0</v>
      </c>
      <c r="K1459" s="4">
        <f t="shared" si="333"/>
        <v>44993</v>
      </c>
      <c r="L1459" s="5">
        <f t="shared" si="334"/>
        <v>3</v>
      </c>
      <c r="M1459" s="5">
        <f t="shared" si="335"/>
        <v>2023</v>
      </c>
      <c r="N1459" s="6">
        <v>38</v>
      </c>
      <c r="O1459" s="6">
        <f t="shared" si="348"/>
        <v>-38</v>
      </c>
      <c r="P1459" s="6">
        <f t="shared" si="342"/>
        <v>0</v>
      </c>
      <c r="Q1459" s="7">
        <f t="shared" si="343"/>
        <v>2717843.35</v>
      </c>
      <c r="R1459" s="44" t="str">
        <f>VLOOKUP(F1459,'Set up'!$A$2:$E$70,5,FALSE)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331"/>
        <v>3</v>
      </c>
      <c r="C1460" s="5">
        <f t="shared" si="332"/>
        <v>2023</v>
      </c>
      <c r="D1460" s="5" t="s">
        <v>1320</v>
      </c>
      <c r="E1460" s="5" t="str">
        <f>VLOOKUP(F1460,'Set up'!$A$2:$C$70,2,FALSE)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up'!$A$2:$C$70,3,FALSE)</f>
        <v>Cash</v>
      </c>
      <c r="J1460" s="5">
        <f>VLOOKUP(F1460,'Set up'!$A$2:$D$70,4,FALSE)</f>
        <v>0</v>
      </c>
      <c r="K1460" s="4">
        <f t="shared" si="333"/>
        <v>44993</v>
      </c>
      <c r="L1460" s="5">
        <f t="shared" si="334"/>
        <v>3</v>
      </c>
      <c r="M1460" s="5">
        <f t="shared" si="335"/>
        <v>2023</v>
      </c>
      <c r="N1460" s="6">
        <v>45</v>
      </c>
      <c r="O1460" s="6">
        <f t="shared" si="348"/>
        <v>-45</v>
      </c>
      <c r="P1460" s="6">
        <f t="shared" si="342"/>
        <v>0</v>
      </c>
      <c r="Q1460" s="7">
        <f t="shared" si="343"/>
        <v>2717888.35</v>
      </c>
      <c r="R1460" s="44" t="str">
        <f>VLOOKUP(F1460,'Set up'!$A$2:$E$70,5,FALSE)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331"/>
        <v>3</v>
      </c>
      <c r="C1461" s="5">
        <f t="shared" si="332"/>
        <v>2023</v>
      </c>
      <c r="D1461" s="5" t="s">
        <v>1329</v>
      </c>
      <c r="E1461" s="5" t="str">
        <f>VLOOKUP(F1461,'Set up'!$A$2:$C$70,2,FALSE)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up'!$A$2:$C$70,3,FALSE)</f>
        <v>Cash</v>
      </c>
      <c r="J1461" s="5">
        <f>VLOOKUP(F1461,'Set up'!$A$2:$D$70,4,FALSE)</f>
        <v>0</v>
      </c>
      <c r="K1461" s="4">
        <f t="shared" si="333"/>
        <v>44995</v>
      </c>
      <c r="L1461" s="5">
        <f t="shared" si="334"/>
        <v>3</v>
      </c>
      <c r="M1461" s="5">
        <f t="shared" si="335"/>
        <v>2023</v>
      </c>
      <c r="N1461" s="6">
        <v>1804</v>
      </c>
      <c r="O1461" s="6">
        <f t="shared" ref="O1461:O1468" si="349">-N1461</f>
        <v>-1804</v>
      </c>
      <c r="P1461" s="6">
        <f t="shared" si="342"/>
        <v>0</v>
      </c>
      <c r="Q1461" s="7">
        <f t="shared" si="343"/>
        <v>2719692.35</v>
      </c>
      <c r="R1461" s="44" t="str">
        <f>VLOOKUP(F1461,'Set up'!$A$2:$E$70,5,FALSE)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331"/>
        <v>3</v>
      </c>
      <c r="C1462" s="5">
        <f t="shared" si="332"/>
        <v>2023</v>
      </c>
      <c r="D1462" s="5" t="s">
        <v>1329</v>
      </c>
      <c r="E1462" s="5" t="str">
        <f>VLOOKUP(F1462,'Set up'!$A$2:$C$70,2,FALSE)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up'!$A$2:$C$70,3,FALSE)</f>
        <v>Cash</v>
      </c>
      <c r="J1462" s="5">
        <f>VLOOKUP(F1462,'Set up'!$A$2:$D$70,4,FALSE)</f>
        <v>0</v>
      </c>
      <c r="K1462" s="4">
        <f t="shared" si="333"/>
        <v>44995</v>
      </c>
      <c r="L1462" s="5">
        <f t="shared" si="334"/>
        <v>3</v>
      </c>
      <c r="M1462" s="5">
        <f t="shared" si="335"/>
        <v>2023</v>
      </c>
      <c r="N1462" s="6">
        <v>237</v>
      </c>
      <c r="O1462" s="6">
        <f t="shared" si="349"/>
        <v>-237</v>
      </c>
      <c r="P1462" s="6">
        <f t="shared" si="342"/>
        <v>0</v>
      </c>
      <c r="Q1462" s="7">
        <f t="shared" si="343"/>
        <v>2719929.35</v>
      </c>
      <c r="R1462" s="44" t="str">
        <f>VLOOKUP(F1462,'Set up'!$A$2:$E$70,5,FALSE)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331"/>
        <v>3</v>
      </c>
      <c r="C1463" s="5">
        <f t="shared" si="332"/>
        <v>2023</v>
      </c>
      <c r="D1463" s="5" t="s">
        <v>1329</v>
      </c>
      <c r="E1463" s="5" t="str">
        <f>VLOOKUP(F1463,'Set up'!$A$2:$C$70,2,FALSE)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up'!$A$2:$C$70,3,FALSE)</f>
        <v>Cash</v>
      </c>
      <c r="J1463" s="5">
        <f>VLOOKUP(F1463,'Set up'!$A$2:$D$70,4,FALSE)</f>
        <v>0</v>
      </c>
      <c r="K1463" s="4">
        <f t="shared" si="333"/>
        <v>44995</v>
      </c>
      <c r="L1463" s="5">
        <f t="shared" si="334"/>
        <v>3</v>
      </c>
      <c r="M1463" s="5">
        <f t="shared" si="335"/>
        <v>2023</v>
      </c>
      <c r="N1463" s="6">
        <v>64</v>
      </c>
      <c r="O1463" s="6">
        <f t="shared" si="349"/>
        <v>-64</v>
      </c>
      <c r="P1463" s="6">
        <f t="shared" si="342"/>
        <v>0</v>
      </c>
      <c r="Q1463" s="7">
        <f t="shared" si="343"/>
        <v>2719993.35</v>
      </c>
      <c r="R1463" s="44" t="str">
        <f>VLOOKUP(F1463,'Set up'!$A$2:$E$70,5,FALSE)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331"/>
        <v>3</v>
      </c>
      <c r="C1464" s="5">
        <f t="shared" si="332"/>
        <v>2023</v>
      </c>
      <c r="D1464" s="5" t="s">
        <v>1329</v>
      </c>
      <c r="E1464" s="5" t="str">
        <f>VLOOKUP(F1464,'Set up'!$A$2:$C$70,2,FALSE)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up'!$A$2:$C$70,3,FALSE)</f>
        <v>Cash</v>
      </c>
      <c r="J1464" s="5">
        <f>VLOOKUP(F1464,'Set up'!$A$2:$D$70,4,FALSE)</f>
        <v>0</v>
      </c>
      <c r="K1464" s="4">
        <f t="shared" si="333"/>
        <v>44995</v>
      </c>
      <c r="L1464" s="5">
        <f t="shared" si="334"/>
        <v>3</v>
      </c>
      <c r="M1464" s="5">
        <f t="shared" si="335"/>
        <v>2023</v>
      </c>
      <c r="N1464" s="6">
        <v>66</v>
      </c>
      <c r="O1464" s="6">
        <f t="shared" si="349"/>
        <v>-66</v>
      </c>
      <c r="P1464" s="6">
        <f t="shared" si="342"/>
        <v>0</v>
      </c>
      <c r="Q1464" s="7">
        <f t="shared" si="343"/>
        <v>2720059.35</v>
      </c>
      <c r="R1464" s="44" t="str">
        <f>VLOOKUP(F1464,'Set up'!$A$2:$E$70,5,FALSE)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331"/>
        <v>3</v>
      </c>
      <c r="C1465" s="5">
        <f t="shared" si="332"/>
        <v>2023</v>
      </c>
      <c r="D1465" s="5" t="s">
        <v>1329</v>
      </c>
      <c r="E1465" s="5" t="str">
        <f>VLOOKUP(F1465,'Set up'!$A$2:$C$70,2,FALSE)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up'!$A$2:$C$70,3,FALSE)</f>
        <v>Cash</v>
      </c>
      <c r="J1465" s="5">
        <f>VLOOKUP(F1465,'Set up'!$A$2:$D$70,4,FALSE)</f>
        <v>0</v>
      </c>
      <c r="K1465" s="4">
        <f t="shared" si="333"/>
        <v>44995</v>
      </c>
      <c r="L1465" s="5">
        <f t="shared" si="334"/>
        <v>3</v>
      </c>
      <c r="M1465" s="5">
        <f t="shared" si="335"/>
        <v>2023</v>
      </c>
      <c r="N1465" s="6">
        <v>116</v>
      </c>
      <c r="O1465" s="6">
        <f t="shared" si="349"/>
        <v>-116</v>
      </c>
      <c r="P1465" s="6">
        <f t="shared" si="342"/>
        <v>0</v>
      </c>
      <c r="Q1465" s="7">
        <f t="shared" si="343"/>
        <v>2720175.35</v>
      </c>
      <c r="R1465" s="44" t="str">
        <f>VLOOKUP(F1465,'Set up'!$A$2:$E$70,5,FALSE)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331"/>
        <v>3</v>
      </c>
      <c r="C1466" s="5">
        <f t="shared" si="332"/>
        <v>2023</v>
      </c>
      <c r="D1466" s="5" t="s">
        <v>1329</v>
      </c>
      <c r="E1466" s="5" t="str">
        <f>VLOOKUP(F1466,'Set up'!$A$2:$C$70,2,FALSE)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up'!$A$2:$C$70,3,FALSE)</f>
        <v>Cash</v>
      </c>
      <c r="J1466" s="5">
        <f>VLOOKUP(F1466,'Set up'!$A$2:$D$70,4,FALSE)</f>
        <v>0</v>
      </c>
      <c r="K1466" s="4">
        <f t="shared" si="333"/>
        <v>44995</v>
      </c>
      <c r="L1466" s="5">
        <f t="shared" si="334"/>
        <v>3</v>
      </c>
      <c r="M1466" s="5">
        <f t="shared" si="335"/>
        <v>2023</v>
      </c>
      <c r="N1466" s="6">
        <v>258</v>
      </c>
      <c r="O1466" s="6">
        <f t="shared" si="349"/>
        <v>-258</v>
      </c>
      <c r="P1466" s="6">
        <f t="shared" si="342"/>
        <v>0</v>
      </c>
      <c r="Q1466" s="7">
        <f t="shared" si="343"/>
        <v>2720433.35</v>
      </c>
      <c r="R1466" s="44" t="str">
        <f>VLOOKUP(F1466,'Set up'!$A$2:$E$70,5,FALSE)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331"/>
        <v>3</v>
      </c>
      <c r="C1467" s="5">
        <f t="shared" si="332"/>
        <v>2023</v>
      </c>
      <c r="D1467" s="5" t="s">
        <v>1331</v>
      </c>
      <c r="E1467" s="5" t="str">
        <f>VLOOKUP(F1467,'Set up'!$A$2:$C$70,2,FALSE)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up'!$A$2:$C$70,3,FALSE)</f>
        <v>Cash</v>
      </c>
      <c r="J1467" s="5">
        <f>VLOOKUP(F1467,'Set up'!$A$2:$D$70,4,FALSE)</f>
        <v>0</v>
      </c>
      <c r="K1467" s="4">
        <f t="shared" si="333"/>
        <v>44996</v>
      </c>
      <c r="L1467" s="5">
        <f t="shared" si="334"/>
        <v>3</v>
      </c>
      <c r="M1467" s="5">
        <f t="shared" si="335"/>
        <v>2023</v>
      </c>
      <c r="N1467" s="6">
        <v>95</v>
      </c>
      <c r="O1467" s="6">
        <f t="shared" si="349"/>
        <v>-95</v>
      </c>
      <c r="P1467" s="6">
        <f t="shared" si="342"/>
        <v>0</v>
      </c>
      <c r="Q1467" s="7">
        <f t="shared" si="343"/>
        <v>2720528.35</v>
      </c>
      <c r="R1467" s="44" t="str">
        <f>VLOOKUP(F1467,'Set up'!$A$2:$E$70,5,FALSE)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331"/>
        <v>3</v>
      </c>
      <c r="C1468" s="5">
        <f t="shared" si="332"/>
        <v>2023</v>
      </c>
      <c r="D1468" s="5" t="s">
        <v>1331</v>
      </c>
      <c r="E1468" s="5" t="str">
        <f>VLOOKUP(F1468,'Set up'!$A$2:$C$70,2,FALSE)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up'!$A$2:$C$70,3,FALSE)</f>
        <v>Cash</v>
      </c>
      <c r="J1468" s="5">
        <f>VLOOKUP(F1468,'Set up'!$A$2:$D$70,4,FALSE)</f>
        <v>0</v>
      </c>
      <c r="K1468" s="4">
        <f t="shared" si="333"/>
        <v>44996</v>
      </c>
      <c r="L1468" s="5">
        <f t="shared" si="334"/>
        <v>3</v>
      </c>
      <c r="M1468" s="5">
        <f t="shared" si="335"/>
        <v>2023</v>
      </c>
      <c r="N1468" s="6">
        <v>105</v>
      </c>
      <c r="O1468" s="6">
        <f t="shared" si="349"/>
        <v>-105</v>
      </c>
      <c r="P1468" s="6">
        <f t="shared" si="342"/>
        <v>0</v>
      </c>
      <c r="Q1468" s="7">
        <f t="shared" si="343"/>
        <v>2720633.35</v>
      </c>
      <c r="R1468" s="44" t="str">
        <f>VLOOKUP(F1468,'Set up'!$A$2:$E$70,5,FALSE)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331"/>
        <v>3</v>
      </c>
      <c r="C1469" s="5">
        <f t="shared" si="332"/>
        <v>2023</v>
      </c>
      <c r="D1469" s="5" t="s">
        <v>1333</v>
      </c>
      <c r="E1469" s="5" t="str">
        <f>VLOOKUP(F1469,'Set up'!$A$2:$C$70,2,FALSE)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up'!$A$2:$C$70,3,FALSE)</f>
        <v>120</v>
      </c>
      <c r="J1469" s="5">
        <f>VLOOKUP(F1469,'Set up'!$A$2:$D$70,4,FALSE)</f>
        <v>120</v>
      </c>
      <c r="K1469" s="4">
        <f t="shared" si="333"/>
        <v>45119</v>
      </c>
      <c r="L1469" s="5">
        <f t="shared" si="334"/>
        <v>7</v>
      </c>
      <c r="M1469" s="5">
        <f t="shared" si="335"/>
        <v>2023</v>
      </c>
      <c r="N1469" s="6">
        <v>9768</v>
      </c>
      <c r="O1469" s="6">
        <f t="shared" ref="O1469:O1476" si="350">-N1469</f>
        <v>-9768</v>
      </c>
      <c r="P1469" s="6">
        <f t="shared" si="342"/>
        <v>0</v>
      </c>
      <c r="Q1469" s="7">
        <f t="shared" si="343"/>
        <v>2730401.35</v>
      </c>
      <c r="R1469" s="44" t="str">
        <f>VLOOKUP(F1469,'Set up'!$A$2:$E$70,5,FALSE)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331"/>
        <v>3</v>
      </c>
      <c r="C1470" s="5">
        <f t="shared" si="332"/>
        <v>2023</v>
      </c>
      <c r="D1470" s="5" t="s">
        <v>1333</v>
      </c>
      <c r="E1470" s="5" t="str">
        <f>VLOOKUP(F1470,'Set up'!$A$2:$C$70,2,FALSE)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up'!$A$2:$C$70,3,FALSE)</f>
        <v>120</v>
      </c>
      <c r="J1470" s="5">
        <f>VLOOKUP(F1470,'Set up'!$A$2:$D$70,4,FALSE)</f>
        <v>120</v>
      </c>
      <c r="K1470" s="4">
        <f t="shared" si="333"/>
        <v>45119</v>
      </c>
      <c r="L1470" s="5">
        <f t="shared" si="334"/>
        <v>7</v>
      </c>
      <c r="M1470" s="5">
        <f t="shared" si="335"/>
        <v>2023</v>
      </c>
      <c r="N1470" s="6">
        <v>2070</v>
      </c>
      <c r="O1470" s="6">
        <f t="shared" si="350"/>
        <v>-2070</v>
      </c>
      <c r="P1470" s="6">
        <f t="shared" si="342"/>
        <v>0</v>
      </c>
      <c r="Q1470" s="7">
        <f t="shared" si="343"/>
        <v>2732471.35</v>
      </c>
      <c r="R1470" s="44" t="str">
        <f>VLOOKUP(F1470,'Set up'!$A$2:$E$70,5,FALSE)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si="331"/>
        <v>3</v>
      </c>
      <c r="C1471" s="5">
        <f t="shared" si="332"/>
        <v>2023</v>
      </c>
      <c r="D1471" s="5" t="s">
        <v>1333</v>
      </c>
      <c r="E1471" s="5" t="str">
        <f>VLOOKUP(F1471,'Set up'!$A$2:$C$70,2,FALSE)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up'!$A$2:$C$70,3,FALSE)</f>
        <v>120</v>
      </c>
      <c r="J1471" s="5">
        <f>VLOOKUP(F1471,'Set up'!$A$2:$D$70,4,FALSE)</f>
        <v>120</v>
      </c>
      <c r="K1471" s="4">
        <f t="shared" si="333"/>
        <v>45119</v>
      </c>
      <c r="L1471" s="5">
        <f t="shared" si="334"/>
        <v>7</v>
      </c>
      <c r="M1471" s="5">
        <f t="shared" si="335"/>
        <v>2023</v>
      </c>
      <c r="N1471" s="6">
        <v>840</v>
      </c>
      <c r="O1471" s="6">
        <f t="shared" si="350"/>
        <v>-840</v>
      </c>
      <c r="P1471" s="6">
        <f t="shared" ref="P1471:P1489" si="351">SUM(N1471+O1471)</f>
        <v>0</v>
      </c>
      <c r="Q1471" s="7">
        <f t="shared" ref="Q1471:Q1489" si="352">SUM(Q1470+N1471)</f>
        <v>2733311.35</v>
      </c>
      <c r="R1471" s="44" t="str">
        <f>VLOOKUP(F1471,'Set up'!$A$2:$E$70,5,FALSE)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331"/>
        <v>3</v>
      </c>
      <c r="C1472" s="5">
        <f t="shared" si="332"/>
        <v>2023</v>
      </c>
      <c r="D1472" s="5" t="s">
        <v>1335</v>
      </c>
      <c r="E1472" s="5" t="str">
        <f>VLOOKUP(F1472,'Set up'!$A$2:$C$70,2,FALSE)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up'!$A$2:$C$70,3,FALSE)</f>
        <v>Cash</v>
      </c>
      <c r="J1472" s="5">
        <f>VLOOKUP(F1472,'Set up'!$A$2:$D$70,4,FALSE)</f>
        <v>0</v>
      </c>
      <c r="K1472" s="4">
        <f t="shared" si="333"/>
        <v>44999</v>
      </c>
      <c r="L1472" s="5">
        <f t="shared" si="334"/>
        <v>3</v>
      </c>
      <c r="M1472" s="5">
        <f t="shared" si="335"/>
        <v>2023</v>
      </c>
      <c r="N1472" s="6">
        <v>625</v>
      </c>
      <c r="O1472" s="6">
        <f t="shared" si="350"/>
        <v>-625</v>
      </c>
      <c r="P1472" s="6">
        <f t="shared" si="351"/>
        <v>0</v>
      </c>
      <c r="Q1472" s="7">
        <f t="shared" si="352"/>
        <v>2733936.35</v>
      </c>
      <c r="R1472" s="44" t="str">
        <f>VLOOKUP(F1472,'Set up'!$A$2:$E$70,5,FALSE)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331"/>
        <v>3</v>
      </c>
      <c r="C1473" s="5">
        <f t="shared" si="332"/>
        <v>2023</v>
      </c>
      <c r="D1473" s="5" t="s">
        <v>1336</v>
      </c>
      <c r="E1473" s="5" t="str">
        <f>VLOOKUP(F1473,'Set up'!$A$2:$C$70,2,FALSE)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up'!$A$2:$C$70,3,FALSE)</f>
        <v>Cash</v>
      </c>
      <c r="J1473" s="5">
        <f>VLOOKUP(F1473,'Set up'!$A$2:$D$70,4,FALSE)</f>
        <v>0</v>
      </c>
      <c r="K1473" s="4">
        <f t="shared" si="333"/>
        <v>44999</v>
      </c>
      <c r="L1473" s="5">
        <f t="shared" si="334"/>
        <v>3</v>
      </c>
      <c r="M1473" s="5">
        <f t="shared" si="335"/>
        <v>2023</v>
      </c>
      <c r="N1473" s="6">
        <v>17380</v>
      </c>
      <c r="O1473" s="6">
        <f>-723.4-13000-3656.6</f>
        <v>-17380</v>
      </c>
      <c r="P1473" s="6">
        <f t="shared" si="351"/>
        <v>0</v>
      </c>
      <c r="Q1473" s="7">
        <f t="shared" si="352"/>
        <v>2751316.35</v>
      </c>
      <c r="R1473" s="44" t="str">
        <f>VLOOKUP(F1473,'Set up'!$A$2:$E$70,5,FALSE)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331"/>
        <v>3</v>
      </c>
      <c r="C1474" s="5">
        <f t="shared" si="332"/>
        <v>2023</v>
      </c>
      <c r="D1474" s="5" t="s">
        <v>1336</v>
      </c>
      <c r="E1474" s="5" t="str">
        <f>VLOOKUP(F1474,'Set up'!$A$2:$C$70,2,FALSE)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up'!$A$2:$C$70,3,FALSE)</f>
        <v>Cash</v>
      </c>
      <c r="J1474" s="5">
        <f>VLOOKUP(F1474,'Set up'!$A$2:$D$70,4,FALSE)</f>
        <v>0</v>
      </c>
      <c r="K1474" s="4">
        <f t="shared" si="333"/>
        <v>44999</v>
      </c>
      <c r="L1474" s="5">
        <f t="shared" si="334"/>
        <v>3</v>
      </c>
      <c r="M1474" s="5">
        <f t="shared" si="335"/>
        <v>2023</v>
      </c>
      <c r="N1474" s="6">
        <v>6384</v>
      </c>
      <c r="O1474" s="6">
        <f t="shared" si="350"/>
        <v>-6384</v>
      </c>
      <c r="P1474" s="6">
        <f t="shared" si="351"/>
        <v>0</v>
      </c>
      <c r="Q1474" s="7">
        <f t="shared" si="352"/>
        <v>2757700.35</v>
      </c>
      <c r="R1474" s="44" t="str">
        <f>VLOOKUP(F1474,'Set up'!$A$2:$E$70,5,FALSE)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ref="B1475:B1538" si="353">MONTH(A1475)</f>
        <v>3</v>
      </c>
      <c r="C1475" s="5">
        <f t="shared" ref="C1475:C1538" si="354">YEAR(A1475)</f>
        <v>2023</v>
      </c>
      <c r="D1475" s="5" t="s">
        <v>1336</v>
      </c>
      <c r="E1475" s="5" t="str">
        <f>VLOOKUP(F1475,'Set up'!$A$2:$C$70,2,FALSE)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up'!$A$2:$C$70,3,FALSE)</f>
        <v>Cash</v>
      </c>
      <c r="J1475" s="5">
        <f>VLOOKUP(F1475,'Set up'!$A$2:$D$70,4,FALSE)</f>
        <v>0</v>
      </c>
      <c r="K1475" s="4">
        <f t="shared" ref="K1475:K1538" si="355">A1475+J1475</f>
        <v>44999</v>
      </c>
      <c r="L1475" s="5">
        <f t="shared" ref="L1475:L1538" si="356">MONTH(K1475)</f>
        <v>3</v>
      </c>
      <c r="M1475" s="5">
        <f t="shared" ref="M1475:M1538" si="357">YEAR(K1475)</f>
        <v>2023</v>
      </c>
      <c r="N1475" s="6">
        <v>3024</v>
      </c>
      <c r="O1475" s="6">
        <f t="shared" si="350"/>
        <v>-3024</v>
      </c>
      <c r="P1475" s="6">
        <f t="shared" si="351"/>
        <v>0</v>
      </c>
      <c r="Q1475" s="7">
        <f t="shared" si="352"/>
        <v>2760724.35</v>
      </c>
      <c r="R1475" s="44" t="str">
        <f>VLOOKUP(F1475,'Set up'!$A$2:$E$70,5,FALSE)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353"/>
        <v>3</v>
      </c>
      <c r="C1476" s="5">
        <f t="shared" si="354"/>
        <v>2023</v>
      </c>
      <c r="D1476" s="5" t="s">
        <v>1336</v>
      </c>
      <c r="E1476" s="5" t="str">
        <f>VLOOKUP(F1476,'Set up'!$A$2:$C$70,2,FALSE)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up'!$A$2:$C$70,3,FALSE)</f>
        <v>Cash</v>
      </c>
      <c r="J1476" s="5">
        <f>VLOOKUP(F1476,'Set up'!$A$2:$D$70,4,FALSE)</f>
        <v>0</v>
      </c>
      <c r="K1476" s="4">
        <f t="shared" si="355"/>
        <v>44999</v>
      </c>
      <c r="L1476" s="5">
        <f t="shared" si="356"/>
        <v>3</v>
      </c>
      <c r="M1476" s="5">
        <f t="shared" si="357"/>
        <v>2023</v>
      </c>
      <c r="N1476" s="6">
        <v>380</v>
      </c>
      <c r="O1476" s="6">
        <f t="shared" si="350"/>
        <v>-380</v>
      </c>
      <c r="P1476" s="6">
        <f t="shared" si="351"/>
        <v>0</v>
      </c>
      <c r="Q1476" s="7">
        <f t="shared" si="352"/>
        <v>2761104.35</v>
      </c>
      <c r="R1476" s="44" t="str">
        <f>VLOOKUP(F1476,'Set up'!$A$2:$E$70,5,FALSE)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353"/>
        <v>3</v>
      </c>
      <c r="C1477" s="5">
        <f t="shared" si="354"/>
        <v>2023</v>
      </c>
      <c r="D1477" s="5" t="s">
        <v>1336</v>
      </c>
      <c r="E1477" s="5" t="str">
        <f>VLOOKUP(F1477,'Set up'!$A$2:$C$70,2,FALSE)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up'!$A$2:$C$70,3,FALSE)</f>
        <v>Cash</v>
      </c>
      <c r="J1477" s="5">
        <f>VLOOKUP(F1477,'Set up'!$A$2:$D$70,4,FALSE)</f>
        <v>0</v>
      </c>
      <c r="K1477" s="4">
        <f t="shared" si="355"/>
        <v>44999</v>
      </c>
      <c r="L1477" s="5">
        <f t="shared" si="356"/>
        <v>3</v>
      </c>
      <c r="M1477" s="5">
        <f t="shared" si="357"/>
        <v>2023</v>
      </c>
      <c r="N1477" s="6">
        <v>2000</v>
      </c>
      <c r="O1477" s="6">
        <f>-1555.4-444.6</f>
        <v>-2000</v>
      </c>
      <c r="P1477" s="6">
        <f t="shared" si="351"/>
        <v>0</v>
      </c>
      <c r="Q1477" s="7">
        <f t="shared" si="352"/>
        <v>2763104.35</v>
      </c>
      <c r="R1477" s="44" t="str">
        <f>VLOOKUP(F1477,'Set up'!$A$2:$E$70,5,FALSE)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353"/>
        <v>3</v>
      </c>
      <c r="C1478" s="5">
        <f t="shared" si="354"/>
        <v>2023</v>
      </c>
      <c r="D1478" s="5" t="s">
        <v>1337</v>
      </c>
      <c r="E1478" s="5" t="str">
        <f>VLOOKUP(F1478,'Set up'!$A$2:$C$70,2,FALSE)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up'!$A$2:$C$70,3,FALSE)</f>
        <v>Cash</v>
      </c>
      <c r="J1478" s="5">
        <f>VLOOKUP(F1478,'Set up'!$A$2:$D$70,4,FALSE)</f>
        <v>0</v>
      </c>
      <c r="K1478" s="4">
        <f t="shared" si="355"/>
        <v>44999</v>
      </c>
      <c r="L1478" s="5">
        <f t="shared" si="356"/>
        <v>3</v>
      </c>
      <c r="M1478" s="5">
        <f t="shared" si="357"/>
        <v>2023</v>
      </c>
      <c r="N1478" s="6">
        <v>200</v>
      </c>
      <c r="O1478" s="6">
        <f t="shared" ref="O1478:O1482" si="358">-N1478</f>
        <v>-200</v>
      </c>
      <c r="P1478" s="6">
        <f t="shared" si="351"/>
        <v>0</v>
      </c>
      <c r="Q1478" s="7">
        <f t="shared" si="352"/>
        <v>2763304.35</v>
      </c>
      <c r="R1478" s="44" t="str">
        <f>VLOOKUP(F1478,'Set up'!$A$2:$E$70,5,FALSE)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353"/>
        <v>3</v>
      </c>
      <c r="C1479" s="5">
        <f t="shared" si="354"/>
        <v>2023</v>
      </c>
      <c r="D1479" s="5" t="s">
        <v>1337</v>
      </c>
      <c r="E1479" s="5" t="str">
        <f>VLOOKUP(F1479,'Set up'!$A$2:$C$70,2,FALSE)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up'!$A$2:$C$70,3,FALSE)</f>
        <v>Cash</v>
      </c>
      <c r="J1479" s="5">
        <f>VLOOKUP(F1479,'Set up'!$A$2:$D$70,4,FALSE)</f>
        <v>0</v>
      </c>
      <c r="K1479" s="4">
        <f t="shared" si="355"/>
        <v>44999</v>
      </c>
      <c r="L1479" s="5">
        <f t="shared" si="356"/>
        <v>3</v>
      </c>
      <c r="M1479" s="5">
        <f t="shared" si="357"/>
        <v>2023</v>
      </c>
      <c r="N1479" s="6">
        <v>440</v>
      </c>
      <c r="O1479" s="6">
        <f t="shared" si="358"/>
        <v>-440</v>
      </c>
      <c r="P1479" s="6">
        <f t="shared" si="351"/>
        <v>0</v>
      </c>
      <c r="Q1479" s="7">
        <f t="shared" si="352"/>
        <v>2763744.35</v>
      </c>
      <c r="R1479" s="44" t="str">
        <f>VLOOKUP(F1479,'Set up'!$A$2:$E$70,5,FALSE)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353"/>
        <v>3</v>
      </c>
      <c r="C1480" s="5">
        <f t="shared" si="354"/>
        <v>2023</v>
      </c>
      <c r="D1480" s="5" t="s">
        <v>1338</v>
      </c>
      <c r="E1480" s="5" t="str">
        <f>VLOOKUP(F1480,'Set up'!$A$2:$C$70,2,FALSE)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up'!$A$2:$C$70,3,FALSE)</f>
        <v>60</v>
      </c>
      <c r="J1480" s="5">
        <f>VLOOKUP(F1480,'Set up'!$A$2:$D$70,4,FALSE)</f>
        <v>60</v>
      </c>
      <c r="K1480" s="4">
        <f t="shared" si="355"/>
        <v>45059</v>
      </c>
      <c r="L1480" s="5">
        <f t="shared" si="356"/>
        <v>5</v>
      </c>
      <c r="M1480" s="5">
        <f t="shared" si="357"/>
        <v>2023</v>
      </c>
      <c r="N1480" s="6">
        <v>3344</v>
      </c>
      <c r="O1480" s="6">
        <f t="shared" si="358"/>
        <v>-3344</v>
      </c>
      <c r="P1480" s="6">
        <f t="shared" si="351"/>
        <v>0</v>
      </c>
      <c r="Q1480" s="7">
        <f t="shared" si="352"/>
        <v>2767088.35</v>
      </c>
      <c r="R1480" s="44" t="str">
        <f>VLOOKUP(F1480,'Set up'!$A$2:$E$70,5,FALSE)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353"/>
        <v>3</v>
      </c>
      <c r="C1481" s="5">
        <f t="shared" si="354"/>
        <v>2023</v>
      </c>
      <c r="D1481" s="5" t="s">
        <v>1338</v>
      </c>
      <c r="E1481" s="5" t="str">
        <f>VLOOKUP(F1481,'Set up'!$A$2:$C$70,2,FALSE)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up'!$A$2:$C$70,3,FALSE)</f>
        <v>60</v>
      </c>
      <c r="J1481" s="5">
        <f>VLOOKUP(F1481,'Set up'!$A$2:$D$70,4,FALSE)</f>
        <v>60</v>
      </c>
      <c r="K1481" s="4">
        <f t="shared" si="355"/>
        <v>45059</v>
      </c>
      <c r="L1481" s="5">
        <f t="shared" si="356"/>
        <v>5</v>
      </c>
      <c r="M1481" s="5">
        <f t="shared" si="357"/>
        <v>2023</v>
      </c>
      <c r="N1481" s="6">
        <v>745.2</v>
      </c>
      <c r="O1481" s="6">
        <f t="shared" si="358"/>
        <v>-745.2</v>
      </c>
      <c r="P1481" s="6">
        <f t="shared" si="351"/>
        <v>0</v>
      </c>
      <c r="Q1481" s="7">
        <f t="shared" si="352"/>
        <v>2767833.5500000003</v>
      </c>
      <c r="R1481" s="44" t="str">
        <f>VLOOKUP(F1481,'Set up'!$A$2:$E$70,5,FALSE)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353"/>
        <v>3</v>
      </c>
      <c r="C1482" s="5">
        <f t="shared" si="354"/>
        <v>2023</v>
      </c>
      <c r="D1482" s="5" t="s">
        <v>1338</v>
      </c>
      <c r="E1482" s="5" t="str">
        <f>VLOOKUP(F1482,'Set up'!$A$2:$C$70,2,FALSE)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up'!$A$2:$C$70,3,FALSE)</f>
        <v>60</v>
      </c>
      <c r="J1482" s="5">
        <f>VLOOKUP(F1482,'Set up'!$A$2:$D$70,4,FALSE)</f>
        <v>60</v>
      </c>
      <c r="K1482" s="4">
        <f t="shared" si="355"/>
        <v>45059</v>
      </c>
      <c r="L1482" s="5">
        <f t="shared" si="356"/>
        <v>5</v>
      </c>
      <c r="M1482" s="5">
        <f t="shared" si="357"/>
        <v>2023</v>
      </c>
      <c r="N1482" s="6">
        <v>372.6</v>
      </c>
      <c r="O1482" s="6">
        <f t="shared" si="358"/>
        <v>-372.6</v>
      </c>
      <c r="P1482" s="6">
        <f t="shared" si="351"/>
        <v>0</v>
      </c>
      <c r="Q1482" s="7">
        <f t="shared" si="352"/>
        <v>2768206.1500000004</v>
      </c>
      <c r="R1482" s="44" t="str">
        <f>VLOOKUP(F1482,'Set up'!$A$2:$E$70,5,FALSE)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353"/>
        <v>3</v>
      </c>
      <c r="C1483" s="5">
        <f t="shared" si="354"/>
        <v>2023</v>
      </c>
      <c r="D1483" s="5" t="s">
        <v>1339</v>
      </c>
      <c r="E1483" s="5" t="str">
        <f>VLOOKUP(F1483,'Set up'!$A$2:$C$70,2,FALSE)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up'!$A$2:$C$70,3,FALSE)</f>
        <v>Cash</v>
      </c>
      <c r="J1483" s="5">
        <f>VLOOKUP(F1483,'Set up'!$A$2:$D$70,4,FALSE)</f>
        <v>0</v>
      </c>
      <c r="K1483" s="4">
        <f t="shared" si="355"/>
        <v>45001</v>
      </c>
      <c r="L1483" s="5">
        <f t="shared" si="356"/>
        <v>3</v>
      </c>
      <c r="M1483" s="5">
        <f t="shared" si="357"/>
        <v>2023</v>
      </c>
      <c r="N1483" s="6">
        <v>1870</v>
      </c>
      <c r="O1483" s="6">
        <f t="shared" ref="O1483:O1485" si="359">-N1483</f>
        <v>-1870</v>
      </c>
      <c r="P1483" s="6">
        <f t="shared" si="351"/>
        <v>0</v>
      </c>
      <c r="Q1483" s="7">
        <f t="shared" si="352"/>
        <v>2770076.1500000004</v>
      </c>
      <c r="R1483" s="44" t="str">
        <f>VLOOKUP(F1483,'Set up'!$A$2:$E$70,5,FALSE)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353"/>
        <v>3</v>
      </c>
      <c r="C1484" s="5">
        <f t="shared" si="354"/>
        <v>2023</v>
      </c>
      <c r="D1484" s="5" t="s">
        <v>1339</v>
      </c>
      <c r="E1484" s="5" t="str">
        <f>VLOOKUP(F1484,'Set up'!$A$2:$C$70,2,FALSE)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up'!$A$2:$C$70,3,FALSE)</f>
        <v>Cash</v>
      </c>
      <c r="J1484" s="5">
        <f>VLOOKUP(F1484,'Set up'!$A$2:$D$70,4,FALSE)</f>
        <v>0</v>
      </c>
      <c r="K1484" s="4">
        <f t="shared" si="355"/>
        <v>45001</v>
      </c>
      <c r="L1484" s="5">
        <f t="shared" si="356"/>
        <v>3</v>
      </c>
      <c r="M1484" s="5">
        <f t="shared" si="357"/>
        <v>2023</v>
      </c>
      <c r="N1484" s="6">
        <v>510</v>
      </c>
      <c r="O1484" s="6">
        <f t="shared" si="359"/>
        <v>-510</v>
      </c>
      <c r="P1484" s="6">
        <f t="shared" si="351"/>
        <v>0</v>
      </c>
      <c r="Q1484" s="7">
        <f t="shared" si="352"/>
        <v>2770586.1500000004</v>
      </c>
      <c r="R1484" s="44" t="str">
        <f>VLOOKUP(F1484,'Set up'!$A$2:$E$70,5,FALSE)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si="353"/>
        <v>3</v>
      </c>
      <c r="C1485" s="5">
        <f t="shared" si="354"/>
        <v>2023</v>
      </c>
      <c r="D1485" s="5" t="s">
        <v>1339</v>
      </c>
      <c r="E1485" s="5" t="str">
        <f>VLOOKUP(F1485,'Set up'!$A$2:$C$70,2,FALSE)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up'!$A$2:$C$70,3,FALSE)</f>
        <v>Cash</v>
      </c>
      <c r="J1485" s="5">
        <f>VLOOKUP(F1485,'Set up'!$A$2:$D$70,4,FALSE)</f>
        <v>0</v>
      </c>
      <c r="K1485" s="4">
        <f t="shared" si="355"/>
        <v>45001</v>
      </c>
      <c r="L1485" s="5">
        <f t="shared" si="356"/>
        <v>3</v>
      </c>
      <c r="M1485" s="5">
        <f t="shared" si="357"/>
        <v>2023</v>
      </c>
      <c r="N1485" s="6">
        <v>95</v>
      </c>
      <c r="O1485" s="6">
        <f t="shared" si="359"/>
        <v>-95</v>
      </c>
      <c r="P1485" s="6">
        <f t="shared" si="351"/>
        <v>0</v>
      </c>
      <c r="Q1485" s="7">
        <f t="shared" si="352"/>
        <v>2770681.1500000004</v>
      </c>
      <c r="R1485" s="44" t="str">
        <f>VLOOKUP(F1485,'Set up'!$A$2:$E$70,5,FALSE)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353"/>
        <v>3</v>
      </c>
      <c r="C1486" s="5">
        <f t="shared" si="354"/>
        <v>2023</v>
      </c>
      <c r="D1486" s="5" t="s">
        <v>1341</v>
      </c>
      <c r="E1486" s="5" t="str">
        <f>VLOOKUP(F1486,'Set up'!$A$2:$C$70,2,FALSE)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up'!$A$2:$C$70,3,FALSE)</f>
        <v>Cash</v>
      </c>
      <c r="J1486" s="5">
        <f>VLOOKUP(F1486,'Set up'!$A$2:$D$70,4,FALSE)</f>
        <v>0</v>
      </c>
      <c r="K1486" s="4">
        <f t="shared" si="355"/>
        <v>45001</v>
      </c>
      <c r="L1486" s="5">
        <f t="shared" si="356"/>
        <v>3</v>
      </c>
      <c r="M1486" s="5">
        <f t="shared" si="357"/>
        <v>2023</v>
      </c>
      <c r="N1486" s="6">
        <v>3608</v>
      </c>
      <c r="O1486" s="6">
        <f t="shared" ref="O1486:O1493" si="360">-N1486</f>
        <v>-3608</v>
      </c>
      <c r="P1486" s="6">
        <f t="shared" si="351"/>
        <v>0</v>
      </c>
      <c r="Q1486" s="7">
        <f t="shared" si="352"/>
        <v>2774289.1500000004</v>
      </c>
      <c r="R1486" s="44" t="str">
        <f>VLOOKUP(F1486,'Set up'!$A$2:$E$70,5,FALSE)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353"/>
        <v>3</v>
      </c>
      <c r="C1487" s="5">
        <f t="shared" si="354"/>
        <v>2023</v>
      </c>
      <c r="D1487" s="5" t="s">
        <v>1341</v>
      </c>
      <c r="E1487" s="5" t="str">
        <f>VLOOKUP(F1487,'Set up'!$A$2:$C$70,2,FALSE)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up'!$A$2:$C$70,3,FALSE)</f>
        <v>Cash</v>
      </c>
      <c r="J1487" s="5">
        <f>VLOOKUP(F1487,'Set up'!$A$2:$D$70,4,FALSE)</f>
        <v>0</v>
      </c>
      <c r="K1487" s="4">
        <f t="shared" si="355"/>
        <v>45001</v>
      </c>
      <c r="L1487" s="5">
        <f t="shared" si="356"/>
        <v>3</v>
      </c>
      <c r="M1487" s="5">
        <f t="shared" si="357"/>
        <v>2023</v>
      </c>
      <c r="N1487" s="6">
        <v>1896</v>
      </c>
      <c r="O1487" s="6">
        <f t="shared" si="360"/>
        <v>-1896</v>
      </c>
      <c r="P1487" s="6">
        <f t="shared" si="351"/>
        <v>0</v>
      </c>
      <c r="Q1487" s="7">
        <f t="shared" si="352"/>
        <v>2776185.1500000004</v>
      </c>
      <c r="R1487" s="44" t="str">
        <f>VLOOKUP(F1487,'Set up'!$A$2:$E$70,5,FALSE)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353"/>
        <v>3</v>
      </c>
      <c r="C1488" s="5">
        <f t="shared" si="354"/>
        <v>2023</v>
      </c>
      <c r="D1488" s="5" t="s">
        <v>1341</v>
      </c>
      <c r="E1488" s="5" t="str">
        <f>VLOOKUP(F1488,'Set up'!$A$2:$C$70,2,FALSE)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up'!$A$2:$C$70,3,FALSE)</f>
        <v>Cash</v>
      </c>
      <c r="J1488" s="5">
        <f>VLOOKUP(F1488,'Set up'!$A$2:$D$70,4,FALSE)</f>
        <v>0</v>
      </c>
      <c r="K1488" s="4">
        <f t="shared" si="355"/>
        <v>45001</v>
      </c>
      <c r="L1488" s="5">
        <f t="shared" si="356"/>
        <v>3</v>
      </c>
      <c r="M1488" s="5">
        <f t="shared" si="357"/>
        <v>2023</v>
      </c>
      <c r="N1488" s="6">
        <v>160</v>
      </c>
      <c r="O1488" s="6">
        <f t="shared" si="360"/>
        <v>-160</v>
      </c>
      <c r="P1488" s="6">
        <f t="shared" si="351"/>
        <v>0</v>
      </c>
      <c r="Q1488" s="7">
        <f t="shared" si="352"/>
        <v>2776345.1500000004</v>
      </c>
      <c r="R1488" s="44" t="str">
        <f>VLOOKUP(F1488,'Set up'!$A$2:$E$70,5,FALSE)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353"/>
        <v>3</v>
      </c>
      <c r="C1489" s="5">
        <f t="shared" si="354"/>
        <v>2023</v>
      </c>
      <c r="D1489" s="5" t="s">
        <v>1341</v>
      </c>
      <c r="E1489" s="5" t="str">
        <f>VLOOKUP(F1489,'Set up'!$A$2:$C$70,2,FALSE)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up'!$A$2:$C$70,3,FALSE)</f>
        <v>Cash</v>
      </c>
      <c r="J1489" s="5">
        <f>VLOOKUP(F1489,'Set up'!$A$2:$D$70,4,FALSE)</f>
        <v>0</v>
      </c>
      <c r="K1489" s="4">
        <f t="shared" si="355"/>
        <v>45001</v>
      </c>
      <c r="L1489" s="5">
        <f t="shared" si="356"/>
        <v>3</v>
      </c>
      <c r="M1489" s="5">
        <f t="shared" si="357"/>
        <v>2023</v>
      </c>
      <c r="N1489" s="6">
        <v>165</v>
      </c>
      <c r="O1489" s="6">
        <f t="shared" si="360"/>
        <v>-165</v>
      </c>
      <c r="P1489" s="6">
        <f t="shared" si="351"/>
        <v>0</v>
      </c>
      <c r="Q1489" s="7">
        <f t="shared" si="352"/>
        <v>2776510.1500000004</v>
      </c>
      <c r="R1489" s="44" t="str">
        <f>VLOOKUP(F1489,'Set up'!$A$2:$E$70,5,FALSE)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353"/>
        <v>3</v>
      </c>
      <c r="C1490" s="5">
        <f t="shared" si="354"/>
        <v>2023</v>
      </c>
      <c r="D1490" s="5" t="s">
        <v>1341</v>
      </c>
      <c r="E1490" s="5" t="str">
        <f>VLOOKUP(F1490,'Set up'!$A$2:$C$70,2,FALSE)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up'!$A$2:$C$70,3,FALSE)</f>
        <v>Cash</v>
      </c>
      <c r="J1490" s="5">
        <f>VLOOKUP(F1490,'Set up'!$A$2:$D$70,4,FALSE)</f>
        <v>0</v>
      </c>
      <c r="K1490" s="4">
        <f t="shared" si="355"/>
        <v>45001</v>
      </c>
      <c r="L1490" s="5">
        <f t="shared" si="356"/>
        <v>3</v>
      </c>
      <c r="M1490" s="5">
        <f t="shared" si="357"/>
        <v>2023</v>
      </c>
      <c r="N1490" s="6">
        <v>290</v>
      </c>
      <c r="O1490" s="6">
        <f t="shared" si="360"/>
        <v>-290</v>
      </c>
      <c r="P1490" s="6">
        <f t="shared" ref="P1490:P1509" si="361">SUM(N1490+O1490)</f>
        <v>0</v>
      </c>
      <c r="Q1490" s="7">
        <f t="shared" ref="Q1490:Q1509" si="362">SUM(Q1489+N1490)</f>
        <v>2776800.1500000004</v>
      </c>
      <c r="R1490" s="44" t="str">
        <f>VLOOKUP(F1490,'Set up'!$A$2:$E$70,5,FALSE)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353"/>
        <v>3</v>
      </c>
      <c r="C1491" s="5">
        <f t="shared" si="354"/>
        <v>2023</v>
      </c>
      <c r="D1491" s="5" t="s">
        <v>1341</v>
      </c>
      <c r="E1491" s="5" t="str">
        <f>VLOOKUP(F1491,'Set up'!$A$2:$C$70,2,FALSE)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up'!$A$2:$C$70,3,FALSE)</f>
        <v>Cash</v>
      </c>
      <c r="J1491" s="5">
        <f>VLOOKUP(F1491,'Set up'!$A$2:$D$70,4,FALSE)</f>
        <v>0</v>
      </c>
      <c r="K1491" s="4">
        <f t="shared" si="355"/>
        <v>45001</v>
      </c>
      <c r="L1491" s="5">
        <f t="shared" si="356"/>
        <v>3</v>
      </c>
      <c r="M1491" s="5">
        <f t="shared" si="357"/>
        <v>2023</v>
      </c>
      <c r="N1491" s="6">
        <v>516</v>
      </c>
      <c r="O1491" s="6">
        <f t="shared" si="360"/>
        <v>-516</v>
      </c>
      <c r="P1491" s="6">
        <f t="shared" si="361"/>
        <v>0</v>
      </c>
      <c r="Q1491" s="7">
        <f t="shared" si="362"/>
        <v>2777316.1500000004</v>
      </c>
      <c r="R1491" s="44" t="str">
        <f>VLOOKUP(F1491,'Set up'!$A$2:$E$70,5,FALSE)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353"/>
        <v>3</v>
      </c>
      <c r="C1492" s="5">
        <f t="shared" si="354"/>
        <v>2023</v>
      </c>
      <c r="D1492" s="5" t="s">
        <v>1341</v>
      </c>
      <c r="E1492" s="5" t="str">
        <f>VLOOKUP(F1492,'Set up'!$A$2:$C$70,2,FALSE)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up'!$A$2:$C$70,3,FALSE)</f>
        <v>Cash</v>
      </c>
      <c r="J1492" s="5">
        <f>VLOOKUP(F1492,'Set up'!$A$2:$D$70,4,FALSE)</f>
        <v>0</v>
      </c>
      <c r="K1492" s="4">
        <f t="shared" si="355"/>
        <v>45001</v>
      </c>
      <c r="L1492" s="5">
        <f t="shared" si="356"/>
        <v>3</v>
      </c>
      <c r="M1492" s="5">
        <f t="shared" si="357"/>
        <v>2023</v>
      </c>
      <c r="N1492" s="6">
        <v>190</v>
      </c>
      <c r="O1492" s="6">
        <f t="shared" si="360"/>
        <v>-190</v>
      </c>
      <c r="P1492" s="6">
        <f t="shared" si="361"/>
        <v>0</v>
      </c>
      <c r="Q1492" s="7">
        <f t="shared" si="362"/>
        <v>2777506.1500000004</v>
      </c>
      <c r="R1492" s="44" t="str">
        <f>VLOOKUP(F1492,'Set up'!$A$2:$E$70,5,FALSE)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353"/>
        <v>3</v>
      </c>
      <c r="C1493" s="5">
        <f t="shared" si="354"/>
        <v>2023</v>
      </c>
      <c r="D1493" s="5" t="s">
        <v>1341</v>
      </c>
      <c r="E1493" s="5" t="str">
        <f>VLOOKUP(F1493,'Set up'!$A$2:$C$70,2,FALSE)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up'!$A$2:$C$70,3,FALSE)</f>
        <v>Cash</v>
      </c>
      <c r="J1493" s="5">
        <f>VLOOKUP(F1493,'Set up'!$A$2:$D$70,4,FALSE)</f>
        <v>0</v>
      </c>
      <c r="K1493" s="4">
        <f t="shared" si="355"/>
        <v>45001</v>
      </c>
      <c r="L1493" s="5">
        <f t="shared" si="356"/>
        <v>3</v>
      </c>
      <c r="M1493" s="5">
        <f t="shared" si="357"/>
        <v>2023</v>
      </c>
      <c r="N1493" s="6">
        <v>200</v>
      </c>
      <c r="O1493" s="6">
        <f t="shared" si="360"/>
        <v>-200</v>
      </c>
      <c r="P1493" s="6">
        <f t="shared" si="361"/>
        <v>0</v>
      </c>
      <c r="Q1493" s="7">
        <f t="shared" si="362"/>
        <v>2777706.1500000004</v>
      </c>
      <c r="R1493" s="44" t="str">
        <f>VLOOKUP(F1493,'Set up'!$A$2:$E$70,5,FALSE)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353"/>
        <v>3</v>
      </c>
      <c r="C1494" s="5">
        <f t="shared" si="354"/>
        <v>2023</v>
      </c>
      <c r="D1494" s="5" t="s">
        <v>1344</v>
      </c>
      <c r="E1494" s="5" t="str">
        <f>VLOOKUP(F1494,'Set up'!$A$2:$C$70,2,FALSE)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up'!$A$2:$C$70,3,FALSE)</f>
        <v>30</v>
      </c>
      <c r="J1494" s="5">
        <f>VLOOKUP(F1494,'Set up'!$A$2:$D$70,4,FALSE)</f>
        <v>30</v>
      </c>
      <c r="K1494" s="4">
        <f t="shared" si="355"/>
        <v>45035</v>
      </c>
      <c r="L1494" s="5">
        <f t="shared" si="356"/>
        <v>4</v>
      </c>
      <c r="M1494" s="5">
        <f t="shared" si="357"/>
        <v>2023</v>
      </c>
      <c r="N1494" s="6">
        <v>3608</v>
      </c>
      <c r="O1494" s="6">
        <f t="shared" ref="O1494:O1500" si="363">-N1494</f>
        <v>-3608</v>
      </c>
      <c r="P1494" s="6">
        <f t="shared" si="361"/>
        <v>0</v>
      </c>
      <c r="Q1494" s="7">
        <f t="shared" si="362"/>
        <v>2781314.1500000004</v>
      </c>
      <c r="R1494" s="44" t="str">
        <f>VLOOKUP(F1494,'Set up'!$A$2:$E$70,5,FALSE)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353"/>
        <v>3</v>
      </c>
      <c r="C1495" s="5">
        <f t="shared" si="354"/>
        <v>2023</v>
      </c>
      <c r="D1495" s="5" t="s">
        <v>1344</v>
      </c>
      <c r="E1495" s="5" t="str">
        <f>VLOOKUP(F1495,'Set up'!$A$2:$C$70,2,FALSE)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up'!$A$2:$C$70,3,FALSE)</f>
        <v>30</v>
      </c>
      <c r="J1495" s="5">
        <f>VLOOKUP(F1495,'Set up'!$A$2:$D$70,4,FALSE)</f>
        <v>30</v>
      </c>
      <c r="K1495" s="4">
        <f t="shared" si="355"/>
        <v>45035</v>
      </c>
      <c r="L1495" s="5">
        <f t="shared" si="356"/>
        <v>4</v>
      </c>
      <c r="M1495" s="5">
        <f t="shared" si="357"/>
        <v>2023</v>
      </c>
      <c r="N1495" s="6">
        <v>842.4</v>
      </c>
      <c r="O1495" s="6">
        <f t="shared" si="363"/>
        <v>-842.4</v>
      </c>
      <c r="P1495" s="6">
        <f t="shared" si="361"/>
        <v>0</v>
      </c>
      <c r="Q1495" s="7">
        <f t="shared" si="362"/>
        <v>2782156.5500000003</v>
      </c>
      <c r="R1495" s="44" t="str">
        <f>VLOOKUP(F1495,'Set up'!$A$2:$E$70,5,FALSE)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353"/>
        <v>3</v>
      </c>
      <c r="C1496" s="5">
        <f t="shared" si="354"/>
        <v>2023</v>
      </c>
      <c r="D1496" s="5" t="s">
        <v>1346</v>
      </c>
      <c r="E1496" s="5" t="str">
        <f>VLOOKUP(F1496,'Set up'!$A$2:$C$70,2,FALSE)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up'!$A$2:$C$70,3,FALSE)</f>
        <v>Cash</v>
      </c>
      <c r="J1496" s="5">
        <f>VLOOKUP(F1496,'Set up'!$A$2:$D$70,4,FALSE)</f>
        <v>0</v>
      </c>
      <c r="K1496" s="4">
        <f t="shared" si="355"/>
        <v>45008</v>
      </c>
      <c r="L1496" s="5">
        <f t="shared" si="356"/>
        <v>3</v>
      </c>
      <c r="M1496" s="5">
        <f t="shared" si="357"/>
        <v>2023</v>
      </c>
      <c r="N1496" s="6">
        <v>312.5</v>
      </c>
      <c r="O1496" s="6">
        <f t="shared" si="363"/>
        <v>-312.5</v>
      </c>
      <c r="P1496" s="6">
        <f t="shared" si="361"/>
        <v>0</v>
      </c>
      <c r="Q1496" s="7">
        <f t="shared" si="362"/>
        <v>2782469.0500000003</v>
      </c>
      <c r="R1496" s="44" t="str">
        <f>VLOOKUP(F1496,'Set up'!$A$2:$E$70,5,FALSE)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353"/>
        <v>3</v>
      </c>
      <c r="C1497" s="5">
        <f t="shared" si="354"/>
        <v>2023</v>
      </c>
      <c r="D1497" s="5" t="s">
        <v>1347</v>
      </c>
      <c r="E1497" s="5" t="str">
        <f>VLOOKUP(F1497,'Set up'!$A$2:$C$70,2,FALSE)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up'!$A$2:$C$70,3,FALSE)</f>
        <v>Cash</v>
      </c>
      <c r="J1497" s="5">
        <f>VLOOKUP(F1497,'Set up'!$A$2:$D$70,4,FALSE)</f>
        <v>0</v>
      </c>
      <c r="K1497" s="4">
        <f t="shared" si="355"/>
        <v>45008</v>
      </c>
      <c r="L1497" s="5">
        <f t="shared" si="356"/>
        <v>3</v>
      </c>
      <c r="M1497" s="5">
        <f t="shared" si="357"/>
        <v>2023</v>
      </c>
      <c r="N1497" s="6">
        <v>8690</v>
      </c>
      <c r="O1497" s="6">
        <f t="shared" si="363"/>
        <v>-8690</v>
      </c>
      <c r="P1497" s="6">
        <f t="shared" si="361"/>
        <v>0</v>
      </c>
      <c r="Q1497" s="7">
        <f t="shared" si="362"/>
        <v>2791159.0500000003</v>
      </c>
      <c r="R1497" s="44" t="str">
        <f>VLOOKUP(F1497,'Set up'!$A$2:$E$70,5,FALSE)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353"/>
        <v>3</v>
      </c>
      <c r="C1498" s="5">
        <f t="shared" si="354"/>
        <v>2023</v>
      </c>
      <c r="D1498" s="5" t="s">
        <v>1347</v>
      </c>
      <c r="E1498" s="5" t="str">
        <f>VLOOKUP(F1498,'Set up'!$A$2:$C$70,2,FALSE)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up'!$A$2:$C$70,3,FALSE)</f>
        <v>Cash</v>
      </c>
      <c r="J1498" s="5">
        <f>VLOOKUP(F1498,'Set up'!$A$2:$D$70,4,FALSE)</f>
        <v>0</v>
      </c>
      <c r="K1498" s="4">
        <f t="shared" si="355"/>
        <v>45008</v>
      </c>
      <c r="L1498" s="5">
        <f t="shared" si="356"/>
        <v>3</v>
      </c>
      <c r="M1498" s="5">
        <f t="shared" si="357"/>
        <v>2023</v>
      </c>
      <c r="N1498" s="6">
        <v>3420</v>
      </c>
      <c r="O1498" s="6">
        <f t="shared" si="363"/>
        <v>-3420</v>
      </c>
      <c r="P1498" s="6">
        <f t="shared" si="361"/>
        <v>0</v>
      </c>
      <c r="Q1498" s="7">
        <f t="shared" si="362"/>
        <v>2794579.0500000003</v>
      </c>
      <c r="R1498" s="44" t="str">
        <f>VLOOKUP(F1498,'Set up'!$A$2:$E$70,5,FALSE)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353"/>
        <v>3</v>
      </c>
      <c r="C1499" s="5">
        <f t="shared" si="354"/>
        <v>2023</v>
      </c>
      <c r="D1499" s="5" t="s">
        <v>1347</v>
      </c>
      <c r="E1499" s="5" t="str">
        <f>VLOOKUP(F1499,'Set up'!$A$2:$C$70,2,FALSE)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up'!$A$2:$C$70,3,FALSE)</f>
        <v>Cash</v>
      </c>
      <c r="J1499" s="5">
        <f>VLOOKUP(F1499,'Set up'!$A$2:$D$70,4,FALSE)</f>
        <v>0</v>
      </c>
      <c r="K1499" s="4">
        <f t="shared" si="355"/>
        <v>45008</v>
      </c>
      <c r="L1499" s="5">
        <f t="shared" si="356"/>
        <v>3</v>
      </c>
      <c r="M1499" s="5">
        <f t="shared" si="357"/>
        <v>2023</v>
      </c>
      <c r="N1499" s="6">
        <v>2016</v>
      </c>
      <c r="O1499" s="6">
        <f t="shared" si="363"/>
        <v>-2016</v>
      </c>
      <c r="P1499" s="6">
        <f t="shared" si="361"/>
        <v>0</v>
      </c>
      <c r="Q1499" s="7">
        <f t="shared" si="362"/>
        <v>2796595.0500000003</v>
      </c>
      <c r="R1499" s="44" t="str">
        <f>VLOOKUP(F1499,'Set up'!$A$2:$E$70,5,FALSE)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353"/>
        <v>3</v>
      </c>
      <c r="C1500" s="5">
        <f t="shared" si="354"/>
        <v>2023</v>
      </c>
      <c r="D1500" s="5" t="s">
        <v>1347</v>
      </c>
      <c r="E1500" s="5" t="str">
        <f>VLOOKUP(F1500,'Set up'!$A$2:$C$70,2,FALSE)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up'!$A$2:$C$70,3,FALSE)</f>
        <v>Cash</v>
      </c>
      <c r="J1500" s="5">
        <f>VLOOKUP(F1500,'Set up'!$A$2:$D$70,4,FALSE)</f>
        <v>0</v>
      </c>
      <c r="K1500" s="4">
        <f t="shared" si="355"/>
        <v>45008</v>
      </c>
      <c r="L1500" s="5">
        <f t="shared" si="356"/>
        <v>3</v>
      </c>
      <c r="M1500" s="5">
        <f t="shared" si="357"/>
        <v>2023</v>
      </c>
      <c r="N1500" s="6">
        <v>380</v>
      </c>
      <c r="O1500" s="6">
        <f t="shared" si="363"/>
        <v>-380</v>
      </c>
      <c r="P1500" s="6">
        <f t="shared" si="361"/>
        <v>0</v>
      </c>
      <c r="Q1500" s="7">
        <f t="shared" si="362"/>
        <v>2796975.0500000003</v>
      </c>
      <c r="R1500" s="44" t="str">
        <f>VLOOKUP(F1500,'Set up'!$A$2:$E$70,5,FALSE)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353"/>
        <v>3</v>
      </c>
      <c r="C1501" s="5">
        <f t="shared" si="354"/>
        <v>2023</v>
      </c>
      <c r="D1501" s="5" t="s">
        <v>1347</v>
      </c>
      <c r="E1501" s="5" t="str">
        <f>VLOOKUP(F1501,'Set up'!$A$2:$C$70,2,FALSE)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up'!$A$2:$C$70,3,FALSE)</f>
        <v>Cash</v>
      </c>
      <c r="J1501" s="5">
        <f>VLOOKUP(F1501,'Set up'!$A$2:$D$70,4,FALSE)</f>
        <v>0</v>
      </c>
      <c r="K1501" s="4">
        <f t="shared" si="355"/>
        <v>45008</v>
      </c>
      <c r="L1501" s="5">
        <f t="shared" si="356"/>
        <v>3</v>
      </c>
      <c r="M1501" s="5">
        <f t="shared" si="357"/>
        <v>2023</v>
      </c>
      <c r="N1501" s="6">
        <v>1000</v>
      </c>
      <c r="O1501" s="6">
        <f>-436.9-563.1</f>
        <v>-1000</v>
      </c>
      <c r="P1501" s="6">
        <f t="shared" si="361"/>
        <v>0</v>
      </c>
      <c r="Q1501" s="7">
        <f t="shared" si="362"/>
        <v>2797975.0500000003</v>
      </c>
      <c r="R1501" s="44" t="str">
        <f>VLOOKUP(F1501,'Set up'!$A$2:$E$70,5,FALSE)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353"/>
        <v>3</v>
      </c>
      <c r="C1502" s="5">
        <f t="shared" si="354"/>
        <v>2023</v>
      </c>
      <c r="D1502" s="5" t="s">
        <v>1349</v>
      </c>
      <c r="E1502" s="5" t="str">
        <f>VLOOKUP(F1502,'Set up'!$A$2:$C$70,2,FALSE)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up'!$A$2:$C$70,3,FALSE)</f>
        <v>Cash</v>
      </c>
      <c r="J1502" s="5">
        <f>VLOOKUP(F1502,'Set up'!$A$2:$D$70,4,FALSE)</f>
        <v>0</v>
      </c>
      <c r="K1502" s="4">
        <f t="shared" si="355"/>
        <v>45010</v>
      </c>
      <c r="L1502" s="5">
        <f t="shared" si="356"/>
        <v>3</v>
      </c>
      <c r="M1502" s="5">
        <f t="shared" si="357"/>
        <v>2023</v>
      </c>
      <c r="N1502" s="6">
        <v>1870</v>
      </c>
      <c r="O1502" s="6">
        <f t="shared" ref="O1502:O1504" si="364">-N1502</f>
        <v>-1870</v>
      </c>
      <c r="P1502" s="6">
        <f t="shared" si="361"/>
        <v>0</v>
      </c>
      <c r="Q1502" s="7">
        <f t="shared" si="362"/>
        <v>2799845.0500000003</v>
      </c>
      <c r="R1502" s="44" t="str">
        <f>VLOOKUP(F1502,'Set up'!$A$2:$E$70,5,FALSE)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353"/>
        <v>3</v>
      </c>
      <c r="C1503" s="5">
        <f t="shared" si="354"/>
        <v>2023</v>
      </c>
      <c r="D1503" s="5" t="s">
        <v>1349</v>
      </c>
      <c r="E1503" s="5" t="str">
        <f>VLOOKUP(F1503,'Set up'!$A$2:$C$70,2,FALSE)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up'!$A$2:$C$70,3,FALSE)</f>
        <v>Cash</v>
      </c>
      <c r="J1503" s="5">
        <f>VLOOKUP(F1503,'Set up'!$A$2:$D$70,4,FALSE)</f>
        <v>0</v>
      </c>
      <c r="K1503" s="4">
        <f t="shared" si="355"/>
        <v>45010</v>
      </c>
      <c r="L1503" s="5">
        <f t="shared" si="356"/>
        <v>3</v>
      </c>
      <c r="M1503" s="5">
        <f t="shared" si="357"/>
        <v>2023</v>
      </c>
      <c r="N1503" s="6">
        <v>1275</v>
      </c>
      <c r="O1503" s="6">
        <f t="shared" si="364"/>
        <v>-1275</v>
      </c>
      <c r="P1503" s="6">
        <f t="shared" si="361"/>
        <v>0</v>
      </c>
      <c r="Q1503" s="7">
        <f t="shared" si="362"/>
        <v>2801120.0500000003</v>
      </c>
      <c r="R1503" s="44" t="str">
        <f>VLOOKUP(F1503,'Set up'!$A$2:$E$70,5,FALSE)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353"/>
        <v>3</v>
      </c>
      <c r="C1504" s="5">
        <f t="shared" si="354"/>
        <v>2023</v>
      </c>
      <c r="D1504" s="5" t="s">
        <v>1349</v>
      </c>
      <c r="E1504" s="5" t="str">
        <f>VLOOKUP(F1504,'Set up'!$A$2:$C$70,2,FALSE)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up'!$A$2:$C$70,3,FALSE)</f>
        <v>Cash</v>
      </c>
      <c r="J1504" s="5">
        <f>VLOOKUP(F1504,'Set up'!$A$2:$D$70,4,FALSE)</f>
        <v>0</v>
      </c>
      <c r="K1504" s="4">
        <f t="shared" si="355"/>
        <v>45010</v>
      </c>
      <c r="L1504" s="5">
        <f t="shared" si="356"/>
        <v>3</v>
      </c>
      <c r="M1504" s="5">
        <f t="shared" si="357"/>
        <v>2023</v>
      </c>
      <c r="N1504" s="6">
        <v>95</v>
      </c>
      <c r="O1504" s="6">
        <f t="shared" si="364"/>
        <v>-95</v>
      </c>
      <c r="P1504" s="6">
        <f t="shared" si="361"/>
        <v>0</v>
      </c>
      <c r="Q1504" s="7">
        <f t="shared" si="362"/>
        <v>2801215.0500000003</v>
      </c>
      <c r="R1504" s="44" t="str">
        <f>VLOOKUP(F1504,'Set up'!$A$2:$E$70,5,FALSE)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353"/>
        <v>3</v>
      </c>
      <c r="C1505" s="5">
        <f t="shared" si="354"/>
        <v>2023</v>
      </c>
      <c r="D1505" s="5" t="s">
        <v>1353</v>
      </c>
      <c r="E1505" s="5" t="str">
        <f>VLOOKUP(F1505,'Set up'!$A$2:$C$70,2,FALSE)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up'!$A$2:$C$70,3,FALSE)</f>
        <v>Cash</v>
      </c>
      <c r="J1505" s="5">
        <f>VLOOKUP(F1505,'Set up'!$A$2:$D$70,4,FALSE)</f>
        <v>0</v>
      </c>
      <c r="K1505" s="4">
        <f t="shared" si="355"/>
        <v>45010</v>
      </c>
      <c r="L1505" s="5">
        <f t="shared" si="356"/>
        <v>3</v>
      </c>
      <c r="M1505" s="5">
        <f t="shared" si="357"/>
        <v>2023</v>
      </c>
      <c r="N1505" s="6">
        <v>1350</v>
      </c>
      <c r="O1505" s="6">
        <f t="shared" ref="O1505:O1510" si="365">-N1505</f>
        <v>-1350</v>
      </c>
      <c r="P1505" s="6">
        <f t="shared" si="361"/>
        <v>0</v>
      </c>
      <c r="Q1505" s="7">
        <f t="shared" si="362"/>
        <v>2802565.0500000003</v>
      </c>
      <c r="R1505" s="44" t="str">
        <f>VLOOKUP(F1505,'Set up'!$A$2:$E$70,5,FALSE)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353"/>
        <v>3</v>
      </c>
      <c r="C1506" s="5">
        <f t="shared" si="354"/>
        <v>2023</v>
      </c>
      <c r="D1506" s="5" t="s">
        <v>1353</v>
      </c>
      <c r="E1506" s="5" t="str">
        <f>VLOOKUP(F1506,'Set up'!$A$2:$C$70,2,FALSE)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up'!$A$2:$C$70,3,FALSE)</f>
        <v>Cash</v>
      </c>
      <c r="J1506" s="5">
        <f>VLOOKUP(F1506,'Set up'!$A$2:$D$70,4,FALSE)</f>
        <v>0</v>
      </c>
      <c r="K1506" s="4">
        <f t="shared" si="355"/>
        <v>45010</v>
      </c>
      <c r="L1506" s="5">
        <f t="shared" si="356"/>
        <v>3</v>
      </c>
      <c r="M1506" s="5">
        <f t="shared" si="357"/>
        <v>2023</v>
      </c>
      <c r="N1506" s="6">
        <v>225</v>
      </c>
      <c r="O1506" s="6">
        <f t="shared" si="365"/>
        <v>-225</v>
      </c>
      <c r="P1506" s="6">
        <f t="shared" si="361"/>
        <v>0</v>
      </c>
      <c r="Q1506" s="7">
        <f t="shared" si="362"/>
        <v>2802790.0500000003</v>
      </c>
      <c r="R1506" s="44" t="str">
        <f>VLOOKUP(F1506,'Set up'!$A$2:$E$70,5,FALSE)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353"/>
        <v>3</v>
      </c>
      <c r="C1507" s="5">
        <f t="shared" si="354"/>
        <v>2023</v>
      </c>
      <c r="D1507" s="5" t="s">
        <v>1354</v>
      </c>
      <c r="E1507" s="5" t="str">
        <f>VLOOKUP(F1507,'Set up'!$A$2:$C$70,2,FALSE)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up'!$A$2:$C$70,3,FALSE)</f>
        <v>Cash</v>
      </c>
      <c r="J1507" s="5">
        <f>VLOOKUP(F1507,'Set up'!$A$2:$D$70,4,FALSE)</f>
        <v>0</v>
      </c>
      <c r="K1507" s="4">
        <f t="shared" si="355"/>
        <v>45012</v>
      </c>
      <c r="L1507" s="5">
        <f t="shared" si="356"/>
        <v>3</v>
      </c>
      <c r="M1507" s="5">
        <f t="shared" si="357"/>
        <v>2023</v>
      </c>
      <c r="N1507" s="6">
        <v>3608</v>
      </c>
      <c r="O1507" s="6">
        <f t="shared" si="365"/>
        <v>-3608</v>
      </c>
      <c r="P1507" s="6">
        <f t="shared" si="361"/>
        <v>0</v>
      </c>
      <c r="Q1507" s="7">
        <f t="shared" si="362"/>
        <v>2806398.0500000003</v>
      </c>
      <c r="R1507" s="44" t="str">
        <f>VLOOKUP(F1507,'Set up'!$A$2:$E$70,5,FALSE)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353"/>
        <v>3</v>
      </c>
      <c r="C1508" s="5">
        <f t="shared" si="354"/>
        <v>2023</v>
      </c>
      <c r="D1508" s="5" t="s">
        <v>1354</v>
      </c>
      <c r="E1508" s="5" t="str">
        <f>VLOOKUP(F1508,'Set up'!$A$2:$C$70,2,FALSE)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up'!$A$2:$C$70,3,FALSE)</f>
        <v>Cash</v>
      </c>
      <c r="J1508" s="5">
        <f>VLOOKUP(F1508,'Set up'!$A$2:$D$70,4,FALSE)</f>
        <v>0</v>
      </c>
      <c r="K1508" s="4">
        <f t="shared" si="355"/>
        <v>45012</v>
      </c>
      <c r="L1508" s="5">
        <f t="shared" si="356"/>
        <v>3</v>
      </c>
      <c r="M1508" s="5">
        <f t="shared" si="357"/>
        <v>2023</v>
      </c>
      <c r="N1508" s="6">
        <v>450</v>
      </c>
      <c r="O1508" s="6">
        <f t="shared" si="365"/>
        <v>-450</v>
      </c>
      <c r="P1508" s="6">
        <f t="shared" si="361"/>
        <v>0</v>
      </c>
      <c r="Q1508" s="7">
        <f t="shared" si="362"/>
        <v>2806848.0500000003</v>
      </c>
      <c r="R1508" s="44" t="str">
        <f>VLOOKUP(F1508,'Set up'!$A$2:$E$70,5,FALSE)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si="353"/>
        <v>3</v>
      </c>
      <c r="C1509" s="5">
        <f t="shared" si="354"/>
        <v>2023</v>
      </c>
      <c r="D1509" s="5" t="s">
        <v>1354</v>
      </c>
      <c r="E1509" s="5" t="str">
        <f>VLOOKUP(F1509,'Set up'!$A$2:$C$70,2,FALSE)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up'!$A$2:$C$70,3,FALSE)</f>
        <v>Cash</v>
      </c>
      <c r="J1509" s="5">
        <f>VLOOKUP(F1509,'Set up'!$A$2:$D$70,4,FALSE)</f>
        <v>0</v>
      </c>
      <c r="K1509" s="4">
        <f t="shared" si="355"/>
        <v>45012</v>
      </c>
      <c r="L1509" s="5">
        <f t="shared" si="356"/>
        <v>3</v>
      </c>
      <c r="M1509" s="5">
        <f t="shared" si="357"/>
        <v>2023</v>
      </c>
      <c r="N1509" s="6">
        <v>472</v>
      </c>
      <c r="O1509" s="6">
        <f t="shared" si="365"/>
        <v>-472</v>
      </c>
      <c r="P1509" s="6">
        <f t="shared" si="361"/>
        <v>0</v>
      </c>
      <c r="Q1509" s="7">
        <f t="shared" si="362"/>
        <v>2807320.0500000003</v>
      </c>
      <c r="R1509" s="44" t="str">
        <f>VLOOKUP(F1509,'Set up'!$A$2:$E$70,5,FALSE)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353"/>
        <v>3</v>
      </c>
      <c r="C1510" s="5">
        <f t="shared" si="354"/>
        <v>2023</v>
      </c>
      <c r="D1510" s="5" t="s">
        <v>1358</v>
      </c>
      <c r="E1510" s="5" t="str">
        <f>VLOOKUP(F1510,'Set up'!$A$2:$C$70,2,FALSE)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up'!$A$2:$C$70,3,FALSE)</f>
        <v>Cash</v>
      </c>
      <c r="J1510" s="5">
        <f>VLOOKUP(F1510,'Set up'!$A$2:$D$70,4,FALSE)</f>
        <v>0</v>
      </c>
      <c r="K1510" s="4">
        <f t="shared" si="355"/>
        <v>45013</v>
      </c>
      <c r="L1510" s="5">
        <f t="shared" si="356"/>
        <v>3</v>
      </c>
      <c r="M1510" s="5">
        <f t="shared" si="357"/>
        <v>2023</v>
      </c>
      <c r="N1510" s="6">
        <v>1870</v>
      </c>
      <c r="O1510" s="6">
        <f t="shared" si="365"/>
        <v>-1870</v>
      </c>
      <c r="P1510" s="6">
        <f t="shared" ref="P1510:P1526" si="366">SUM(N1510+O1510)</f>
        <v>0</v>
      </c>
      <c r="Q1510" s="7">
        <f t="shared" ref="Q1510:Q1526" si="367">SUM(Q1509+N1510)</f>
        <v>2809190.0500000003</v>
      </c>
      <c r="R1510" s="44" t="str">
        <f>VLOOKUP(F1510,'Set up'!$A$2:$E$70,5,FALSE)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353"/>
        <v>3</v>
      </c>
      <c r="C1511" s="5">
        <f t="shared" si="354"/>
        <v>2023</v>
      </c>
      <c r="D1511" s="5" t="s">
        <v>1358</v>
      </c>
      <c r="E1511" s="5" t="str">
        <f>VLOOKUP(F1511,'Set up'!$A$2:$C$70,2,FALSE)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up'!$A$2:$C$70,3,FALSE)</f>
        <v>Cash</v>
      </c>
      <c r="J1511" s="5">
        <f>VLOOKUP(F1511,'Set up'!$A$2:$D$70,4,FALSE)</f>
        <v>0</v>
      </c>
      <c r="K1511" s="4">
        <f t="shared" si="355"/>
        <v>45013</v>
      </c>
      <c r="L1511" s="5">
        <f t="shared" si="356"/>
        <v>3</v>
      </c>
      <c r="M1511" s="5">
        <f t="shared" si="357"/>
        <v>2023</v>
      </c>
      <c r="N1511" s="6">
        <v>448.2</v>
      </c>
      <c r="O1511" s="6">
        <f>-130-318.2</f>
        <v>-448.2</v>
      </c>
      <c r="P1511" s="6">
        <f t="shared" si="366"/>
        <v>0</v>
      </c>
      <c r="Q1511" s="7">
        <f t="shared" si="367"/>
        <v>2809638.2500000005</v>
      </c>
      <c r="R1511" s="44" t="str">
        <f>VLOOKUP(F1511,'Set up'!$A$2:$E$70,5,FALSE)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353"/>
        <v>3</v>
      </c>
      <c r="C1512" s="5">
        <f t="shared" si="354"/>
        <v>2023</v>
      </c>
      <c r="D1512" s="5" t="s">
        <v>1358</v>
      </c>
      <c r="E1512" s="5" t="str">
        <f>VLOOKUP(F1512,'Set up'!$A$2:$C$70,2,FALSE)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up'!$A$2:$C$70,3,FALSE)</f>
        <v>Cash</v>
      </c>
      <c r="J1512" s="5">
        <f>VLOOKUP(F1512,'Set up'!$A$2:$D$70,4,FALSE)</f>
        <v>0</v>
      </c>
      <c r="K1512" s="4">
        <f t="shared" si="355"/>
        <v>45013</v>
      </c>
      <c r="L1512" s="5">
        <f t="shared" si="356"/>
        <v>3</v>
      </c>
      <c r="M1512" s="5">
        <f t="shared" si="357"/>
        <v>2023</v>
      </c>
      <c r="N1512" s="6">
        <v>258</v>
      </c>
      <c r="O1512" s="6">
        <f t="shared" ref="O1512:O1519" si="368">-N1512</f>
        <v>-258</v>
      </c>
      <c r="P1512" s="6">
        <f t="shared" si="366"/>
        <v>0</v>
      </c>
      <c r="Q1512" s="7">
        <f t="shared" si="367"/>
        <v>2809896.2500000005</v>
      </c>
      <c r="R1512" s="44" t="str">
        <f>VLOOKUP(F1512,'Set up'!$A$2:$E$70,5,FALSE)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353"/>
        <v>3</v>
      </c>
      <c r="C1513" s="5">
        <f t="shared" si="354"/>
        <v>2023</v>
      </c>
      <c r="D1513" s="5" t="s">
        <v>1358</v>
      </c>
      <c r="E1513" s="5" t="str">
        <f>VLOOKUP(F1513,'Set up'!$A$2:$C$70,2,FALSE)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up'!$A$2:$C$70,3,FALSE)</f>
        <v>Cash</v>
      </c>
      <c r="J1513" s="5">
        <f>VLOOKUP(F1513,'Set up'!$A$2:$D$70,4,FALSE)</f>
        <v>0</v>
      </c>
      <c r="K1513" s="4">
        <f t="shared" si="355"/>
        <v>45013</v>
      </c>
      <c r="L1513" s="5">
        <f t="shared" si="356"/>
        <v>3</v>
      </c>
      <c r="M1513" s="5">
        <f t="shared" si="357"/>
        <v>2023</v>
      </c>
      <c r="N1513" s="6">
        <v>450</v>
      </c>
      <c r="O1513" s="6">
        <f t="shared" si="368"/>
        <v>-450</v>
      </c>
      <c r="P1513" s="6">
        <f t="shared" si="366"/>
        <v>0</v>
      </c>
      <c r="Q1513" s="7">
        <f t="shared" si="367"/>
        <v>2810346.2500000005</v>
      </c>
      <c r="R1513" s="44" t="str">
        <f>VLOOKUP(F1513,'Set up'!$A$2:$E$70,5,FALSE)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353"/>
        <v>3</v>
      </c>
      <c r="C1514" s="5">
        <f t="shared" si="354"/>
        <v>2023</v>
      </c>
      <c r="D1514" s="5" t="s">
        <v>1361</v>
      </c>
      <c r="E1514" s="5" t="str">
        <f>VLOOKUP(F1514,'Set up'!$A$2:$C$70,2,FALSE)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up'!$A$2:$C$70,3,FALSE)</f>
        <v>30</v>
      </c>
      <c r="J1514" s="5">
        <f>VLOOKUP(F1514,'Set up'!$A$2:$D$70,4,FALSE)</f>
        <v>30</v>
      </c>
      <c r="K1514" s="4">
        <f t="shared" si="355"/>
        <v>45045</v>
      </c>
      <c r="L1514" s="5">
        <f t="shared" si="356"/>
        <v>4</v>
      </c>
      <c r="M1514" s="5">
        <f t="shared" si="357"/>
        <v>2023</v>
      </c>
      <c r="N1514" s="6">
        <v>3608</v>
      </c>
      <c r="O1514" s="6">
        <f t="shared" si="368"/>
        <v>-3608</v>
      </c>
      <c r="P1514" s="6">
        <f t="shared" si="366"/>
        <v>0</v>
      </c>
      <c r="Q1514" s="7">
        <f t="shared" si="367"/>
        <v>2813954.2500000005</v>
      </c>
      <c r="R1514" s="44" t="str">
        <f>VLOOKUP(F1514,'Set up'!$A$2:$E$70,5,FALSE)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353"/>
        <v>3</v>
      </c>
      <c r="C1515" s="5">
        <f t="shared" si="354"/>
        <v>2023</v>
      </c>
      <c r="D1515" s="5" t="s">
        <v>1361</v>
      </c>
      <c r="E1515" s="5" t="str">
        <f>VLOOKUP(F1515,'Set up'!$A$2:$C$70,2,FALSE)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up'!$A$2:$C$70,3,FALSE)</f>
        <v>30</v>
      </c>
      <c r="J1515" s="5">
        <f>VLOOKUP(F1515,'Set up'!$A$2:$D$70,4,FALSE)</f>
        <v>30</v>
      </c>
      <c r="K1515" s="4">
        <f t="shared" si="355"/>
        <v>45045</v>
      </c>
      <c r="L1515" s="5">
        <f t="shared" si="356"/>
        <v>4</v>
      </c>
      <c r="M1515" s="5">
        <f t="shared" si="357"/>
        <v>2023</v>
      </c>
      <c r="N1515" s="6">
        <v>1263.5999999999999</v>
      </c>
      <c r="O1515" s="6">
        <f t="shared" si="368"/>
        <v>-1263.5999999999999</v>
      </c>
      <c r="P1515" s="6">
        <f t="shared" si="366"/>
        <v>0</v>
      </c>
      <c r="Q1515" s="7">
        <f t="shared" si="367"/>
        <v>2815217.8500000006</v>
      </c>
      <c r="R1515" s="44" t="str">
        <f>VLOOKUP(F1515,'Set up'!$A$2:$E$70,5,FALSE)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353"/>
        <v>3</v>
      </c>
      <c r="C1516" s="5">
        <f t="shared" si="354"/>
        <v>2023</v>
      </c>
      <c r="D1516" s="5" t="s">
        <v>1361</v>
      </c>
      <c r="E1516" s="5" t="str">
        <f>VLOOKUP(F1516,'Set up'!$A$2:$C$70,2,FALSE)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up'!$A$2:$C$70,3,FALSE)</f>
        <v>30</v>
      </c>
      <c r="J1516" s="5">
        <f>VLOOKUP(F1516,'Set up'!$A$2:$D$70,4,FALSE)</f>
        <v>30</v>
      </c>
      <c r="K1516" s="4">
        <f t="shared" si="355"/>
        <v>45045</v>
      </c>
      <c r="L1516" s="5">
        <f t="shared" si="356"/>
        <v>4</v>
      </c>
      <c r="M1516" s="5">
        <f t="shared" si="357"/>
        <v>2023</v>
      </c>
      <c r="N1516" s="6">
        <v>190</v>
      </c>
      <c r="O1516" s="6">
        <f t="shared" si="368"/>
        <v>-190</v>
      </c>
      <c r="P1516" s="6">
        <f t="shared" si="366"/>
        <v>0</v>
      </c>
      <c r="Q1516" s="7">
        <f t="shared" si="367"/>
        <v>2815407.8500000006</v>
      </c>
      <c r="R1516" s="44" t="str">
        <f>VLOOKUP(F1516,'Set up'!$A$2:$E$70,5,FALSE)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353"/>
        <v>3</v>
      </c>
      <c r="C1517" s="5">
        <f t="shared" si="354"/>
        <v>2023</v>
      </c>
      <c r="D1517" s="5" t="s">
        <v>1361</v>
      </c>
      <c r="E1517" s="5" t="str">
        <f>VLOOKUP(F1517,'Set up'!$A$2:$C$70,2,FALSE)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up'!$A$2:$C$70,3,FALSE)</f>
        <v>30</v>
      </c>
      <c r="J1517" s="5">
        <f>VLOOKUP(F1517,'Set up'!$A$2:$D$70,4,FALSE)</f>
        <v>30</v>
      </c>
      <c r="K1517" s="4">
        <f t="shared" si="355"/>
        <v>45045</v>
      </c>
      <c r="L1517" s="5">
        <f t="shared" si="356"/>
        <v>4</v>
      </c>
      <c r="M1517" s="5">
        <f t="shared" si="357"/>
        <v>2023</v>
      </c>
      <c r="N1517" s="6">
        <v>520</v>
      </c>
      <c r="O1517" s="6">
        <f t="shared" si="368"/>
        <v>-520</v>
      </c>
      <c r="P1517" s="6">
        <f t="shared" si="366"/>
        <v>0</v>
      </c>
      <c r="Q1517" s="7">
        <f t="shared" si="367"/>
        <v>2815927.8500000006</v>
      </c>
      <c r="R1517" s="44" t="str">
        <f>VLOOKUP(F1517,'Set up'!$A$2:$E$70,5,FALSE)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353"/>
        <v>3</v>
      </c>
      <c r="C1518" s="5">
        <f t="shared" si="354"/>
        <v>2023</v>
      </c>
      <c r="D1518" s="5" t="s">
        <v>1361</v>
      </c>
      <c r="E1518" s="5" t="str">
        <f>VLOOKUP(F1518,'Set up'!$A$2:$C$70,2,FALSE)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up'!$A$2:$C$70,3,FALSE)</f>
        <v>30</v>
      </c>
      <c r="J1518" s="5">
        <f>VLOOKUP(F1518,'Set up'!$A$2:$D$70,4,FALSE)</f>
        <v>30</v>
      </c>
      <c r="K1518" s="4">
        <f t="shared" si="355"/>
        <v>45045</v>
      </c>
      <c r="L1518" s="5">
        <f t="shared" si="356"/>
        <v>4</v>
      </c>
      <c r="M1518" s="5">
        <f t="shared" si="357"/>
        <v>2023</v>
      </c>
      <c r="N1518" s="6">
        <v>875</v>
      </c>
      <c r="O1518" s="6">
        <f t="shared" si="368"/>
        <v>-875</v>
      </c>
      <c r="P1518" s="6">
        <f t="shared" si="366"/>
        <v>0</v>
      </c>
      <c r="Q1518" s="7">
        <f t="shared" si="367"/>
        <v>2816802.8500000006</v>
      </c>
      <c r="R1518" s="44" t="str">
        <f>VLOOKUP(F1518,'Set up'!$A$2:$E$70,5,FALSE)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353"/>
        <v>3</v>
      </c>
      <c r="C1519" s="5">
        <f t="shared" si="354"/>
        <v>2023</v>
      </c>
      <c r="D1519" s="5" t="s">
        <v>1361</v>
      </c>
      <c r="E1519" s="5" t="str">
        <f>VLOOKUP(F1519,'Set up'!$A$2:$C$70,2,FALSE)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up'!$A$2:$C$70,3,FALSE)</f>
        <v>30</v>
      </c>
      <c r="J1519" s="5">
        <f>VLOOKUP(F1519,'Set up'!$A$2:$D$70,4,FALSE)</f>
        <v>30</v>
      </c>
      <c r="K1519" s="4">
        <f t="shared" si="355"/>
        <v>45045</v>
      </c>
      <c r="L1519" s="5">
        <f t="shared" si="356"/>
        <v>4</v>
      </c>
      <c r="M1519" s="5">
        <f t="shared" si="357"/>
        <v>2023</v>
      </c>
      <c r="N1519" s="6">
        <v>187.5</v>
      </c>
      <c r="O1519" s="6">
        <f t="shared" si="368"/>
        <v>-187.5</v>
      </c>
      <c r="P1519" s="6">
        <f t="shared" si="366"/>
        <v>0</v>
      </c>
      <c r="Q1519" s="7">
        <f t="shared" si="367"/>
        <v>2816990.3500000006</v>
      </c>
      <c r="R1519" s="44" t="str">
        <f>VLOOKUP(F1519,'Set up'!$A$2:$E$70,5,FALSE)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353"/>
        <v>3</v>
      </c>
      <c r="C1520" s="5">
        <f t="shared" si="354"/>
        <v>2023</v>
      </c>
      <c r="D1520" s="5" t="s">
        <v>1363</v>
      </c>
      <c r="E1520" s="5" t="str">
        <f>VLOOKUP(F1520,'Set up'!$A$2:$C$70,2,FALSE)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up'!$A$2:$C$70,3,FALSE)</f>
        <v>Cash</v>
      </c>
      <c r="J1520" s="5">
        <f>VLOOKUP(F1520,'Set up'!$A$2:$D$70,4,FALSE)</f>
        <v>0</v>
      </c>
      <c r="K1520" s="4">
        <f t="shared" si="355"/>
        <v>45015</v>
      </c>
      <c r="L1520" s="5">
        <f t="shared" si="356"/>
        <v>3</v>
      </c>
      <c r="M1520" s="5">
        <f t="shared" si="357"/>
        <v>2023</v>
      </c>
      <c r="N1520" s="6">
        <v>300</v>
      </c>
      <c r="O1520" s="6">
        <f t="shared" ref="O1520:O1526" si="369">-N1520</f>
        <v>-300</v>
      </c>
      <c r="P1520" s="6">
        <f t="shared" si="366"/>
        <v>0</v>
      </c>
      <c r="Q1520" s="7">
        <f t="shared" si="367"/>
        <v>2817290.3500000006</v>
      </c>
      <c r="R1520" s="44" t="str">
        <f>VLOOKUP(F1520,'Set up'!$A$2:$E$70,5,FALSE)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353"/>
        <v>3</v>
      </c>
      <c r="C1521" s="5">
        <f t="shared" si="354"/>
        <v>2023</v>
      </c>
      <c r="D1521" s="5" t="s">
        <v>1364</v>
      </c>
      <c r="E1521" s="5" t="str">
        <f>VLOOKUP(F1521,'Set up'!$A$2:$C$70,2,FALSE)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up'!$A$2:$C$70,3,FALSE)</f>
        <v>Cash</v>
      </c>
      <c r="J1521" s="5">
        <f>VLOOKUP(F1521,'Set up'!$A$2:$D$70,4,FALSE)</f>
        <v>0</v>
      </c>
      <c r="K1521" s="4">
        <f t="shared" si="355"/>
        <v>45015</v>
      </c>
      <c r="L1521" s="5">
        <f t="shared" si="356"/>
        <v>3</v>
      </c>
      <c r="M1521" s="5">
        <f t="shared" si="357"/>
        <v>2023</v>
      </c>
      <c r="N1521" s="6">
        <v>187.5</v>
      </c>
      <c r="O1521" s="6">
        <f t="shared" si="369"/>
        <v>-187.5</v>
      </c>
      <c r="P1521" s="6">
        <f t="shared" si="366"/>
        <v>0</v>
      </c>
      <c r="Q1521" s="7">
        <f t="shared" si="367"/>
        <v>2817477.8500000006</v>
      </c>
      <c r="R1521" s="44" t="str">
        <f>VLOOKUP(F1521,'Set up'!$A$2:$E$70,5,FALSE)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353"/>
        <v>3</v>
      </c>
      <c r="C1522" s="5">
        <f t="shared" si="354"/>
        <v>2023</v>
      </c>
      <c r="D1522" s="5" t="s">
        <v>1365</v>
      </c>
      <c r="E1522" s="5" t="str">
        <f>VLOOKUP(F1522,'Set up'!$A$2:$C$70,2,FALSE)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up'!$A$2:$C$70,3,FALSE)</f>
        <v>Cash</v>
      </c>
      <c r="J1522" s="5">
        <f>VLOOKUP(F1522,'Set up'!$A$2:$D$70,4,FALSE)</f>
        <v>0</v>
      </c>
      <c r="K1522" s="4">
        <f t="shared" si="355"/>
        <v>45015</v>
      </c>
      <c r="L1522" s="5">
        <f t="shared" si="356"/>
        <v>3</v>
      </c>
      <c r="M1522" s="5">
        <f t="shared" si="357"/>
        <v>2023</v>
      </c>
      <c r="N1522" s="6">
        <v>312.5</v>
      </c>
      <c r="O1522" s="6">
        <f t="shared" si="369"/>
        <v>-312.5</v>
      </c>
      <c r="P1522" s="6">
        <f t="shared" si="366"/>
        <v>0</v>
      </c>
      <c r="Q1522" s="7">
        <f t="shared" si="367"/>
        <v>2817790.3500000006</v>
      </c>
      <c r="R1522" s="44" t="str">
        <f>VLOOKUP(F1522,'Set up'!$A$2:$E$70,5,FALSE)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353"/>
        <v>3</v>
      </c>
      <c r="C1523" s="5">
        <f t="shared" si="354"/>
        <v>2023</v>
      </c>
      <c r="D1523" s="5" t="s">
        <v>1366</v>
      </c>
      <c r="E1523" s="5" t="str">
        <f>VLOOKUP(F1523,'Set up'!$A$2:$C$70,2,FALSE)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up'!$A$2:$C$70,3,FALSE)</f>
        <v>Cash</v>
      </c>
      <c r="J1523" s="5">
        <f>VLOOKUP(F1523,'Set up'!$A$2:$D$70,4,FALSE)</f>
        <v>0</v>
      </c>
      <c r="K1523" s="4">
        <f t="shared" si="355"/>
        <v>45015</v>
      </c>
      <c r="L1523" s="5">
        <f t="shared" si="356"/>
        <v>3</v>
      </c>
      <c r="M1523" s="5">
        <f t="shared" si="357"/>
        <v>2023</v>
      </c>
      <c r="N1523" s="6">
        <v>8690</v>
      </c>
      <c r="O1523" s="6">
        <f t="shared" si="369"/>
        <v>-8690</v>
      </c>
      <c r="P1523" s="6">
        <f t="shared" si="366"/>
        <v>0</v>
      </c>
      <c r="Q1523" s="7">
        <f t="shared" si="367"/>
        <v>2826480.3500000006</v>
      </c>
      <c r="R1523" s="44" t="str">
        <f>VLOOKUP(F1523,'Set up'!$A$2:$E$70,5,FALSE)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353"/>
        <v>3</v>
      </c>
      <c r="C1524" s="5">
        <f t="shared" si="354"/>
        <v>2023</v>
      </c>
      <c r="D1524" s="5" t="s">
        <v>1366</v>
      </c>
      <c r="E1524" s="5" t="str">
        <f>VLOOKUP(F1524,'Set up'!$A$2:$C$70,2,FALSE)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up'!$A$2:$C$70,3,FALSE)</f>
        <v>Cash</v>
      </c>
      <c r="J1524" s="5">
        <f>VLOOKUP(F1524,'Set up'!$A$2:$D$70,4,FALSE)</f>
        <v>0</v>
      </c>
      <c r="K1524" s="4">
        <f t="shared" si="355"/>
        <v>45015</v>
      </c>
      <c r="L1524" s="5">
        <f t="shared" si="356"/>
        <v>3</v>
      </c>
      <c r="M1524" s="5">
        <f t="shared" si="357"/>
        <v>2023</v>
      </c>
      <c r="N1524" s="6">
        <v>2280</v>
      </c>
      <c r="O1524" s="6">
        <f t="shared" si="369"/>
        <v>-2280</v>
      </c>
      <c r="P1524" s="6">
        <f t="shared" si="366"/>
        <v>0</v>
      </c>
      <c r="Q1524" s="7">
        <f t="shared" si="367"/>
        <v>2828760.3500000006</v>
      </c>
      <c r="R1524" s="44" t="str">
        <f>VLOOKUP(F1524,'Set up'!$A$2:$E$70,5,FALSE)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353"/>
        <v>3</v>
      </c>
      <c r="C1525" s="5">
        <f t="shared" si="354"/>
        <v>2023</v>
      </c>
      <c r="D1525" s="5" t="s">
        <v>1366</v>
      </c>
      <c r="E1525" s="5" t="str">
        <f>VLOOKUP(F1525,'Set up'!$A$2:$C$70,2,FALSE)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up'!$A$2:$C$70,3,FALSE)</f>
        <v>Cash</v>
      </c>
      <c r="J1525" s="5">
        <f>VLOOKUP(F1525,'Set up'!$A$2:$D$70,4,FALSE)</f>
        <v>0</v>
      </c>
      <c r="K1525" s="4">
        <f t="shared" si="355"/>
        <v>45015</v>
      </c>
      <c r="L1525" s="5">
        <f t="shared" si="356"/>
        <v>3</v>
      </c>
      <c r="M1525" s="5">
        <f t="shared" si="357"/>
        <v>2023</v>
      </c>
      <c r="N1525" s="6">
        <v>1260</v>
      </c>
      <c r="O1525" s="6">
        <f t="shared" si="369"/>
        <v>-1260</v>
      </c>
      <c r="P1525" s="6">
        <f t="shared" si="366"/>
        <v>0</v>
      </c>
      <c r="Q1525" s="7">
        <f t="shared" si="367"/>
        <v>2830020.3500000006</v>
      </c>
      <c r="R1525" s="44" t="str">
        <f>VLOOKUP(F1525,'Set up'!$A$2:$E$70,5,FALSE)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353"/>
        <v>3</v>
      </c>
      <c r="C1526" s="5">
        <f t="shared" si="354"/>
        <v>2023</v>
      </c>
      <c r="D1526" s="5" t="s">
        <v>1366</v>
      </c>
      <c r="E1526" s="5" t="str">
        <f>VLOOKUP(F1526,'Set up'!$A$2:$C$70,2,FALSE)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up'!$A$2:$C$70,3,FALSE)</f>
        <v>Cash</v>
      </c>
      <c r="J1526" s="5">
        <f>VLOOKUP(F1526,'Set up'!$A$2:$D$70,4,FALSE)</f>
        <v>0</v>
      </c>
      <c r="K1526" s="4">
        <f t="shared" si="355"/>
        <v>45015</v>
      </c>
      <c r="L1526" s="5">
        <f t="shared" si="356"/>
        <v>3</v>
      </c>
      <c r="M1526" s="5">
        <f t="shared" si="357"/>
        <v>2023</v>
      </c>
      <c r="N1526" s="6">
        <v>380</v>
      </c>
      <c r="O1526" s="6">
        <f t="shared" si="369"/>
        <v>-380</v>
      </c>
      <c r="P1526" s="6">
        <f t="shared" si="366"/>
        <v>0</v>
      </c>
      <c r="Q1526" s="7">
        <f t="shared" si="367"/>
        <v>2830400.3500000006</v>
      </c>
      <c r="R1526" s="44" t="str">
        <f>VLOOKUP(F1526,'Set up'!$A$2:$E$70,5,FALSE)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si="353"/>
        <v>4</v>
      </c>
      <c r="C1527" s="5">
        <f t="shared" si="354"/>
        <v>2023</v>
      </c>
      <c r="D1527" s="5" t="s">
        <v>1391</v>
      </c>
      <c r="E1527" s="5" t="str">
        <f>VLOOKUP(F1527,'Set up'!$A$2:$C$70,2,FALSE)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up'!$A$2:$C$70,3,FALSE)</f>
        <v>Cash</v>
      </c>
      <c r="J1527" s="5">
        <f>VLOOKUP(F1527,'Set up'!$A$2:$D$70,4,FALSE)</f>
        <v>0</v>
      </c>
      <c r="K1527" s="4">
        <f t="shared" si="355"/>
        <v>45019</v>
      </c>
      <c r="L1527" s="5">
        <f t="shared" si="356"/>
        <v>4</v>
      </c>
      <c r="M1527" s="5">
        <f t="shared" si="357"/>
        <v>2023</v>
      </c>
      <c r="N1527" s="6">
        <v>475.2</v>
      </c>
      <c r="O1527" s="6">
        <f t="shared" ref="O1527" si="370">-N1527</f>
        <v>-475.2</v>
      </c>
      <c r="P1527" s="6">
        <f t="shared" ref="P1527:P1577" si="371">SUM(N1527+O1527)</f>
        <v>0</v>
      </c>
      <c r="Q1527" s="7">
        <f t="shared" ref="Q1527:Q1577" si="372">SUM(Q1526+N1527)</f>
        <v>2830875.5500000007</v>
      </c>
      <c r="R1527" s="44" t="str">
        <f>VLOOKUP(F1527,'Set up'!$A$2:$E$70,5,FALSE)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353"/>
        <v>4</v>
      </c>
      <c r="C1528" s="5">
        <f t="shared" si="354"/>
        <v>2023</v>
      </c>
      <c r="D1528" s="5" t="s">
        <v>1394</v>
      </c>
      <c r="E1528" s="5" t="str">
        <f>VLOOKUP(F1528,'Set up'!$A$2:$C$70,2,FALSE)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up'!$A$2:$C$70,3,FALSE)</f>
        <v>Cash</v>
      </c>
      <c r="J1528" s="5">
        <f>VLOOKUP(F1528,'Set up'!$A$2:$D$70,4,FALSE)</f>
        <v>0</v>
      </c>
      <c r="K1528" s="4">
        <f t="shared" si="355"/>
        <v>45019</v>
      </c>
      <c r="L1528" s="5">
        <f t="shared" si="356"/>
        <v>4</v>
      </c>
      <c r="M1528" s="5">
        <f t="shared" si="357"/>
        <v>2023</v>
      </c>
      <c r="N1528" s="6">
        <v>1848</v>
      </c>
      <c r="O1528" s="6">
        <f t="shared" ref="O1528:O1545" si="373">-N1528</f>
        <v>-1848</v>
      </c>
      <c r="P1528" s="6">
        <f t="shared" si="371"/>
        <v>0</v>
      </c>
      <c r="Q1528" s="7">
        <f t="shared" si="372"/>
        <v>2832723.5500000007</v>
      </c>
      <c r="R1528" s="44" t="str">
        <f>VLOOKUP(F1528,'Set up'!$A$2:$E$70,5,FALSE)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353"/>
        <v>4</v>
      </c>
      <c r="C1529" s="5">
        <f t="shared" si="354"/>
        <v>2023</v>
      </c>
      <c r="D1529" s="5" t="s">
        <v>1394</v>
      </c>
      <c r="E1529" s="5" t="str">
        <f>VLOOKUP(F1529,'Set up'!$A$2:$C$70,2,FALSE)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up'!$A$2:$C$70,3,FALSE)</f>
        <v>Cash</v>
      </c>
      <c r="J1529" s="5">
        <f>VLOOKUP(F1529,'Set up'!$A$2:$D$70,4,FALSE)</f>
        <v>0</v>
      </c>
      <c r="K1529" s="4">
        <f t="shared" si="355"/>
        <v>45019</v>
      </c>
      <c r="L1529" s="5">
        <f t="shared" si="356"/>
        <v>4</v>
      </c>
      <c r="M1529" s="5">
        <f t="shared" si="357"/>
        <v>2023</v>
      </c>
      <c r="N1529" s="6">
        <v>1125</v>
      </c>
      <c r="O1529" s="6">
        <f t="shared" si="373"/>
        <v>-1125</v>
      </c>
      <c r="P1529" s="6">
        <f t="shared" si="371"/>
        <v>0</v>
      </c>
      <c r="Q1529" s="7">
        <f t="shared" si="372"/>
        <v>2833848.5500000007</v>
      </c>
      <c r="R1529" s="44" t="str">
        <f>VLOOKUP(F1529,'Set up'!$A$2:$E$70,5,FALSE)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353"/>
        <v>4</v>
      </c>
      <c r="C1530" s="5">
        <f t="shared" si="354"/>
        <v>2023</v>
      </c>
      <c r="D1530" s="5" t="s">
        <v>1394</v>
      </c>
      <c r="E1530" s="5" t="str">
        <f>VLOOKUP(F1530,'Set up'!$A$2:$C$70,2,FALSE)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up'!$A$2:$C$70,3,FALSE)</f>
        <v>Cash</v>
      </c>
      <c r="J1530" s="5">
        <f>VLOOKUP(F1530,'Set up'!$A$2:$D$70,4,FALSE)</f>
        <v>0</v>
      </c>
      <c r="K1530" s="4">
        <f t="shared" si="355"/>
        <v>45019</v>
      </c>
      <c r="L1530" s="5">
        <f t="shared" si="356"/>
        <v>4</v>
      </c>
      <c r="M1530" s="5">
        <f t="shared" si="357"/>
        <v>2023</v>
      </c>
      <c r="N1530" s="6">
        <v>225</v>
      </c>
      <c r="O1530" s="6">
        <f t="shared" si="373"/>
        <v>-225</v>
      </c>
      <c r="P1530" s="6">
        <f t="shared" si="371"/>
        <v>0</v>
      </c>
      <c r="Q1530" s="7">
        <f t="shared" si="372"/>
        <v>2834073.5500000007</v>
      </c>
      <c r="R1530" s="44" t="str">
        <f>VLOOKUP(F1530,'Set up'!$A$2:$E$70,5,FALSE)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353"/>
        <v>4</v>
      </c>
      <c r="C1531" s="5">
        <f t="shared" si="354"/>
        <v>2023</v>
      </c>
      <c r="D1531" s="5" t="s">
        <v>1394</v>
      </c>
      <c r="E1531" s="5" t="str">
        <f>VLOOKUP(F1531,'Set up'!$A$2:$C$70,2,FALSE)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up'!$A$2:$C$70,3,FALSE)</f>
        <v>Cash</v>
      </c>
      <c r="J1531" s="5">
        <f>VLOOKUP(F1531,'Set up'!$A$2:$D$70,4,FALSE)</f>
        <v>0</v>
      </c>
      <c r="K1531" s="4">
        <f t="shared" si="355"/>
        <v>45019</v>
      </c>
      <c r="L1531" s="5">
        <f t="shared" si="356"/>
        <v>4</v>
      </c>
      <c r="M1531" s="5">
        <f t="shared" si="357"/>
        <v>2023</v>
      </c>
      <c r="N1531" s="6">
        <v>472</v>
      </c>
      <c r="O1531" s="6">
        <f t="shared" si="373"/>
        <v>-472</v>
      </c>
      <c r="P1531" s="6">
        <f t="shared" si="371"/>
        <v>0</v>
      </c>
      <c r="Q1531" s="7">
        <f t="shared" si="372"/>
        <v>2834545.5500000007</v>
      </c>
      <c r="R1531" s="44" t="str">
        <f>VLOOKUP(F1531,'Set up'!$A$2:$E$70,5,FALSE)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353"/>
        <v>4</v>
      </c>
      <c r="C1532" s="5">
        <f t="shared" si="354"/>
        <v>2023</v>
      </c>
      <c r="D1532" s="5" t="s">
        <v>1394</v>
      </c>
      <c r="E1532" s="5" t="str">
        <f>VLOOKUP(F1532,'Set up'!$A$2:$C$70,2,FALSE)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up'!$A$2:$C$70,3,FALSE)</f>
        <v>Cash</v>
      </c>
      <c r="J1532" s="5">
        <f>VLOOKUP(F1532,'Set up'!$A$2:$D$70,4,FALSE)</f>
        <v>0</v>
      </c>
      <c r="K1532" s="4">
        <f t="shared" si="355"/>
        <v>45019</v>
      </c>
      <c r="L1532" s="5">
        <f t="shared" si="356"/>
        <v>4</v>
      </c>
      <c r="M1532" s="5">
        <f t="shared" si="357"/>
        <v>2023</v>
      </c>
      <c r="N1532" s="6">
        <v>100</v>
      </c>
      <c r="O1532" s="6">
        <f t="shared" si="373"/>
        <v>-100</v>
      </c>
      <c r="P1532" s="6">
        <f t="shared" si="371"/>
        <v>0</v>
      </c>
      <c r="Q1532" s="7">
        <f t="shared" si="372"/>
        <v>2834645.5500000007</v>
      </c>
      <c r="R1532" s="44" t="str">
        <f>VLOOKUP(F1532,'Set up'!$A$2:$E$70,5,FALSE)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353"/>
        <v>4</v>
      </c>
      <c r="C1533" s="5">
        <f t="shared" si="354"/>
        <v>2023</v>
      </c>
      <c r="D1533" s="5" t="s">
        <v>1394</v>
      </c>
      <c r="E1533" s="5" t="str">
        <f>VLOOKUP(F1533,'Set up'!$A$2:$C$70,2,FALSE)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up'!$A$2:$C$70,3,FALSE)</f>
        <v>Cash</v>
      </c>
      <c r="J1533" s="5">
        <f>VLOOKUP(F1533,'Set up'!$A$2:$D$70,4,FALSE)</f>
        <v>0</v>
      </c>
      <c r="K1533" s="4">
        <f t="shared" si="355"/>
        <v>45019</v>
      </c>
      <c r="L1533" s="5">
        <f t="shared" si="356"/>
        <v>4</v>
      </c>
      <c r="M1533" s="5">
        <f t="shared" si="357"/>
        <v>2023</v>
      </c>
      <c r="N1533" s="6">
        <v>420</v>
      </c>
      <c r="O1533" s="6">
        <f t="shared" si="373"/>
        <v>-420</v>
      </c>
      <c r="P1533" s="6">
        <f t="shared" si="371"/>
        <v>0</v>
      </c>
      <c r="Q1533" s="7">
        <f t="shared" si="372"/>
        <v>2835065.5500000007</v>
      </c>
      <c r="R1533" s="44" t="str">
        <f>VLOOKUP(F1533,'Set up'!$A$2:$E$70,5,FALSE)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353"/>
        <v>4</v>
      </c>
      <c r="C1534" s="5">
        <f t="shared" si="354"/>
        <v>2023</v>
      </c>
      <c r="D1534" s="5" t="s">
        <v>1394</v>
      </c>
      <c r="E1534" s="5" t="str">
        <f>VLOOKUP(F1534,'Set up'!$A$2:$C$70,2,FALSE)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up'!$A$2:$C$70,3,FALSE)</f>
        <v>Cash</v>
      </c>
      <c r="J1534" s="5">
        <f>VLOOKUP(F1534,'Set up'!$A$2:$D$70,4,FALSE)</f>
        <v>0</v>
      </c>
      <c r="K1534" s="4">
        <f t="shared" si="355"/>
        <v>45019</v>
      </c>
      <c r="L1534" s="5">
        <f t="shared" si="356"/>
        <v>4</v>
      </c>
      <c r="M1534" s="5">
        <f t="shared" si="357"/>
        <v>2023</v>
      </c>
      <c r="N1534" s="6">
        <v>250</v>
      </c>
      <c r="O1534" s="6">
        <f t="shared" si="373"/>
        <v>-250</v>
      </c>
      <c r="P1534" s="6">
        <f t="shared" si="371"/>
        <v>0</v>
      </c>
      <c r="Q1534" s="7">
        <f t="shared" si="372"/>
        <v>2835315.5500000007</v>
      </c>
      <c r="R1534" s="44" t="str">
        <f>VLOOKUP(F1534,'Set up'!$A$2:$E$70,5,FALSE)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353"/>
        <v>4</v>
      </c>
      <c r="C1535" s="5">
        <f t="shared" si="354"/>
        <v>2023</v>
      </c>
      <c r="D1535" s="5" t="s">
        <v>1395</v>
      </c>
      <c r="E1535" s="5" t="str">
        <f>VLOOKUP(F1535,'Set up'!$A$2:$C$70,2,FALSE)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up'!$A$2:$C$70,3,FALSE)</f>
        <v>Cash</v>
      </c>
      <c r="J1535" s="5">
        <f>VLOOKUP(F1535,'Set up'!$A$2:$D$70,4,FALSE)</f>
        <v>0</v>
      </c>
      <c r="K1535" s="4">
        <f t="shared" si="355"/>
        <v>45019</v>
      </c>
      <c r="L1535" s="5">
        <f t="shared" si="356"/>
        <v>4</v>
      </c>
      <c r="M1535" s="5">
        <f t="shared" si="357"/>
        <v>2023</v>
      </c>
      <c r="N1535" s="6">
        <v>264</v>
      </c>
      <c r="O1535" s="6">
        <f t="shared" si="373"/>
        <v>-264</v>
      </c>
      <c r="P1535" s="6">
        <f t="shared" si="371"/>
        <v>0</v>
      </c>
      <c r="Q1535" s="7">
        <f t="shared" si="372"/>
        <v>2835579.5500000007</v>
      </c>
      <c r="R1535" s="44" t="str">
        <f>VLOOKUP(F1535,'Set up'!$A$2:$E$70,5,FALSE)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353"/>
        <v>4</v>
      </c>
      <c r="C1536" s="5">
        <f t="shared" si="354"/>
        <v>2023</v>
      </c>
      <c r="D1536" s="5" t="s">
        <v>1395</v>
      </c>
      <c r="E1536" s="5" t="str">
        <f>VLOOKUP(F1536,'Set up'!$A$2:$C$70,2,FALSE)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up'!$A$2:$C$70,3,FALSE)</f>
        <v>Cash</v>
      </c>
      <c r="J1536" s="5">
        <f>VLOOKUP(F1536,'Set up'!$A$2:$D$70,4,FALSE)</f>
        <v>0</v>
      </c>
      <c r="K1536" s="4">
        <f t="shared" si="355"/>
        <v>45019</v>
      </c>
      <c r="L1536" s="5">
        <f t="shared" si="356"/>
        <v>4</v>
      </c>
      <c r="M1536" s="5">
        <f t="shared" si="357"/>
        <v>2023</v>
      </c>
      <c r="N1536" s="6">
        <v>70</v>
      </c>
      <c r="O1536" s="6">
        <f t="shared" si="373"/>
        <v>-70</v>
      </c>
      <c r="P1536" s="6">
        <f t="shared" si="371"/>
        <v>0</v>
      </c>
      <c r="Q1536" s="7">
        <f t="shared" si="372"/>
        <v>2835649.5500000007</v>
      </c>
      <c r="R1536" s="44" t="str">
        <f>VLOOKUP(F1536,'Set up'!$A$2:$E$70,5,FALSE)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353"/>
        <v>4</v>
      </c>
      <c r="C1537" s="5">
        <f t="shared" si="354"/>
        <v>2023</v>
      </c>
      <c r="D1537" s="5" t="s">
        <v>1395</v>
      </c>
      <c r="E1537" s="5" t="str">
        <f>VLOOKUP(F1537,'Set up'!$A$2:$C$70,2,FALSE)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up'!$A$2:$C$70,3,FALSE)</f>
        <v>Cash</v>
      </c>
      <c r="J1537" s="5">
        <f>VLOOKUP(F1537,'Set up'!$A$2:$D$70,4,FALSE)</f>
        <v>0</v>
      </c>
      <c r="K1537" s="4">
        <f t="shared" si="355"/>
        <v>45019</v>
      </c>
      <c r="L1537" s="5">
        <f t="shared" si="356"/>
        <v>4</v>
      </c>
      <c r="M1537" s="5">
        <f t="shared" si="357"/>
        <v>2023</v>
      </c>
      <c r="N1537" s="6">
        <v>118</v>
      </c>
      <c r="O1537" s="6">
        <f t="shared" si="373"/>
        <v>-118</v>
      </c>
      <c r="P1537" s="6">
        <f t="shared" si="371"/>
        <v>0</v>
      </c>
      <c r="Q1537" s="7">
        <f t="shared" si="372"/>
        <v>2835767.5500000007</v>
      </c>
      <c r="R1537" s="44" t="str">
        <f>VLOOKUP(F1537,'Set up'!$A$2:$E$70,5,FALSE)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353"/>
        <v>4</v>
      </c>
      <c r="C1538" s="5">
        <f t="shared" si="354"/>
        <v>2023</v>
      </c>
      <c r="D1538" s="5" t="s">
        <v>1400</v>
      </c>
      <c r="E1538" s="5" t="str">
        <f>VLOOKUP(F1538,'Set up'!$A$2:$C$70,2,FALSE)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up'!$A$2:$C$70,3,FALSE)</f>
        <v>Cash</v>
      </c>
      <c r="J1538" s="5">
        <f>VLOOKUP(F1538,'Set up'!$A$2:$D$70,4,FALSE)</f>
        <v>0</v>
      </c>
      <c r="K1538" s="4">
        <f t="shared" si="355"/>
        <v>45020</v>
      </c>
      <c r="L1538" s="5">
        <f t="shared" si="356"/>
        <v>4</v>
      </c>
      <c r="M1538" s="5">
        <f t="shared" si="357"/>
        <v>2023</v>
      </c>
      <c r="N1538" s="6">
        <v>7480</v>
      </c>
      <c r="O1538" s="6">
        <f t="shared" si="373"/>
        <v>-7480</v>
      </c>
      <c r="P1538" s="6">
        <f t="shared" si="371"/>
        <v>0</v>
      </c>
      <c r="Q1538" s="7">
        <f t="shared" si="372"/>
        <v>2843247.5500000007</v>
      </c>
      <c r="R1538" s="44" t="str">
        <f>VLOOKUP(F1538,'Set up'!$A$2:$E$70,5,FALSE)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ref="B1539:B1602" si="374">MONTH(A1539)</f>
        <v>4</v>
      </c>
      <c r="C1539" s="5">
        <f t="shared" ref="C1539:C1602" si="375">YEAR(A1539)</f>
        <v>2023</v>
      </c>
      <c r="D1539" s="5" t="s">
        <v>1400</v>
      </c>
      <c r="E1539" s="5" t="str">
        <f>VLOOKUP(F1539,'Set up'!$A$2:$C$70,2,FALSE)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up'!$A$2:$C$70,3,FALSE)</f>
        <v>Cash</v>
      </c>
      <c r="J1539" s="5">
        <f>VLOOKUP(F1539,'Set up'!$A$2:$D$70,4,FALSE)</f>
        <v>0</v>
      </c>
      <c r="K1539" s="4">
        <f t="shared" ref="K1539:K1602" si="376">A1539+J1539</f>
        <v>45020</v>
      </c>
      <c r="L1539" s="5">
        <f t="shared" ref="L1539:L1602" si="377">MONTH(K1539)</f>
        <v>4</v>
      </c>
      <c r="M1539" s="5">
        <f t="shared" ref="M1539:M1602" si="378">YEAR(K1539)</f>
        <v>2023</v>
      </c>
      <c r="N1539" s="6">
        <v>1263.5999999999999</v>
      </c>
      <c r="O1539" s="6">
        <f t="shared" si="373"/>
        <v>-1263.5999999999999</v>
      </c>
      <c r="P1539" s="6">
        <f t="shared" si="371"/>
        <v>0</v>
      </c>
      <c r="Q1539" s="7">
        <f t="shared" si="372"/>
        <v>2844511.1500000008</v>
      </c>
      <c r="R1539" s="44" t="str">
        <f>VLOOKUP(F1539,'Set up'!$A$2:$E$70,5,FALSE)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374"/>
        <v>4</v>
      </c>
      <c r="C1540" s="5">
        <f t="shared" si="375"/>
        <v>2023</v>
      </c>
      <c r="D1540" s="5" t="s">
        <v>1400</v>
      </c>
      <c r="E1540" s="5" t="str">
        <f>VLOOKUP(F1540,'Set up'!$A$2:$C$70,2,FALSE)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up'!$A$2:$C$70,3,FALSE)</f>
        <v>Cash</v>
      </c>
      <c r="J1540" s="5">
        <f>VLOOKUP(F1540,'Set up'!$A$2:$D$70,4,FALSE)</f>
        <v>0</v>
      </c>
      <c r="K1540" s="4">
        <f t="shared" si="376"/>
        <v>45020</v>
      </c>
      <c r="L1540" s="5">
        <f t="shared" si="377"/>
        <v>4</v>
      </c>
      <c r="M1540" s="5">
        <f t="shared" si="378"/>
        <v>2023</v>
      </c>
      <c r="N1540" s="6">
        <v>2106</v>
      </c>
      <c r="O1540" s="6">
        <f>-196.9-1909.1</f>
        <v>-2106</v>
      </c>
      <c r="P1540" s="6">
        <f t="shared" si="371"/>
        <v>0</v>
      </c>
      <c r="Q1540" s="7">
        <f t="shared" si="372"/>
        <v>2846617.1500000008</v>
      </c>
      <c r="R1540" s="44" t="str">
        <f>VLOOKUP(F1540,'Set up'!$A$2:$E$70,5,FALSE)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374"/>
        <v>4</v>
      </c>
      <c r="C1541" s="5">
        <f t="shared" si="375"/>
        <v>2023</v>
      </c>
      <c r="D1541" s="5" t="s">
        <v>1400</v>
      </c>
      <c r="E1541" s="5" t="str">
        <f>VLOOKUP(F1541,'Set up'!$A$2:$C$70,2,FALSE)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up'!$A$2:$C$70,3,FALSE)</f>
        <v>Cash</v>
      </c>
      <c r="J1541" s="5">
        <f>VLOOKUP(F1541,'Set up'!$A$2:$D$70,4,FALSE)</f>
        <v>0</v>
      </c>
      <c r="K1541" s="4">
        <f t="shared" si="376"/>
        <v>45020</v>
      </c>
      <c r="L1541" s="5">
        <f t="shared" si="377"/>
        <v>4</v>
      </c>
      <c r="M1541" s="5">
        <f t="shared" si="378"/>
        <v>2023</v>
      </c>
      <c r="N1541" s="6">
        <v>260</v>
      </c>
      <c r="O1541" s="6">
        <f t="shared" si="373"/>
        <v>-260</v>
      </c>
      <c r="P1541" s="6">
        <f t="shared" si="371"/>
        <v>0</v>
      </c>
      <c r="Q1541" s="7">
        <f t="shared" si="372"/>
        <v>2846877.1500000008</v>
      </c>
      <c r="R1541" s="44" t="str">
        <f>VLOOKUP(F1541,'Set up'!$A$2:$E$70,5,FALSE)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374"/>
        <v>4</v>
      </c>
      <c r="C1542" s="5">
        <f t="shared" si="375"/>
        <v>2023</v>
      </c>
      <c r="D1542" s="5" t="s">
        <v>1400</v>
      </c>
      <c r="E1542" s="5" t="str">
        <f>VLOOKUP(F1542,'Set up'!$A$2:$C$70,2,FALSE)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up'!$A$2:$C$70,3,FALSE)</f>
        <v>Cash</v>
      </c>
      <c r="J1542" s="5">
        <f>VLOOKUP(F1542,'Set up'!$A$2:$D$70,4,FALSE)</f>
        <v>0</v>
      </c>
      <c r="K1542" s="4">
        <f t="shared" si="376"/>
        <v>45020</v>
      </c>
      <c r="L1542" s="5">
        <f t="shared" si="377"/>
        <v>4</v>
      </c>
      <c r="M1542" s="5">
        <f t="shared" si="378"/>
        <v>2023</v>
      </c>
      <c r="N1542" s="6">
        <v>640</v>
      </c>
      <c r="O1542" s="6">
        <f t="shared" si="373"/>
        <v>-640</v>
      </c>
      <c r="P1542" s="6">
        <f t="shared" si="371"/>
        <v>0</v>
      </c>
      <c r="Q1542" s="7">
        <f t="shared" si="372"/>
        <v>2847517.1500000008</v>
      </c>
      <c r="R1542" s="44" t="str">
        <f>VLOOKUP(F1542,'Set up'!$A$2:$E$70,5,FALSE)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374"/>
        <v>4</v>
      </c>
      <c r="C1543" s="5">
        <f t="shared" si="375"/>
        <v>2023</v>
      </c>
      <c r="D1543" s="5" t="s">
        <v>1400</v>
      </c>
      <c r="E1543" s="5" t="str">
        <f>VLOOKUP(F1543,'Set up'!$A$2:$C$70,2,FALSE)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up'!$A$2:$C$70,3,FALSE)</f>
        <v>Cash</v>
      </c>
      <c r="J1543" s="5">
        <f>VLOOKUP(F1543,'Set up'!$A$2:$D$70,4,FALSE)</f>
        <v>0</v>
      </c>
      <c r="K1543" s="4">
        <f t="shared" si="376"/>
        <v>45020</v>
      </c>
      <c r="L1543" s="5">
        <f t="shared" si="377"/>
        <v>4</v>
      </c>
      <c r="M1543" s="5">
        <f t="shared" si="378"/>
        <v>2023</v>
      </c>
      <c r="N1543" s="6">
        <v>380</v>
      </c>
      <c r="O1543" s="6">
        <f t="shared" si="373"/>
        <v>-380</v>
      </c>
      <c r="P1543" s="6">
        <f t="shared" si="371"/>
        <v>0</v>
      </c>
      <c r="Q1543" s="7">
        <f t="shared" si="372"/>
        <v>2847897.1500000008</v>
      </c>
      <c r="R1543" s="44" t="str">
        <f>VLOOKUP(F1543,'Set up'!$A$2:$E$70,5,FALSE)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374"/>
        <v>4</v>
      </c>
      <c r="C1544" s="5">
        <f t="shared" si="375"/>
        <v>2023</v>
      </c>
      <c r="D1544" s="5" t="s">
        <v>1400</v>
      </c>
      <c r="E1544" s="5" t="str">
        <f>VLOOKUP(F1544,'Set up'!$A$2:$C$70,2,FALSE)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up'!$A$2:$C$70,3,FALSE)</f>
        <v>Cash</v>
      </c>
      <c r="J1544" s="5">
        <f>VLOOKUP(F1544,'Set up'!$A$2:$D$70,4,FALSE)</f>
        <v>0</v>
      </c>
      <c r="K1544" s="4">
        <f t="shared" si="376"/>
        <v>45020</v>
      </c>
      <c r="L1544" s="5">
        <f t="shared" si="377"/>
        <v>4</v>
      </c>
      <c r="M1544" s="5">
        <f t="shared" si="378"/>
        <v>2023</v>
      </c>
      <c r="N1544" s="6">
        <v>540</v>
      </c>
      <c r="O1544" s="6">
        <f t="shared" si="373"/>
        <v>-540</v>
      </c>
      <c r="P1544" s="6">
        <f t="shared" si="371"/>
        <v>0</v>
      </c>
      <c r="Q1544" s="7">
        <f t="shared" si="372"/>
        <v>2848437.1500000008</v>
      </c>
      <c r="R1544" s="44" t="str">
        <f>VLOOKUP(F1544,'Set up'!$A$2:$E$70,5,FALSE)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374"/>
        <v>4</v>
      </c>
      <c r="C1545" s="5">
        <f t="shared" si="375"/>
        <v>2023</v>
      </c>
      <c r="D1545" s="5" t="s">
        <v>1400</v>
      </c>
      <c r="E1545" s="5" t="str">
        <f>VLOOKUP(F1545,'Set up'!$A$2:$C$70,2,FALSE)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up'!$A$2:$C$70,3,FALSE)</f>
        <v>Cash</v>
      </c>
      <c r="J1545" s="5">
        <f>VLOOKUP(F1545,'Set up'!$A$2:$D$70,4,FALSE)</f>
        <v>0</v>
      </c>
      <c r="K1545" s="4">
        <f t="shared" si="376"/>
        <v>45020</v>
      </c>
      <c r="L1545" s="5">
        <f t="shared" si="377"/>
        <v>4</v>
      </c>
      <c r="M1545" s="5">
        <f t="shared" si="378"/>
        <v>2023</v>
      </c>
      <c r="N1545" s="6">
        <v>1270</v>
      </c>
      <c r="O1545" s="6">
        <f t="shared" si="373"/>
        <v>-1270</v>
      </c>
      <c r="P1545" s="6">
        <f t="shared" si="371"/>
        <v>0</v>
      </c>
      <c r="Q1545" s="7">
        <f t="shared" si="372"/>
        <v>2849707.1500000008</v>
      </c>
      <c r="R1545" s="44" t="str">
        <f>VLOOKUP(F1545,'Set up'!$A$2:$E$70,5,FALSE)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374"/>
        <v>4</v>
      </c>
      <c r="C1546" s="5">
        <f t="shared" si="375"/>
        <v>2023</v>
      </c>
      <c r="D1546" s="5" t="s">
        <v>1400</v>
      </c>
      <c r="E1546" s="5" t="str">
        <f>VLOOKUP(F1546,'Set up'!$A$2:$C$70,2,FALSE)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up'!$A$2:$C$70,3,FALSE)</f>
        <v>Cash</v>
      </c>
      <c r="J1546" s="5">
        <f>VLOOKUP(F1546,'Set up'!$A$2:$D$70,4,FALSE)</f>
        <v>0</v>
      </c>
      <c r="K1546" s="4">
        <f t="shared" si="376"/>
        <v>45020</v>
      </c>
      <c r="L1546" s="5">
        <f t="shared" si="377"/>
        <v>4</v>
      </c>
      <c r="M1546" s="5">
        <f t="shared" si="378"/>
        <v>2023</v>
      </c>
      <c r="N1546" s="6">
        <v>1059.5</v>
      </c>
      <c r="O1546" s="6">
        <f>-0.9-1058.6</f>
        <v>-1059.5</v>
      </c>
      <c r="P1546" s="6">
        <f t="shared" si="371"/>
        <v>0</v>
      </c>
      <c r="Q1546" s="7">
        <f t="shared" si="372"/>
        <v>2850766.6500000008</v>
      </c>
      <c r="R1546" s="44" t="str">
        <f>VLOOKUP(F1546,'Set up'!$A$2:$E$70,5,FALSE)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374"/>
        <v>4</v>
      </c>
      <c r="C1547" s="5">
        <f t="shared" si="375"/>
        <v>2023</v>
      </c>
      <c r="D1547" s="5" t="s">
        <v>1404</v>
      </c>
      <c r="E1547" s="5" t="str">
        <f>VLOOKUP(F1547,'Set up'!$A$2:$C$70,2,FALSE)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up'!$A$2:$C$70,3,FALSE)</f>
        <v>120</v>
      </c>
      <c r="J1547" s="5">
        <f>VLOOKUP(F1547,'Set up'!$A$2:$D$70,4,FALSE)</f>
        <v>120</v>
      </c>
      <c r="K1547" s="4">
        <f t="shared" si="376"/>
        <v>45142</v>
      </c>
      <c r="L1547" s="5">
        <f t="shared" si="377"/>
        <v>8</v>
      </c>
      <c r="M1547" s="5">
        <f t="shared" si="378"/>
        <v>2023</v>
      </c>
      <c r="N1547" s="6">
        <v>9900</v>
      </c>
      <c r="O1547" s="6">
        <f t="shared" ref="O1547:O1551" si="379">-N1547</f>
        <v>-9900</v>
      </c>
      <c r="P1547" s="6">
        <f t="shared" si="371"/>
        <v>0</v>
      </c>
      <c r="Q1547" s="7">
        <f t="shared" si="372"/>
        <v>2860666.6500000008</v>
      </c>
      <c r="R1547" s="44" t="str">
        <f>VLOOKUP(F1547,'Set up'!$A$2:$E$70,5,FALSE)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374"/>
        <v>4</v>
      </c>
      <c r="C1548" s="5">
        <f t="shared" si="375"/>
        <v>2023</v>
      </c>
      <c r="D1548" s="5" t="s">
        <v>1404</v>
      </c>
      <c r="E1548" s="5" t="str">
        <f>VLOOKUP(F1548,'Set up'!$A$2:$C$70,2,FALSE)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up'!$A$2:$C$70,3,FALSE)</f>
        <v>120</v>
      </c>
      <c r="J1548" s="5">
        <f>VLOOKUP(F1548,'Set up'!$A$2:$D$70,4,FALSE)</f>
        <v>120</v>
      </c>
      <c r="K1548" s="4">
        <f t="shared" si="376"/>
        <v>45142</v>
      </c>
      <c r="L1548" s="5">
        <f t="shared" si="377"/>
        <v>8</v>
      </c>
      <c r="M1548" s="5">
        <f t="shared" si="378"/>
        <v>2023</v>
      </c>
      <c r="N1548" s="6">
        <v>2070</v>
      </c>
      <c r="O1548" s="6">
        <f t="shared" si="379"/>
        <v>-2070</v>
      </c>
      <c r="P1548" s="6">
        <f t="shared" si="371"/>
        <v>0</v>
      </c>
      <c r="Q1548" s="7">
        <f t="shared" si="372"/>
        <v>2862736.6500000008</v>
      </c>
      <c r="R1548" s="44" t="str">
        <f>VLOOKUP(F1548,'Set up'!$A$2:$E$70,5,FALSE)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374"/>
        <v>4</v>
      </c>
      <c r="C1549" s="5">
        <f t="shared" si="375"/>
        <v>2023</v>
      </c>
      <c r="D1549" s="5" t="s">
        <v>1404</v>
      </c>
      <c r="E1549" s="5" t="str">
        <f>VLOOKUP(F1549,'Set up'!$A$2:$C$70,2,FALSE)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up'!$A$2:$C$70,3,FALSE)</f>
        <v>120</v>
      </c>
      <c r="J1549" s="5">
        <f>VLOOKUP(F1549,'Set up'!$A$2:$D$70,4,FALSE)</f>
        <v>120</v>
      </c>
      <c r="K1549" s="4">
        <f t="shared" si="376"/>
        <v>45142</v>
      </c>
      <c r="L1549" s="5">
        <f t="shared" si="377"/>
        <v>8</v>
      </c>
      <c r="M1549" s="5">
        <f t="shared" si="378"/>
        <v>2023</v>
      </c>
      <c r="N1549" s="6">
        <v>287.5</v>
      </c>
      <c r="O1549" s="6">
        <f t="shared" si="379"/>
        <v>-287.5</v>
      </c>
      <c r="P1549" s="6">
        <f t="shared" si="371"/>
        <v>0</v>
      </c>
      <c r="Q1549" s="7">
        <f t="shared" si="372"/>
        <v>2863024.1500000008</v>
      </c>
      <c r="R1549" s="44" t="str">
        <f>VLOOKUP(F1549,'Set up'!$A$2:$E$70,5,FALSE)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374"/>
        <v>4</v>
      </c>
      <c r="C1550" s="5">
        <f t="shared" si="375"/>
        <v>2023</v>
      </c>
      <c r="D1550" s="5" t="s">
        <v>1404</v>
      </c>
      <c r="E1550" s="5" t="str">
        <f>VLOOKUP(F1550,'Set up'!$A$2:$C$70,2,FALSE)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up'!$A$2:$C$70,3,FALSE)</f>
        <v>120</v>
      </c>
      <c r="J1550" s="5">
        <f>VLOOKUP(F1550,'Set up'!$A$2:$D$70,4,FALSE)</f>
        <v>120</v>
      </c>
      <c r="K1550" s="4">
        <f t="shared" si="376"/>
        <v>45142</v>
      </c>
      <c r="L1550" s="5">
        <f t="shared" si="377"/>
        <v>8</v>
      </c>
      <c r="M1550" s="5">
        <f t="shared" si="378"/>
        <v>2023</v>
      </c>
      <c r="N1550" s="6">
        <v>420</v>
      </c>
      <c r="O1550" s="6">
        <f t="shared" si="379"/>
        <v>-420</v>
      </c>
      <c r="P1550" s="6">
        <f t="shared" si="371"/>
        <v>0</v>
      </c>
      <c r="Q1550" s="7">
        <f t="shared" si="372"/>
        <v>2863444.1500000008</v>
      </c>
      <c r="R1550" s="44" t="str">
        <f>VLOOKUP(F1550,'Set up'!$A$2:$E$70,5,FALSE)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374"/>
        <v>4</v>
      </c>
      <c r="C1551" s="5">
        <f t="shared" si="375"/>
        <v>2023</v>
      </c>
      <c r="D1551" s="5" t="s">
        <v>1404</v>
      </c>
      <c r="E1551" s="5" t="str">
        <f>VLOOKUP(F1551,'Set up'!$A$2:$C$70,2,FALSE)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up'!$A$2:$C$70,3,FALSE)</f>
        <v>120</v>
      </c>
      <c r="J1551" s="5">
        <f>VLOOKUP(F1551,'Set up'!$A$2:$D$70,4,FALSE)</f>
        <v>120</v>
      </c>
      <c r="K1551" s="4">
        <f t="shared" si="376"/>
        <v>45142</v>
      </c>
      <c r="L1551" s="5">
        <f t="shared" si="377"/>
        <v>8</v>
      </c>
      <c r="M1551" s="5">
        <f t="shared" si="378"/>
        <v>2023</v>
      </c>
      <c r="N1551" s="6">
        <v>420</v>
      </c>
      <c r="O1551" s="6">
        <f t="shared" si="379"/>
        <v>-420</v>
      </c>
      <c r="P1551" s="6">
        <f t="shared" si="371"/>
        <v>0</v>
      </c>
      <c r="Q1551" s="7">
        <f t="shared" si="372"/>
        <v>2863864.1500000008</v>
      </c>
      <c r="R1551" s="44" t="str">
        <f>VLOOKUP(F1551,'Set up'!$A$2:$E$70,5,FALSE)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374"/>
        <v>4</v>
      </c>
      <c r="C1552" s="5">
        <f t="shared" si="375"/>
        <v>2023</v>
      </c>
      <c r="D1552" s="5" t="s">
        <v>1404</v>
      </c>
      <c r="E1552" s="5" t="str">
        <f>VLOOKUP(F1552,'Set up'!$A$2:$C$70,2,FALSE)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up'!$A$2:$C$70,3,FALSE)</f>
        <v>120</v>
      </c>
      <c r="J1552" s="5">
        <f>VLOOKUP(F1552,'Set up'!$A$2:$D$70,4,FALSE)</f>
        <v>120</v>
      </c>
      <c r="K1552" s="4">
        <f t="shared" si="376"/>
        <v>45142</v>
      </c>
      <c r="L1552" s="5">
        <f t="shared" si="377"/>
        <v>8</v>
      </c>
      <c r="M1552" s="5">
        <f t="shared" si="378"/>
        <v>2023</v>
      </c>
      <c r="N1552" s="6">
        <v>200</v>
      </c>
      <c r="O1552" s="6">
        <f>-N1552</f>
        <v>-200</v>
      </c>
      <c r="P1552" s="6">
        <f t="shared" ref="P1552:P1557" si="380">SUM(N1552+O1552)</f>
        <v>0</v>
      </c>
      <c r="Q1552" s="7">
        <f t="shared" si="372"/>
        <v>2864064.1500000008</v>
      </c>
      <c r="R1552" s="44" t="str">
        <f>VLOOKUP(F1552,'Set up'!$A$2:$E$70,5,FALSE)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374"/>
        <v>4</v>
      </c>
      <c r="C1553" s="5">
        <f t="shared" si="375"/>
        <v>2023</v>
      </c>
      <c r="D1553" s="5" t="s">
        <v>1406</v>
      </c>
      <c r="E1553" s="5" t="str">
        <f>VLOOKUP(F1553,'Set up'!$A$2:$C$70,2,FALSE)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up'!$A$2:$C$70,3,FALSE)</f>
        <v>Cash</v>
      </c>
      <c r="J1553" s="5">
        <f>VLOOKUP(F1553,'Set up'!$A$2:$D$70,4,FALSE)</f>
        <v>0</v>
      </c>
      <c r="K1553" s="4">
        <f t="shared" si="376"/>
        <v>45022</v>
      </c>
      <c r="L1553" s="5">
        <f t="shared" si="377"/>
        <v>4</v>
      </c>
      <c r="M1553" s="5">
        <f t="shared" si="378"/>
        <v>2023</v>
      </c>
      <c r="N1553" s="6">
        <v>1870</v>
      </c>
      <c r="O1553" s="6">
        <f t="shared" ref="O1553:O1558" si="381">-N1553</f>
        <v>-1870</v>
      </c>
      <c r="P1553" s="6">
        <f t="shared" si="380"/>
        <v>0</v>
      </c>
      <c r="Q1553" s="7">
        <f>SUM(Q1552+N1553)</f>
        <v>2865934.1500000008</v>
      </c>
      <c r="R1553" s="44" t="str">
        <f>VLOOKUP(F1553,'Set up'!$A$2:$E$70,5,FALSE)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374"/>
        <v>4</v>
      </c>
      <c r="C1554" s="5">
        <f t="shared" si="375"/>
        <v>2023</v>
      </c>
      <c r="D1554" s="5" t="s">
        <v>1406</v>
      </c>
      <c r="E1554" s="5" t="str">
        <f>VLOOKUP(F1554,'Set up'!$A$2:$C$70,2,FALSE)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up'!$A$2:$C$70,3,FALSE)</f>
        <v>Cash</v>
      </c>
      <c r="J1554" s="5">
        <f>VLOOKUP(F1554,'Set up'!$A$2:$D$70,4,FALSE)</f>
        <v>0</v>
      </c>
      <c r="K1554" s="4">
        <f t="shared" si="376"/>
        <v>45022</v>
      </c>
      <c r="L1554" s="5">
        <f t="shared" si="377"/>
        <v>4</v>
      </c>
      <c r="M1554" s="5">
        <f t="shared" si="378"/>
        <v>2023</v>
      </c>
      <c r="N1554" s="6">
        <v>95</v>
      </c>
      <c r="O1554" s="6">
        <f t="shared" si="381"/>
        <v>-95</v>
      </c>
      <c r="P1554" s="6">
        <f t="shared" si="380"/>
        <v>0</v>
      </c>
      <c r="Q1554" s="7">
        <f>SUM(Q1553+N1554)</f>
        <v>2866029.1500000008</v>
      </c>
      <c r="R1554" s="44" t="str">
        <f>VLOOKUP(F1554,'Set up'!$A$2:$E$70,5,FALSE)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374"/>
        <v>4</v>
      </c>
      <c r="C1555" s="5">
        <f t="shared" si="375"/>
        <v>2023</v>
      </c>
      <c r="D1555" s="5" t="s">
        <v>1406</v>
      </c>
      <c r="E1555" s="5" t="str">
        <f>VLOOKUP(F1555,'Set up'!$A$2:$C$70,2,FALSE)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up'!$A$2:$C$70,3,FALSE)</f>
        <v>Cash</v>
      </c>
      <c r="J1555" s="5">
        <f>VLOOKUP(F1555,'Set up'!$A$2:$D$70,4,FALSE)</f>
        <v>0</v>
      </c>
      <c r="K1555" s="4">
        <f t="shared" si="376"/>
        <v>45022</v>
      </c>
      <c r="L1555" s="5">
        <f t="shared" si="377"/>
        <v>4</v>
      </c>
      <c r="M1555" s="5">
        <f t="shared" si="378"/>
        <v>2023</v>
      </c>
      <c r="N1555" s="6">
        <v>312.5</v>
      </c>
      <c r="O1555" s="6">
        <f t="shared" si="381"/>
        <v>-312.5</v>
      </c>
      <c r="P1555" s="6">
        <f t="shared" si="380"/>
        <v>0</v>
      </c>
      <c r="Q1555" s="7">
        <f>SUM(Q1554+N1555)</f>
        <v>2866341.6500000008</v>
      </c>
      <c r="R1555" s="44" t="str">
        <f>VLOOKUP(F1555,'Set up'!$A$2:$E$70,5,FALSE)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374"/>
        <v>4</v>
      </c>
      <c r="C1556" s="5">
        <f t="shared" si="375"/>
        <v>2023</v>
      </c>
      <c r="D1556" s="5" t="s">
        <v>1406</v>
      </c>
      <c r="E1556" s="5" t="str">
        <f>VLOOKUP(F1556,'Set up'!$A$2:$C$70,2,FALSE)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up'!$A$2:$C$70,3,FALSE)</f>
        <v>Cash</v>
      </c>
      <c r="J1556" s="5">
        <f>VLOOKUP(F1556,'Set up'!$A$2:$D$70,4,FALSE)</f>
        <v>0</v>
      </c>
      <c r="K1556" s="4">
        <f t="shared" si="376"/>
        <v>45022</v>
      </c>
      <c r="L1556" s="5">
        <f t="shared" si="377"/>
        <v>4</v>
      </c>
      <c r="M1556" s="5">
        <f t="shared" si="378"/>
        <v>2023</v>
      </c>
      <c r="N1556" s="6">
        <v>225</v>
      </c>
      <c r="O1556" s="6">
        <f t="shared" si="381"/>
        <v>-225</v>
      </c>
      <c r="P1556" s="6">
        <f t="shared" si="380"/>
        <v>0</v>
      </c>
      <c r="Q1556" s="7">
        <f>SUM(Q1555+N1556)</f>
        <v>2866566.6500000008</v>
      </c>
      <c r="R1556" s="44" t="str">
        <f>VLOOKUP(F1556,'Set up'!$A$2:$E$70,5,FALSE)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374"/>
        <v>4</v>
      </c>
      <c r="C1557" s="5">
        <f t="shared" si="375"/>
        <v>2023</v>
      </c>
      <c r="D1557" s="5" t="s">
        <v>1406</v>
      </c>
      <c r="E1557" s="5" t="str">
        <f>VLOOKUP(F1557,'Set up'!$A$2:$C$70,2,FALSE)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up'!$A$2:$C$70,3,FALSE)</f>
        <v>Cash</v>
      </c>
      <c r="J1557" s="5">
        <f>VLOOKUP(F1557,'Set up'!$A$2:$D$70,4,FALSE)</f>
        <v>0</v>
      </c>
      <c r="K1557" s="4">
        <f t="shared" si="376"/>
        <v>45022</v>
      </c>
      <c r="L1557" s="5">
        <f t="shared" si="377"/>
        <v>4</v>
      </c>
      <c r="M1557" s="5">
        <f t="shared" si="378"/>
        <v>2023</v>
      </c>
      <c r="N1557" s="6">
        <v>576</v>
      </c>
      <c r="O1557" s="6">
        <f t="shared" si="381"/>
        <v>-576</v>
      </c>
      <c r="P1557" s="6">
        <f t="shared" si="380"/>
        <v>0</v>
      </c>
      <c r="Q1557" s="7">
        <f>SUM(Q1556+N1557)</f>
        <v>2867142.6500000008</v>
      </c>
      <c r="R1557" s="44" t="str">
        <f>VLOOKUP(F1557,'Set up'!$A$2:$E$70,5,FALSE)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374"/>
        <v>4</v>
      </c>
      <c r="C1558" s="5">
        <f t="shared" si="375"/>
        <v>2023</v>
      </c>
      <c r="D1558" s="5" t="s">
        <v>1407</v>
      </c>
      <c r="E1558" s="5" t="str">
        <f>VLOOKUP(F1558,'Set up'!$A$2:$C$70,2,FALSE)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up'!$A$2:$C$70,3,FALSE)</f>
        <v>Cash</v>
      </c>
      <c r="J1558" s="5">
        <f>VLOOKUP(F1558,'Set up'!$A$2:$D$70,4,FALSE)</f>
        <v>0</v>
      </c>
      <c r="K1558" s="4">
        <f t="shared" si="376"/>
        <v>45023</v>
      </c>
      <c r="L1558" s="5">
        <f t="shared" si="377"/>
        <v>4</v>
      </c>
      <c r="M1558" s="5">
        <f t="shared" si="378"/>
        <v>2023</v>
      </c>
      <c r="N1558" s="6">
        <v>625</v>
      </c>
      <c r="O1558" s="6">
        <f t="shared" si="381"/>
        <v>-625</v>
      </c>
      <c r="P1558" s="6">
        <f t="shared" si="371"/>
        <v>0</v>
      </c>
      <c r="Q1558" s="7">
        <f t="shared" si="372"/>
        <v>2867767.6500000008</v>
      </c>
      <c r="R1558" s="44" t="str">
        <f>VLOOKUP(F1558,'Set up'!$A$2:$E$70,5,FALSE)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374"/>
        <v>4</v>
      </c>
      <c r="C1559" s="5">
        <f t="shared" si="375"/>
        <v>2023</v>
      </c>
      <c r="D1559" s="5" t="s">
        <v>1407</v>
      </c>
      <c r="E1559" s="5" t="str">
        <f>VLOOKUP(F1559,'Set up'!$A$2:$C$70,2,FALSE)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up'!$A$2:$C$70,3,FALSE)</f>
        <v>Cash</v>
      </c>
      <c r="J1559" s="5">
        <f>VLOOKUP(F1559,'Set up'!$A$2:$D$70,4,FALSE)</f>
        <v>0</v>
      </c>
      <c r="K1559" s="4">
        <f t="shared" si="376"/>
        <v>45023</v>
      </c>
      <c r="L1559" s="5">
        <f t="shared" si="377"/>
        <v>4</v>
      </c>
      <c r="M1559" s="5">
        <f t="shared" si="378"/>
        <v>2023</v>
      </c>
      <c r="N1559" s="6">
        <v>17820</v>
      </c>
      <c r="O1559" s="6">
        <f>-1389.4-7000-9430.6</f>
        <v>-17820</v>
      </c>
      <c r="P1559" s="6">
        <f t="shared" si="371"/>
        <v>0</v>
      </c>
      <c r="Q1559" s="7">
        <f t="shared" si="372"/>
        <v>2885587.6500000008</v>
      </c>
      <c r="R1559" s="44" t="str">
        <f>VLOOKUP(F1559,'Set up'!$A$2:$E$70,5,FALSE)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374"/>
        <v>4</v>
      </c>
      <c r="C1560" s="5">
        <f t="shared" si="375"/>
        <v>2023</v>
      </c>
      <c r="D1560" s="5" t="s">
        <v>1407</v>
      </c>
      <c r="E1560" s="5" t="str">
        <f>VLOOKUP(F1560,'Set up'!$A$2:$C$70,2,FALSE)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up'!$A$2:$C$70,3,FALSE)</f>
        <v>Cash</v>
      </c>
      <c r="J1560" s="5">
        <f>VLOOKUP(F1560,'Set up'!$A$2:$D$70,4,FALSE)</f>
        <v>0</v>
      </c>
      <c r="K1560" s="4">
        <f t="shared" si="376"/>
        <v>45023</v>
      </c>
      <c r="L1560" s="5">
        <f t="shared" si="377"/>
        <v>4</v>
      </c>
      <c r="M1560" s="5">
        <f t="shared" si="378"/>
        <v>2023</v>
      </c>
      <c r="N1560" s="6">
        <v>6840</v>
      </c>
      <c r="O1560" s="6">
        <f t="shared" ref="O1560" si="382">-N1560</f>
        <v>-6840</v>
      </c>
      <c r="P1560" s="6">
        <f t="shared" si="371"/>
        <v>0</v>
      </c>
      <c r="Q1560" s="7">
        <f t="shared" si="372"/>
        <v>2892427.6500000008</v>
      </c>
      <c r="R1560" s="44" t="str">
        <f>VLOOKUP(F1560,'Set up'!$A$2:$E$70,5,FALSE)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374"/>
        <v>4</v>
      </c>
      <c r="C1561" s="5">
        <f t="shared" si="375"/>
        <v>2023</v>
      </c>
      <c r="D1561" s="5" t="s">
        <v>1407</v>
      </c>
      <c r="E1561" s="5" t="str">
        <f>VLOOKUP(F1561,'Set up'!$A$2:$C$70,2,FALSE)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up'!$A$2:$C$70,3,FALSE)</f>
        <v>Cash</v>
      </c>
      <c r="J1561" s="5">
        <f>VLOOKUP(F1561,'Set up'!$A$2:$D$70,4,FALSE)</f>
        <v>0</v>
      </c>
      <c r="K1561" s="4">
        <f t="shared" si="376"/>
        <v>45023</v>
      </c>
      <c r="L1561" s="5">
        <f t="shared" si="377"/>
        <v>4</v>
      </c>
      <c r="M1561" s="5">
        <f t="shared" si="378"/>
        <v>2023</v>
      </c>
      <c r="N1561" s="6">
        <v>3780</v>
      </c>
      <c r="O1561" s="6">
        <f>-729.4-3050.6</f>
        <v>-3780</v>
      </c>
      <c r="P1561" s="6">
        <f t="shared" si="371"/>
        <v>0</v>
      </c>
      <c r="Q1561" s="7">
        <f t="shared" si="372"/>
        <v>2896207.6500000008</v>
      </c>
      <c r="R1561" s="44" t="str">
        <f>VLOOKUP(F1561,'Set up'!$A$2:$E$70,5,FALSE)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374"/>
        <v>4</v>
      </c>
      <c r="C1562" s="5">
        <f t="shared" si="375"/>
        <v>2023</v>
      </c>
      <c r="D1562" s="5" t="s">
        <v>1407</v>
      </c>
      <c r="E1562" s="5" t="str">
        <f>VLOOKUP(F1562,'Set up'!$A$2:$C$70,2,FALSE)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up'!$A$2:$C$70,3,FALSE)</f>
        <v>Cash</v>
      </c>
      <c r="J1562" s="5">
        <f>VLOOKUP(F1562,'Set up'!$A$2:$D$70,4,FALSE)</f>
        <v>0</v>
      </c>
      <c r="K1562" s="4">
        <f t="shared" si="376"/>
        <v>45023</v>
      </c>
      <c r="L1562" s="5">
        <f t="shared" si="377"/>
        <v>4</v>
      </c>
      <c r="M1562" s="5">
        <f t="shared" si="378"/>
        <v>2023</v>
      </c>
      <c r="N1562" s="6">
        <v>380</v>
      </c>
      <c r="O1562" s="6">
        <f t="shared" ref="O1562:O1563" si="383">-N1562</f>
        <v>-380</v>
      </c>
      <c r="P1562" s="6">
        <f t="shared" si="371"/>
        <v>0</v>
      </c>
      <c r="Q1562" s="7">
        <f t="shared" si="372"/>
        <v>2896587.6500000008</v>
      </c>
      <c r="R1562" s="44" t="str">
        <f>VLOOKUP(F1562,'Set up'!$A$2:$E$70,5,FALSE)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374"/>
        <v>4</v>
      </c>
      <c r="C1563" s="5">
        <f t="shared" si="375"/>
        <v>2023</v>
      </c>
      <c r="D1563" s="5" t="s">
        <v>1407</v>
      </c>
      <c r="E1563" s="5" t="str">
        <f>VLOOKUP(F1563,'Set up'!$A$2:$C$70,2,FALSE)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up'!$A$2:$C$70,3,FALSE)</f>
        <v>Cash</v>
      </c>
      <c r="J1563" s="5">
        <f>VLOOKUP(F1563,'Set up'!$A$2:$D$70,4,FALSE)</f>
        <v>0</v>
      </c>
      <c r="K1563" s="4">
        <f t="shared" si="376"/>
        <v>45023</v>
      </c>
      <c r="L1563" s="5">
        <f t="shared" si="377"/>
        <v>4</v>
      </c>
      <c r="M1563" s="5">
        <f t="shared" si="378"/>
        <v>2023</v>
      </c>
      <c r="N1563" s="6">
        <v>1000</v>
      </c>
      <c r="O1563" s="6">
        <f t="shared" si="383"/>
        <v>-1000</v>
      </c>
      <c r="P1563" s="6">
        <f t="shared" si="371"/>
        <v>0</v>
      </c>
      <c r="Q1563" s="7">
        <f t="shared" si="372"/>
        <v>2897587.6500000008</v>
      </c>
      <c r="R1563" s="44" t="str">
        <f>VLOOKUP(F1563,'Set up'!$A$2:$E$70,5,FALSE)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374"/>
        <v>4</v>
      </c>
      <c r="C1564" s="5">
        <f t="shared" si="375"/>
        <v>2023</v>
      </c>
      <c r="D1564" s="5" t="s">
        <v>1410</v>
      </c>
      <c r="E1564" s="5" t="str">
        <f>VLOOKUP(F1564,'Set up'!$A$2:$C$70,2,FALSE)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up'!$A$2:$C$70,3,FALSE)</f>
        <v>60</v>
      </c>
      <c r="J1564" s="5">
        <f>VLOOKUP(F1564,'Set up'!$A$2:$D$70,4,FALSE)</f>
        <v>60</v>
      </c>
      <c r="K1564" s="4">
        <f t="shared" si="376"/>
        <v>45082</v>
      </c>
      <c r="L1564" s="5">
        <f t="shared" si="377"/>
        <v>6</v>
      </c>
      <c r="M1564" s="5">
        <f t="shared" si="378"/>
        <v>2023</v>
      </c>
      <c r="N1564" s="6">
        <v>220</v>
      </c>
      <c r="O1564" s="6">
        <f t="shared" ref="O1564" si="384">-N1564</f>
        <v>-220</v>
      </c>
      <c r="P1564" s="6">
        <f t="shared" si="371"/>
        <v>0</v>
      </c>
      <c r="Q1564" s="7">
        <f t="shared" si="372"/>
        <v>2897807.6500000008</v>
      </c>
      <c r="R1564" s="44" t="str">
        <f>VLOOKUP(F1564,'Set up'!$A$2:$E$70,5,FALSE)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374"/>
        <v>4</v>
      </c>
      <c r="C1565" s="5">
        <f t="shared" si="375"/>
        <v>2023</v>
      </c>
      <c r="D1565" s="5" t="s">
        <v>1412</v>
      </c>
      <c r="E1565" s="5" t="str">
        <f>VLOOKUP(F1565,'Set up'!$A$2:$C$70,2,FALSE)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up'!$A$2:$C$70,3,FALSE)</f>
        <v>Cash</v>
      </c>
      <c r="J1565" s="5">
        <f>VLOOKUP(F1565,'Set up'!$A$2:$D$70,4,FALSE)</f>
        <v>0</v>
      </c>
      <c r="K1565" s="4">
        <f t="shared" si="376"/>
        <v>45023</v>
      </c>
      <c r="L1565" s="5">
        <f t="shared" si="377"/>
        <v>4</v>
      </c>
      <c r="M1565" s="5">
        <f t="shared" si="378"/>
        <v>2023</v>
      </c>
      <c r="N1565" s="6">
        <v>3608</v>
      </c>
      <c r="O1565" s="6">
        <f>-151.8-1000-1000-1000-456.2</f>
        <v>-3608</v>
      </c>
      <c r="P1565" s="6">
        <f t="shared" si="371"/>
        <v>0</v>
      </c>
      <c r="Q1565" s="7">
        <f t="shared" si="372"/>
        <v>2901415.6500000008</v>
      </c>
      <c r="R1565" s="44" t="str">
        <f>VLOOKUP(F1565,'Set up'!$A$2:$E$70,5,FALSE)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374"/>
        <v>4</v>
      </c>
      <c r="C1566" s="5">
        <f t="shared" si="375"/>
        <v>2023</v>
      </c>
      <c r="D1566" s="5" t="s">
        <v>1412</v>
      </c>
      <c r="E1566" s="5" t="str">
        <f>VLOOKUP(F1566,'Set up'!$A$2:$C$70,2,FALSE)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up'!$A$2:$C$70,3,FALSE)</f>
        <v>Cash</v>
      </c>
      <c r="J1566" s="5">
        <f>VLOOKUP(F1566,'Set up'!$A$2:$D$70,4,FALSE)</f>
        <v>0</v>
      </c>
      <c r="K1566" s="4">
        <f t="shared" si="376"/>
        <v>45023</v>
      </c>
      <c r="L1566" s="5">
        <f t="shared" si="377"/>
        <v>4</v>
      </c>
      <c r="M1566" s="5">
        <f t="shared" si="378"/>
        <v>2023</v>
      </c>
      <c r="N1566" s="6">
        <v>842.4</v>
      </c>
      <c r="O1566" s="6">
        <f t="shared" ref="O1566:O1571" si="385">-N1566</f>
        <v>-842.4</v>
      </c>
      <c r="P1566" s="6">
        <f t="shared" si="371"/>
        <v>0</v>
      </c>
      <c r="Q1566" s="7">
        <f t="shared" si="372"/>
        <v>2902258.0500000007</v>
      </c>
      <c r="R1566" s="44" t="str">
        <f>VLOOKUP(F1566,'Set up'!$A$2:$E$70,5,FALSE)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374"/>
        <v>4</v>
      </c>
      <c r="C1567" s="5">
        <f t="shared" si="375"/>
        <v>2023</v>
      </c>
      <c r="D1567" s="5" t="s">
        <v>1412</v>
      </c>
      <c r="E1567" s="5" t="str">
        <f>VLOOKUP(F1567,'Set up'!$A$2:$C$70,2,FALSE)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up'!$A$2:$C$70,3,FALSE)</f>
        <v>Cash</v>
      </c>
      <c r="J1567" s="5">
        <f>VLOOKUP(F1567,'Set up'!$A$2:$D$70,4,FALSE)</f>
        <v>0</v>
      </c>
      <c r="K1567" s="4">
        <f t="shared" si="376"/>
        <v>45023</v>
      </c>
      <c r="L1567" s="5">
        <f t="shared" si="377"/>
        <v>4</v>
      </c>
      <c r="M1567" s="5">
        <f t="shared" si="378"/>
        <v>2023</v>
      </c>
      <c r="N1567" s="6">
        <v>105</v>
      </c>
      <c r="O1567" s="6">
        <f t="shared" si="385"/>
        <v>-105</v>
      </c>
      <c r="P1567" s="6">
        <f t="shared" si="371"/>
        <v>0</v>
      </c>
      <c r="Q1567" s="7">
        <f t="shared" si="372"/>
        <v>2902363.0500000007</v>
      </c>
      <c r="R1567" s="44" t="str">
        <f>VLOOKUP(F1567,'Set up'!$A$2:$E$70,5,FALSE)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374"/>
        <v>4</v>
      </c>
      <c r="C1568" s="5">
        <f t="shared" si="375"/>
        <v>2023</v>
      </c>
      <c r="D1568" s="5" t="s">
        <v>1412</v>
      </c>
      <c r="E1568" s="5" t="str">
        <f>VLOOKUP(F1568,'Set up'!$A$2:$C$70,2,FALSE)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up'!$A$2:$C$70,3,FALSE)</f>
        <v>Cash</v>
      </c>
      <c r="J1568" s="5">
        <f>VLOOKUP(F1568,'Set up'!$A$2:$D$70,4,FALSE)</f>
        <v>0</v>
      </c>
      <c r="K1568" s="4">
        <f t="shared" si="376"/>
        <v>45023</v>
      </c>
      <c r="L1568" s="5">
        <f t="shared" si="377"/>
        <v>4</v>
      </c>
      <c r="M1568" s="5">
        <f t="shared" si="378"/>
        <v>2023</v>
      </c>
      <c r="N1568" s="6">
        <v>450</v>
      </c>
      <c r="O1568" s="6">
        <f t="shared" si="385"/>
        <v>-450</v>
      </c>
      <c r="P1568" s="6">
        <f t="shared" si="371"/>
        <v>0</v>
      </c>
      <c r="Q1568" s="7">
        <f t="shared" si="372"/>
        <v>2902813.0500000007</v>
      </c>
      <c r="R1568" s="44" t="str">
        <f>VLOOKUP(F1568,'Set up'!$A$2:$E$70,5,FALSE)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374"/>
        <v>4</v>
      </c>
      <c r="C1569" s="5">
        <f t="shared" si="375"/>
        <v>2023</v>
      </c>
      <c r="D1569" s="5" t="s">
        <v>1412</v>
      </c>
      <c r="E1569" s="5" t="str">
        <f>VLOOKUP(F1569,'Set up'!$A$2:$C$70,2,FALSE)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up'!$A$2:$C$70,3,FALSE)</f>
        <v>Cash</v>
      </c>
      <c r="J1569" s="5">
        <f>VLOOKUP(F1569,'Set up'!$A$2:$D$70,4,FALSE)</f>
        <v>0</v>
      </c>
      <c r="K1569" s="4">
        <f t="shared" si="376"/>
        <v>45023</v>
      </c>
      <c r="L1569" s="5">
        <f t="shared" si="377"/>
        <v>4</v>
      </c>
      <c r="M1569" s="5">
        <f t="shared" si="378"/>
        <v>2023</v>
      </c>
      <c r="N1569" s="6">
        <v>440</v>
      </c>
      <c r="O1569" s="6">
        <f t="shared" si="385"/>
        <v>-440</v>
      </c>
      <c r="P1569" s="6">
        <f t="shared" si="371"/>
        <v>0</v>
      </c>
      <c r="Q1569" s="7">
        <f t="shared" si="372"/>
        <v>2903253.0500000007</v>
      </c>
      <c r="R1569" s="44" t="str">
        <f>VLOOKUP(F1569,'Set up'!$A$2:$E$70,5,FALSE)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374"/>
        <v>4</v>
      </c>
      <c r="C1570" s="5">
        <f t="shared" si="375"/>
        <v>2023</v>
      </c>
      <c r="D1570" s="5" t="s">
        <v>1412</v>
      </c>
      <c r="E1570" s="5" t="str">
        <f>VLOOKUP(F1570,'Set up'!$A$2:$C$70,2,FALSE)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up'!$A$2:$C$70,3,FALSE)</f>
        <v>Cash</v>
      </c>
      <c r="J1570" s="5">
        <f>VLOOKUP(F1570,'Set up'!$A$2:$D$70,4,FALSE)</f>
        <v>0</v>
      </c>
      <c r="K1570" s="4">
        <f t="shared" si="376"/>
        <v>45023</v>
      </c>
      <c r="L1570" s="5">
        <f t="shared" si="377"/>
        <v>4</v>
      </c>
      <c r="M1570" s="5">
        <f t="shared" si="378"/>
        <v>2023</v>
      </c>
      <c r="N1570" s="6">
        <v>187.5</v>
      </c>
      <c r="O1570" s="6">
        <f t="shared" si="385"/>
        <v>-187.5</v>
      </c>
      <c r="P1570" s="6">
        <f t="shared" si="371"/>
        <v>0</v>
      </c>
      <c r="Q1570" s="7">
        <f t="shared" si="372"/>
        <v>2903440.5500000007</v>
      </c>
      <c r="R1570" s="44" t="str">
        <f>VLOOKUP(F1570,'Set up'!$A$2:$E$70,5,FALSE)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374"/>
        <v>4</v>
      </c>
      <c r="C1571" s="5">
        <f t="shared" si="375"/>
        <v>2023</v>
      </c>
      <c r="D1571" s="5" t="s">
        <v>1413</v>
      </c>
      <c r="E1571" s="5" t="str">
        <f>VLOOKUP(F1571,'Set up'!$A$2:$C$70,2,FALSE)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up'!$A$2:$C$70,3,FALSE)</f>
        <v>Cash</v>
      </c>
      <c r="J1571" s="5">
        <f>VLOOKUP(F1571,'Set up'!$A$2:$D$70,4,FALSE)</f>
        <v>0</v>
      </c>
      <c r="K1571" s="4">
        <f t="shared" si="376"/>
        <v>45024</v>
      </c>
      <c r="L1571" s="5">
        <f t="shared" si="377"/>
        <v>4</v>
      </c>
      <c r="M1571" s="5">
        <f t="shared" si="378"/>
        <v>2023</v>
      </c>
      <c r="N1571" s="6">
        <v>1892</v>
      </c>
      <c r="O1571" s="6">
        <f t="shared" si="385"/>
        <v>-1892</v>
      </c>
      <c r="P1571" s="6">
        <f t="shared" si="371"/>
        <v>0</v>
      </c>
      <c r="Q1571" s="7">
        <f t="shared" si="372"/>
        <v>2905332.5500000007</v>
      </c>
      <c r="R1571" s="44" t="str">
        <f>VLOOKUP(F1571,'Set up'!$A$2:$E$70,5,FALSE)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374"/>
        <v>4</v>
      </c>
      <c r="C1572" s="5">
        <f t="shared" si="375"/>
        <v>2023</v>
      </c>
      <c r="D1572" s="5" t="s">
        <v>1415</v>
      </c>
      <c r="E1572" s="5" t="str">
        <f>VLOOKUP(F1572,'Set up'!$A$2:$C$70,2,FALSE)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up'!$A$2:$C$70,3,FALSE)</f>
        <v>Cash</v>
      </c>
      <c r="J1572" s="5">
        <f>VLOOKUP(F1572,'Set up'!$A$2:$D$70,4,FALSE)</f>
        <v>0</v>
      </c>
      <c r="K1572" s="4">
        <f t="shared" si="376"/>
        <v>45024</v>
      </c>
      <c r="L1572" s="5">
        <f t="shared" si="377"/>
        <v>4</v>
      </c>
      <c r="M1572" s="5">
        <f t="shared" si="378"/>
        <v>2023</v>
      </c>
      <c r="N1572" s="6">
        <v>1870</v>
      </c>
      <c r="O1572" s="6">
        <f>-N1572</f>
        <v>-1870</v>
      </c>
      <c r="P1572" s="6">
        <f t="shared" si="371"/>
        <v>0</v>
      </c>
      <c r="Q1572" s="7">
        <f t="shared" si="372"/>
        <v>2907202.5500000007</v>
      </c>
      <c r="R1572" s="44" t="str">
        <f>VLOOKUP(F1572,'Set up'!$A$2:$E$70,5,FALSE)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374"/>
        <v>4</v>
      </c>
      <c r="C1573" s="5">
        <f t="shared" si="375"/>
        <v>2023</v>
      </c>
      <c r="D1573" s="5" t="s">
        <v>1415</v>
      </c>
      <c r="E1573" s="5" t="str">
        <f>VLOOKUP(F1573,'Set up'!$A$2:$C$70,2,FALSE)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up'!$A$2:$C$70,3,FALSE)</f>
        <v>Cash</v>
      </c>
      <c r="J1573" s="5">
        <f>VLOOKUP(F1573,'Set up'!$A$2:$D$70,4,FALSE)</f>
        <v>0</v>
      </c>
      <c r="K1573" s="4">
        <f t="shared" si="376"/>
        <v>45024</v>
      </c>
      <c r="L1573" s="5">
        <f t="shared" si="377"/>
        <v>4</v>
      </c>
      <c r="M1573" s="5">
        <f t="shared" si="378"/>
        <v>2023</v>
      </c>
      <c r="N1573" s="6">
        <v>234</v>
      </c>
      <c r="O1573" s="6">
        <f>-N1573</f>
        <v>-234</v>
      </c>
      <c r="P1573" s="6">
        <f t="shared" si="371"/>
        <v>0</v>
      </c>
      <c r="Q1573" s="7">
        <f t="shared" si="372"/>
        <v>2907436.5500000007</v>
      </c>
      <c r="R1573" s="44" t="str">
        <f>VLOOKUP(F1573,'Set up'!$A$2:$E$70,5,FALSE)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374"/>
        <v>4</v>
      </c>
      <c r="C1574" s="5">
        <f t="shared" si="375"/>
        <v>2023</v>
      </c>
      <c r="D1574" s="5" t="s">
        <v>1416</v>
      </c>
      <c r="E1574" s="5" t="str">
        <f>VLOOKUP(F1574,'Set up'!$A$2:$C$70,2,FALSE)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up'!$A$2:$C$70,3,FALSE)</f>
        <v>Cash</v>
      </c>
      <c r="J1574" s="5">
        <f>VLOOKUP(F1574,'Set up'!$A$2:$D$70,4,FALSE)</f>
        <v>0</v>
      </c>
      <c r="K1574" s="4">
        <f t="shared" si="376"/>
        <v>45026</v>
      </c>
      <c r="L1574" s="5">
        <f t="shared" si="377"/>
        <v>4</v>
      </c>
      <c r="M1574" s="5">
        <f t="shared" si="378"/>
        <v>2023</v>
      </c>
      <c r="N1574" s="6">
        <v>1755</v>
      </c>
      <c r="O1574" s="6">
        <f t="shared" ref="O1574:O1578" si="386">-N1574</f>
        <v>-1755</v>
      </c>
      <c r="P1574" s="6">
        <f t="shared" si="371"/>
        <v>0</v>
      </c>
      <c r="Q1574" s="7">
        <f t="shared" si="372"/>
        <v>2909191.5500000007</v>
      </c>
      <c r="R1574" s="44" t="str">
        <f>VLOOKUP(F1574,'Set up'!$A$2:$E$70,5,FALSE)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374"/>
        <v>4</v>
      </c>
      <c r="C1575" s="5">
        <f t="shared" si="375"/>
        <v>2023</v>
      </c>
      <c r="D1575" s="5" t="s">
        <v>1416</v>
      </c>
      <c r="E1575" s="5" t="str">
        <f>VLOOKUP(F1575,'Set up'!$A$2:$C$70,2,FALSE)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up'!$A$2:$C$70,3,FALSE)</f>
        <v>Cash</v>
      </c>
      <c r="J1575" s="5">
        <f>VLOOKUP(F1575,'Set up'!$A$2:$D$70,4,FALSE)</f>
        <v>0</v>
      </c>
      <c r="K1575" s="4">
        <f t="shared" si="376"/>
        <v>45026</v>
      </c>
      <c r="L1575" s="5">
        <f t="shared" si="377"/>
        <v>4</v>
      </c>
      <c r="M1575" s="5">
        <f t="shared" si="378"/>
        <v>2023</v>
      </c>
      <c r="N1575" s="6">
        <v>3696</v>
      </c>
      <c r="O1575" s="6">
        <f t="shared" si="386"/>
        <v>-3696</v>
      </c>
      <c r="P1575" s="6">
        <f t="shared" si="371"/>
        <v>0</v>
      </c>
      <c r="Q1575" s="7">
        <f t="shared" si="372"/>
        <v>2912887.5500000007</v>
      </c>
      <c r="R1575" s="44" t="str">
        <f>VLOOKUP(F1575,'Set up'!$A$2:$E$70,5,FALSE)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374"/>
        <v>4</v>
      </c>
      <c r="C1576" s="5">
        <f t="shared" si="375"/>
        <v>2023</v>
      </c>
      <c r="D1576" s="5" t="s">
        <v>1416</v>
      </c>
      <c r="E1576" s="5" t="str">
        <f>VLOOKUP(F1576,'Set up'!$A$2:$C$70,2,FALSE)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up'!$A$2:$C$70,3,FALSE)</f>
        <v>Cash</v>
      </c>
      <c r="J1576" s="5">
        <f>VLOOKUP(F1576,'Set up'!$A$2:$D$70,4,FALSE)</f>
        <v>0</v>
      </c>
      <c r="K1576" s="4">
        <f t="shared" si="376"/>
        <v>45026</v>
      </c>
      <c r="L1576" s="5">
        <f t="shared" si="377"/>
        <v>4</v>
      </c>
      <c r="M1576" s="5">
        <f t="shared" si="378"/>
        <v>2023</v>
      </c>
      <c r="N1576" s="6">
        <v>250</v>
      </c>
      <c r="O1576" s="6">
        <f t="shared" si="386"/>
        <v>-250</v>
      </c>
      <c r="P1576" s="6">
        <f t="shared" si="371"/>
        <v>0</v>
      </c>
      <c r="Q1576" s="7">
        <f t="shared" si="372"/>
        <v>2913137.5500000007</v>
      </c>
      <c r="R1576" s="44" t="str">
        <f>VLOOKUP(F1576,'Set up'!$A$2:$E$70,5,FALSE)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374"/>
        <v>4</v>
      </c>
      <c r="C1577" s="5">
        <f t="shared" si="375"/>
        <v>2023</v>
      </c>
      <c r="D1577" s="5" t="s">
        <v>1416</v>
      </c>
      <c r="E1577" s="5" t="str">
        <f>VLOOKUP(F1577,'Set up'!$A$2:$C$70,2,FALSE)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up'!$A$2:$C$70,3,FALSE)</f>
        <v>Cash</v>
      </c>
      <c r="J1577" s="5">
        <f>VLOOKUP(F1577,'Set up'!$A$2:$D$70,4,FALSE)</f>
        <v>0</v>
      </c>
      <c r="K1577" s="4">
        <f t="shared" si="376"/>
        <v>45026</v>
      </c>
      <c r="L1577" s="5">
        <f t="shared" si="377"/>
        <v>4</v>
      </c>
      <c r="M1577" s="5">
        <f t="shared" si="378"/>
        <v>2023</v>
      </c>
      <c r="N1577" s="6">
        <v>100</v>
      </c>
      <c r="O1577" s="6">
        <f t="shared" si="386"/>
        <v>-100</v>
      </c>
      <c r="P1577" s="6">
        <f t="shared" si="371"/>
        <v>0</v>
      </c>
      <c r="Q1577" s="7">
        <f t="shared" si="372"/>
        <v>2913237.5500000007</v>
      </c>
      <c r="R1577" s="44" t="str">
        <f>VLOOKUP(F1577,'Set up'!$A$2:$E$70,5,FALSE)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si="374"/>
        <v>4</v>
      </c>
      <c r="C1578" s="5">
        <f t="shared" si="375"/>
        <v>2023</v>
      </c>
      <c r="D1578" s="5" t="s">
        <v>1418</v>
      </c>
      <c r="E1578" s="5" t="str">
        <f>VLOOKUP(F1578,'Set up'!$A$2:$C$70,2,FALSE)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up'!$A$2:$C$70,3,FALSE)</f>
        <v>Cash</v>
      </c>
      <c r="J1578" s="5">
        <f>VLOOKUP(F1578,'Set up'!$A$2:$D$70,4,FALSE)</f>
        <v>0</v>
      </c>
      <c r="K1578" s="4">
        <f t="shared" si="376"/>
        <v>45025</v>
      </c>
      <c r="L1578" s="5">
        <f t="shared" si="377"/>
        <v>4</v>
      </c>
      <c r="M1578" s="5">
        <f t="shared" si="378"/>
        <v>2023</v>
      </c>
      <c r="N1578" s="6">
        <v>1000</v>
      </c>
      <c r="O1578" s="6">
        <f t="shared" si="386"/>
        <v>-1000</v>
      </c>
      <c r="P1578" s="6">
        <f t="shared" ref="P1578:P1595" si="387">SUM(N1578+O1578)</f>
        <v>0</v>
      </c>
      <c r="Q1578" s="7">
        <f t="shared" ref="Q1578:Q1595" si="388">SUM(Q1577+N1578)</f>
        <v>2914237.5500000007</v>
      </c>
      <c r="R1578" s="44" t="str">
        <f>VLOOKUP(F1578,'Set up'!$A$2:$E$70,5,FALSE)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374"/>
        <v>4</v>
      </c>
      <c r="C1579" s="5">
        <f t="shared" si="375"/>
        <v>2023</v>
      </c>
      <c r="D1579" s="5" t="s">
        <v>1422</v>
      </c>
      <c r="E1579" s="5" t="str">
        <f>VLOOKUP(F1579,'Set up'!$A$2:$C$70,2,FALSE)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up'!$A$2:$C$70,3,FALSE)</f>
        <v>Cash</v>
      </c>
      <c r="J1579" s="5">
        <f>VLOOKUP(F1579,'Set up'!$A$2:$D$70,4,FALSE)</f>
        <v>0</v>
      </c>
      <c r="K1579" s="4">
        <f t="shared" si="376"/>
        <v>45027</v>
      </c>
      <c r="L1579" s="5">
        <f t="shared" si="377"/>
        <v>4</v>
      </c>
      <c r="M1579" s="5">
        <f t="shared" si="378"/>
        <v>2023</v>
      </c>
      <c r="N1579" s="6">
        <v>267</v>
      </c>
      <c r="O1579" s="6">
        <f t="shared" ref="O1579:O1585" si="389">-N1579</f>
        <v>-267</v>
      </c>
      <c r="P1579" s="6">
        <f t="shared" si="387"/>
        <v>0</v>
      </c>
      <c r="Q1579" s="7">
        <f t="shared" si="388"/>
        <v>2914504.5500000007</v>
      </c>
      <c r="R1579" s="44" t="str">
        <f>VLOOKUP(F1579,'Set up'!$A$2:$E$70,5,FALSE)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374"/>
        <v>4</v>
      </c>
      <c r="C1580" s="5">
        <f t="shared" si="375"/>
        <v>2023</v>
      </c>
      <c r="D1580" s="5" t="s">
        <v>1422</v>
      </c>
      <c r="E1580" s="5" t="str">
        <f>VLOOKUP(F1580,'Set up'!$A$2:$C$70,2,FALSE)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up'!$A$2:$C$70,3,FALSE)</f>
        <v>Cash</v>
      </c>
      <c r="J1580" s="5">
        <f>VLOOKUP(F1580,'Set up'!$A$2:$D$70,4,FALSE)</f>
        <v>0</v>
      </c>
      <c r="K1580" s="4">
        <f t="shared" si="376"/>
        <v>45027</v>
      </c>
      <c r="L1580" s="5">
        <f t="shared" si="377"/>
        <v>4</v>
      </c>
      <c r="M1580" s="5">
        <f t="shared" si="378"/>
        <v>2023</v>
      </c>
      <c r="N1580" s="6">
        <v>258</v>
      </c>
      <c r="O1580" s="6">
        <f t="shared" si="389"/>
        <v>-258</v>
      </c>
      <c r="P1580" s="6">
        <f t="shared" si="387"/>
        <v>0</v>
      </c>
      <c r="Q1580" s="7">
        <f t="shared" si="388"/>
        <v>2914762.5500000007</v>
      </c>
      <c r="R1580" s="44" t="str">
        <f>VLOOKUP(F1580,'Set up'!$A$2:$E$70,5,FALSE)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374"/>
        <v>4</v>
      </c>
      <c r="C1581" s="5">
        <f t="shared" si="375"/>
        <v>2023</v>
      </c>
      <c r="D1581" s="5" t="s">
        <v>1422</v>
      </c>
      <c r="E1581" s="5" t="str">
        <f>VLOOKUP(F1581,'Set up'!$A$2:$C$70,2,FALSE)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up'!$A$2:$C$70,3,FALSE)</f>
        <v>Cash</v>
      </c>
      <c r="J1581" s="5">
        <f>VLOOKUP(F1581,'Set up'!$A$2:$D$70,4,FALSE)</f>
        <v>0</v>
      </c>
      <c r="K1581" s="4">
        <f t="shared" si="376"/>
        <v>45027</v>
      </c>
      <c r="L1581" s="5">
        <f t="shared" si="377"/>
        <v>4</v>
      </c>
      <c r="M1581" s="5">
        <f t="shared" si="378"/>
        <v>2023</v>
      </c>
      <c r="N1581" s="6">
        <v>95</v>
      </c>
      <c r="O1581" s="6">
        <f t="shared" si="389"/>
        <v>-95</v>
      </c>
      <c r="P1581" s="6">
        <f t="shared" si="387"/>
        <v>0</v>
      </c>
      <c r="Q1581" s="7">
        <f t="shared" si="388"/>
        <v>2914857.5500000007</v>
      </c>
      <c r="R1581" s="44" t="str">
        <f>VLOOKUP(F1581,'Set up'!$A$2:$E$70,5,FALSE)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374"/>
        <v>4</v>
      </c>
      <c r="C1582" s="5">
        <f t="shared" si="375"/>
        <v>2023</v>
      </c>
      <c r="D1582" s="5" t="s">
        <v>1422</v>
      </c>
      <c r="E1582" s="5" t="str">
        <f>VLOOKUP(F1582,'Set up'!$A$2:$C$70,2,FALSE)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up'!$A$2:$C$70,3,FALSE)</f>
        <v>Cash</v>
      </c>
      <c r="J1582" s="5">
        <f>VLOOKUP(F1582,'Set up'!$A$2:$D$70,4,FALSE)</f>
        <v>0</v>
      </c>
      <c r="K1582" s="4">
        <f t="shared" si="376"/>
        <v>45027</v>
      </c>
      <c r="L1582" s="5">
        <f t="shared" si="377"/>
        <v>4</v>
      </c>
      <c r="M1582" s="5">
        <f t="shared" si="378"/>
        <v>2023</v>
      </c>
      <c r="N1582" s="6">
        <v>50</v>
      </c>
      <c r="O1582" s="6">
        <f t="shared" si="389"/>
        <v>-50</v>
      </c>
      <c r="P1582" s="6">
        <f t="shared" si="387"/>
        <v>0</v>
      </c>
      <c r="Q1582" s="7">
        <f t="shared" si="388"/>
        <v>2914907.5500000007</v>
      </c>
      <c r="R1582" s="44" t="str">
        <f>VLOOKUP(F1582,'Set up'!$A$2:$E$70,5,FALSE)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374"/>
        <v>4</v>
      </c>
      <c r="C1583" s="5">
        <f t="shared" si="375"/>
        <v>2023</v>
      </c>
      <c r="D1583" s="5" t="s">
        <v>1427</v>
      </c>
      <c r="E1583" s="5" t="str">
        <f>VLOOKUP(F1583,'Set up'!$A$2:$C$70,2,FALSE)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up'!$A$2:$C$70,3,FALSE)</f>
        <v>Cash</v>
      </c>
      <c r="J1583" s="5">
        <f>VLOOKUP(F1583,'Set up'!$A$2:$D$70,4,FALSE)</f>
        <v>0</v>
      </c>
      <c r="K1583" s="4">
        <f t="shared" si="376"/>
        <v>45028</v>
      </c>
      <c r="L1583" s="5">
        <f t="shared" si="377"/>
        <v>4</v>
      </c>
      <c r="M1583" s="5">
        <f t="shared" si="378"/>
        <v>2023</v>
      </c>
      <c r="N1583" s="6">
        <v>1870</v>
      </c>
      <c r="O1583" s="6">
        <f t="shared" si="389"/>
        <v>-1870</v>
      </c>
      <c r="P1583" s="6">
        <f t="shared" si="387"/>
        <v>0</v>
      </c>
      <c r="Q1583" s="7">
        <f t="shared" si="388"/>
        <v>2916777.5500000007</v>
      </c>
      <c r="R1583" s="44" t="str">
        <f>VLOOKUP(F1583,'Set up'!$A$2:$E$70,5,FALSE)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374"/>
        <v>4</v>
      </c>
      <c r="C1584" s="5">
        <f t="shared" si="375"/>
        <v>2023</v>
      </c>
      <c r="D1584" s="5" t="s">
        <v>1427</v>
      </c>
      <c r="E1584" s="5" t="str">
        <f>VLOOKUP(F1584,'Set up'!$A$2:$C$70,2,FALSE)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up'!$A$2:$C$70,3,FALSE)</f>
        <v>Cash</v>
      </c>
      <c r="J1584" s="5">
        <f>VLOOKUP(F1584,'Set up'!$A$2:$D$70,4,FALSE)</f>
        <v>0</v>
      </c>
      <c r="K1584" s="4">
        <f t="shared" si="376"/>
        <v>45028</v>
      </c>
      <c r="L1584" s="5">
        <f t="shared" si="377"/>
        <v>4</v>
      </c>
      <c r="M1584" s="5">
        <f t="shared" si="378"/>
        <v>2023</v>
      </c>
      <c r="N1584" s="6">
        <v>765</v>
      </c>
      <c r="O1584" s="6">
        <f t="shared" si="389"/>
        <v>-765</v>
      </c>
      <c r="P1584" s="6">
        <f t="shared" si="387"/>
        <v>0</v>
      </c>
      <c r="Q1584" s="7">
        <f t="shared" si="388"/>
        <v>2917542.5500000007</v>
      </c>
      <c r="R1584" s="44" t="str">
        <f>VLOOKUP(F1584,'Set up'!$A$2:$E$70,5,FALSE)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374"/>
        <v>4</v>
      </c>
      <c r="C1585" s="5">
        <f t="shared" si="375"/>
        <v>2023</v>
      </c>
      <c r="D1585" s="5" t="s">
        <v>1427</v>
      </c>
      <c r="E1585" s="5" t="str">
        <f>VLOOKUP(F1585,'Set up'!$A$2:$C$70,2,FALSE)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up'!$A$2:$C$70,3,FALSE)</f>
        <v>Cash</v>
      </c>
      <c r="J1585" s="5">
        <f>VLOOKUP(F1585,'Set up'!$A$2:$D$70,4,FALSE)</f>
        <v>0</v>
      </c>
      <c r="K1585" s="4">
        <f t="shared" si="376"/>
        <v>45028</v>
      </c>
      <c r="L1585" s="5">
        <f t="shared" si="377"/>
        <v>4</v>
      </c>
      <c r="M1585" s="5">
        <f t="shared" si="378"/>
        <v>2023</v>
      </c>
      <c r="N1585" s="6">
        <v>312.5</v>
      </c>
      <c r="O1585" s="6">
        <f t="shared" si="389"/>
        <v>-312.5</v>
      </c>
      <c r="P1585" s="6">
        <f t="shared" si="387"/>
        <v>0</v>
      </c>
      <c r="Q1585" s="7">
        <f t="shared" si="388"/>
        <v>2917855.0500000007</v>
      </c>
      <c r="R1585" s="44" t="str">
        <f>VLOOKUP(F1585,'Set up'!$A$2:$E$70,5,FALSE)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374"/>
        <v>4</v>
      </c>
      <c r="C1586" s="5">
        <f t="shared" si="375"/>
        <v>2023</v>
      </c>
      <c r="D1586" s="5" t="s">
        <v>1429</v>
      </c>
      <c r="E1586" s="5" t="str">
        <f>VLOOKUP(F1586,'Set up'!$A$2:$C$70,2,FALSE)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up'!$A$2:$C$70,3,FALSE)</f>
        <v>30</v>
      </c>
      <c r="J1586" s="5">
        <f>VLOOKUP(F1586,'Set up'!$A$2:$D$70,4,FALSE)</f>
        <v>30</v>
      </c>
      <c r="K1586" s="4">
        <f t="shared" si="376"/>
        <v>45059</v>
      </c>
      <c r="L1586" s="5">
        <f t="shared" si="377"/>
        <v>5</v>
      </c>
      <c r="M1586" s="5">
        <f t="shared" si="378"/>
        <v>2023</v>
      </c>
      <c r="N1586" s="6">
        <v>3696</v>
      </c>
      <c r="O1586" s="6">
        <f t="shared" ref="O1586:O1587" si="390">-N1586</f>
        <v>-3696</v>
      </c>
      <c r="P1586" s="6">
        <f t="shared" si="387"/>
        <v>0</v>
      </c>
      <c r="Q1586" s="7">
        <f t="shared" si="388"/>
        <v>2921551.0500000007</v>
      </c>
      <c r="R1586" s="44" t="str">
        <f>VLOOKUP(F1586,'Set up'!$A$2:$E$70,5,FALSE)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374"/>
        <v>4</v>
      </c>
      <c r="C1587" s="5">
        <f t="shared" si="375"/>
        <v>2023</v>
      </c>
      <c r="D1587" s="5" t="s">
        <v>1429</v>
      </c>
      <c r="E1587" s="5" t="str">
        <f>VLOOKUP(F1587,'Set up'!$A$2:$C$70,2,FALSE)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up'!$A$2:$C$70,3,FALSE)</f>
        <v>30</v>
      </c>
      <c r="J1587" s="5">
        <f>VLOOKUP(F1587,'Set up'!$A$2:$D$70,4,FALSE)</f>
        <v>30</v>
      </c>
      <c r="K1587" s="4">
        <f t="shared" si="376"/>
        <v>45059</v>
      </c>
      <c r="L1587" s="5">
        <f t="shared" si="377"/>
        <v>5</v>
      </c>
      <c r="M1587" s="5">
        <f t="shared" si="378"/>
        <v>2023</v>
      </c>
      <c r="N1587" s="6">
        <v>1263.5999999999999</v>
      </c>
      <c r="O1587" s="6">
        <f t="shared" si="390"/>
        <v>-1263.5999999999999</v>
      </c>
      <c r="P1587" s="6">
        <f t="shared" si="387"/>
        <v>0</v>
      </c>
      <c r="Q1587" s="7">
        <f t="shared" si="388"/>
        <v>2922814.6500000008</v>
      </c>
      <c r="R1587" s="44" t="str">
        <f>VLOOKUP(F1587,'Set up'!$A$2:$E$70,5,FALSE)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374"/>
        <v>4</v>
      </c>
      <c r="C1588" s="5">
        <f t="shared" si="375"/>
        <v>2023</v>
      </c>
      <c r="D1588" s="5" t="s">
        <v>1432</v>
      </c>
      <c r="E1588" s="5" t="str">
        <f>VLOOKUP(F1588,'Set up'!$A$2:$C$70,2,FALSE)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up'!$A$2:$C$70,3,FALSE)</f>
        <v>Cash</v>
      </c>
      <c r="J1588" s="5">
        <f>VLOOKUP(F1588,'Set up'!$A$2:$D$70,4,FALSE)</f>
        <v>0</v>
      </c>
      <c r="K1588" s="4">
        <f t="shared" si="376"/>
        <v>45030</v>
      </c>
      <c r="L1588" s="5">
        <f t="shared" si="377"/>
        <v>4</v>
      </c>
      <c r="M1588" s="5">
        <f t="shared" si="378"/>
        <v>2023</v>
      </c>
      <c r="N1588" s="6">
        <v>1892</v>
      </c>
      <c r="O1588" s="6">
        <f>-1642.8-249.2</f>
        <v>-1892</v>
      </c>
      <c r="P1588" s="6">
        <f t="shared" si="387"/>
        <v>0</v>
      </c>
      <c r="Q1588" s="7">
        <f t="shared" si="388"/>
        <v>2924706.6500000008</v>
      </c>
      <c r="R1588" s="44" t="str">
        <f>VLOOKUP(F1588,'Set up'!$A$2:$E$70,5,FALSE)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374"/>
        <v>4</v>
      </c>
      <c r="C1589" s="5">
        <f t="shared" si="375"/>
        <v>2023</v>
      </c>
      <c r="D1589" s="5" t="s">
        <v>1432</v>
      </c>
      <c r="E1589" s="5" t="str">
        <f>VLOOKUP(F1589,'Set up'!$A$2:$C$70,2,FALSE)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up'!$A$2:$C$70,3,FALSE)</f>
        <v>Cash</v>
      </c>
      <c r="J1589" s="5">
        <f>VLOOKUP(F1589,'Set up'!$A$2:$D$70,4,FALSE)</f>
        <v>0</v>
      </c>
      <c r="K1589" s="4">
        <f t="shared" si="376"/>
        <v>45030</v>
      </c>
      <c r="L1589" s="5">
        <f t="shared" si="377"/>
        <v>4</v>
      </c>
      <c r="M1589" s="5">
        <f t="shared" si="378"/>
        <v>2023</v>
      </c>
      <c r="N1589" s="6">
        <v>258</v>
      </c>
      <c r="O1589" s="6">
        <f t="shared" ref="O1589:O1591" si="391">-N1589</f>
        <v>-258</v>
      </c>
      <c r="P1589" s="6">
        <f t="shared" si="387"/>
        <v>0</v>
      </c>
      <c r="Q1589" s="7">
        <f t="shared" si="388"/>
        <v>2924964.6500000008</v>
      </c>
      <c r="R1589" s="44" t="str">
        <f>VLOOKUP(F1589,'Set up'!$A$2:$E$70,5,FALSE)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374"/>
        <v>4</v>
      </c>
      <c r="C1590" s="5">
        <f t="shared" si="375"/>
        <v>2023</v>
      </c>
      <c r="D1590" s="5" t="s">
        <v>1432</v>
      </c>
      <c r="E1590" s="5" t="str">
        <f>VLOOKUP(F1590,'Set up'!$A$2:$C$70,2,FALSE)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up'!$A$2:$C$70,3,FALSE)</f>
        <v>Cash</v>
      </c>
      <c r="J1590" s="5">
        <f>VLOOKUP(F1590,'Set up'!$A$2:$D$70,4,FALSE)</f>
        <v>0</v>
      </c>
      <c r="K1590" s="4">
        <f t="shared" si="376"/>
        <v>45030</v>
      </c>
      <c r="L1590" s="5">
        <f t="shared" si="377"/>
        <v>4</v>
      </c>
      <c r="M1590" s="5">
        <f t="shared" si="378"/>
        <v>2023</v>
      </c>
      <c r="N1590" s="6">
        <v>110</v>
      </c>
      <c r="O1590" s="6">
        <f t="shared" si="391"/>
        <v>-110</v>
      </c>
      <c r="P1590" s="6">
        <f t="shared" si="387"/>
        <v>0</v>
      </c>
      <c r="Q1590" s="7">
        <f t="shared" si="388"/>
        <v>2925074.6500000008</v>
      </c>
      <c r="R1590" s="44" t="str">
        <f>VLOOKUP(F1590,'Set up'!$A$2:$E$70,5,FALSE)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374"/>
        <v>4</v>
      </c>
      <c r="C1591" s="5">
        <f t="shared" si="375"/>
        <v>2023</v>
      </c>
      <c r="D1591" s="5" t="s">
        <v>1433</v>
      </c>
      <c r="E1591" s="5" t="str">
        <f>VLOOKUP(F1591,'Set up'!$A$2:$C$70,2,FALSE)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up'!$A$2:$C$70,3,FALSE)</f>
        <v>Cash</v>
      </c>
      <c r="J1591" s="5">
        <f>VLOOKUP(F1591,'Set up'!$A$2:$D$70,4,FALSE)</f>
        <v>0</v>
      </c>
      <c r="K1591" s="4">
        <f t="shared" si="376"/>
        <v>45031</v>
      </c>
      <c r="L1591" s="5">
        <f t="shared" si="377"/>
        <v>4</v>
      </c>
      <c r="M1591" s="5">
        <f t="shared" si="378"/>
        <v>2023</v>
      </c>
      <c r="N1591" s="6">
        <v>312.5</v>
      </c>
      <c r="O1591" s="6">
        <f t="shared" si="391"/>
        <v>-312.5</v>
      </c>
      <c r="P1591" s="6">
        <f t="shared" si="387"/>
        <v>0</v>
      </c>
      <c r="Q1591" s="7">
        <f t="shared" si="388"/>
        <v>2925387.1500000008</v>
      </c>
      <c r="R1591" s="44" t="str">
        <f>VLOOKUP(F1591,'Set up'!$A$2:$E$70,5,FALSE)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374"/>
        <v>4</v>
      </c>
      <c r="C1592" s="5">
        <f t="shared" si="375"/>
        <v>2023</v>
      </c>
      <c r="D1592" s="5" t="s">
        <v>1434</v>
      </c>
      <c r="E1592" s="5" t="str">
        <f>VLOOKUP(F1592,'Set up'!$A$2:$C$70,2,FALSE)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up'!$A$2:$C$70,3,FALSE)</f>
        <v>Cash</v>
      </c>
      <c r="J1592" s="5">
        <f>VLOOKUP(F1592,'Set up'!$A$2:$D$70,4,FALSE)</f>
        <v>0</v>
      </c>
      <c r="K1592" s="4">
        <f t="shared" si="376"/>
        <v>45031</v>
      </c>
      <c r="L1592" s="5">
        <f t="shared" si="377"/>
        <v>4</v>
      </c>
      <c r="M1592" s="5">
        <f t="shared" si="378"/>
        <v>2023</v>
      </c>
      <c r="N1592" s="6">
        <v>8910</v>
      </c>
      <c r="O1592" s="6">
        <f>-5756.9-3153.1</f>
        <v>-8910</v>
      </c>
      <c r="P1592" s="6">
        <f t="shared" si="387"/>
        <v>0</v>
      </c>
      <c r="Q1592" s="7">
        <f t="shared" si="388"/>
        <v>2934297.1500000008</v>
      </c>
      <c r="R1592" s="44" t="str">
        <f>VLOOKUP(F1592,'Set up'!$A$2:$E$70,5,FALSE)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374"/>
        <v>4</v>
      </c>
      <c r="C1593" s="5">
        <f t="shared" si="375"/>
        <v>2023</v>
      </c>
      <c r="D1593" s="5" t="s">
        <v>1434</v>
      </c>
      <c r="E1593" s="5" t="str">
        <f>VLOOKUP(F1593,'Set up'!$A$2:$C$70,2,FALSE)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up'!$A$2:$C$70,3,FALSE)</f>
        <v>Cash</v>
      </c>
      <c r="J1593" s="5">
        <f>VLOOKUP(F1593,'Set up'!$A$2:$D$70,4,FALSE)</f>
        <v>0</v>
      </c>
      <c r="K1593" s="4">
        <f t="shared" si="376"/>
        <v>45031</v>
      </c>
      <c r="L1593" s="5">
        <f t="shared" si="377"/>
        <v>4</v>
      </c>
      <c r="M1593" s="5">
        <f t="shared" si="378"/>
        <v>2023</v>
      </c>
      <c r="N1593" s="6">
        <v>3420</v>
      </c>
      <c r="O1593" s="6">
        <f t="shared" ref="O1593:O1595" si="392">-N1593</f>
        <v>-3420</v>
      </c>
      <c r="P1593" s="6">
        <f t="shared" si="387"/>
        <v>0</v>
      </c>
      <c r="Q1593" s="7">
        <f t="shared" si="388"/>
        <v>2937717.1500000008</v>
      </c>
      <c r="R1593" s="44" t="str">
        <f>VLOOKUP(F1593,'Set up'!$A$2:$E$70,5,FALSE)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374"/>
        <v>4</v>
      </c>
      <c r="C1594" s="5">
        <f t="shared" si="375"/>
        <v>2023</v>
      </c>
      <c r="D1594" s="5" t="s">
        <v>1434</v>
      </c>
      <c r="E1594" s="5" t="str">
        <f>VLOOKUP(F1594,'Set up'!$A$2:$C$70,2,FALSE)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up'!$A$2:$C$70,3,FALSE)</f>
        <v>Cash</v>
      </c>
      <c r="J1594" s="5">
        <f>VLOOKUP(F1594,'Set up'!$A$2:$D$70,4,FALSE)</f>
        <v>0</v>
      </c>
      <c r="K1594" s="4">
        <f t="shared" si="376"/>
        <v>45031</v>
      </c>
      <c r="L1594" s="5">
        <f t="shared" si="377"/>
        <v>4</v>
      </c>
      <c r="M1594" s="5">
        <f t="shared" si="378"/>
        <v>2023</v>
      </c>
      <c r="N1594" s="6">
        <v>1852.2000000000003</v>
      </c>
      <c r="O1594" s="6">
        <f t="shared" si="392"/>
        <v>-1852.2000000000003</v>
      </c>
      <c r="P1594" s="6">
        <f t="shared" si="387"/>
        <v>0</v>
      </c>
      <c r="Q1594" s="7">
        <f t="shared" si="388"/>
        <v>2939569.350000001</v>
      </c>
      <c r="R1594" s="44" t="str">
        <f>VLOOKUP(F1594,'Set up'!$A$2:$E$70,5,FALSE)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374"/>
        <v>4</v>
      </c>
      <c r="C1595" s="5">
        <f t="shared" si="375"/>
        <v>2023</v>
      </c>
      <c r="D1595" s="5" t="s">
        <v>1434</v>
      </c>
      <c r="E1595" s="5" t="str">
        <f>VLOOKUP(F1595,'Set up'!$A$2:$C$70,2,FALSE)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up'!$A$2:$C$70,3,FALSE)</f>
        <v>Cash</v>
      </c>
      <c r="J1595" s="5">
        <f>VLOOKUP(F1595,'Set up'!$A$2:$D$70,4,FALSE)</f>
        <v>0</v>
      </c>
      <c r="K1595" s="4">
        <f t="shared" si="376"/>
        <v>45031</v>
      </c>
      <c r="L1595" s="5">
        <f t="shared" si="377"/>
        <v>4</v>
      </c>
      <c r="M1595" s="5">
        <f t="shared" si="378"/>
        <v>2023</v>
      </c>
      <c r="N1595" s="6">
        <v>1000</v>
      </c>
      <c r="O1595" s="6">
        <f t="shared" si="392"/>
        <v>-1000</v>
      </c>
      <c r="P1595" s="6">
        <f t="shared" si="387"/>
        <v>0</v>
      </c>
      <c r="Q1595" s="7">
        <f t="shared" si="388"/>
        <v>2940569.350000001</v>
      </c>
      <c r="R1595" s="44" t="str">
        <f>VLOOKUP(F1595,'Set up'!$A$2:$E$70,5,FALSE)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si="374"/>
        <v>4</v>
      </c>
      <c r="C1596" s="5">
        <f t="shared" si="375"/>
        <v>2023</v>
      </c>
      <c r="D1596" s="5" t="s">
        <v>1438</v>
      </c>
      <c r="E1596" s="5" t="str">
        <f>VLOOKUP(F1596,'Set up'!$A$2:$C$70,2,FALSE)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up'!$A$2:$C$70,3,FALSE)</f>
        <v>Cash</v>
      </c>
      <c r="J1596" s="5">
        <f>VLOOKUP(F1596,'Set up'!$A$2:$D$70,4,FALSE)</f>
        <v>0</v>
      </c>
      <c r="K1596" s="4">
        <f t="shared" si="376"/>
        <v>45034</v>
      </c>
      <c r="L1596" s="5">
        <f t="shared" si="377"/>
        <v>4</v>
      </c>
      <c r="M1596" s="5">
        <f t="shared" si="378"/>
        <v>2023</v>
      </c>
      <c r="N1596" s="6">
        <v>1870</v>
      </c>
      <c r="O1596" s="6">
        <f t="shared" ref="O1596:O1599" si="393">-N1596</f>
        <v>-1870</v>
      </c>
      <c r="P1596" s="6">
        <f t="shared" ref="P1596:P1620" si="394">SUM(N1596+O1596)</f>
        <v>0</v>
      </c>
      <c r="Q1596" s="7">
        <f t="shared" ref="Q1596:Q1620" si="395">SUM(Q1595+N1596)</f>
        <v>2942439.350000001</v>
      </c>
      <c r="R1596" s="44" t="str">
        <f>VLOOKUP(F1596,'Set up'!$A$2:$E$70,5,FALSE)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374"/>
        <v>4</v>
      </c>
      <c r="C1597" s="5">
        <f t="shared" si="375"/>
        <v>2023</v>
      </c>
      <c r="D1597" s="5" t="s">
        <v>1438</v>
      </c>
      <c r="E1597" s="5" t="str">
        <f>VLOOKUP(F1597,'Set up'!$A$2:$C$70,2,FALSE)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up'!$A$2:$C$70,3,FALSE)</f>
        <v>Cash</v>
      </c>
      <c r="J1597" s="5">
        <f>VLOOKUP(F1597,'Set up'!$A$2:$D$70,4,FALSE)</f>
        <v>0</v>
      </c>
      <c r="K1597" s="4">
        <f t="shared" si="376"/>
        <v>45034</v>
      </c>
      <c r="L1597" s="5">
        <f t="shared" si="377"/>
        <v>4</v>
      </c>
      <c r="M1597" s="5">
        <f t="shared" si="378"/>
        <v>2023</v>
      </c>
      <c r="N1597" s="6">
        <v>765</v>
      </c>
      <c r="O1597" s="6">
        <f t="shared" si="393"/>
        <v>-765</v>
      </c>
      <c r="P1597" s="6">
        <f t="shared" si="394"/>
        <v>0</v>
      </c>
      <c r="Q1597" s="7">
        <f t="shared" si="395"/>
        <v>2943204.350000001</v>
      </c>
      <c r="R1597" s="44" t="str">
        <f>VLOOKUP(F1597,'Set up'!$A$2:$E$70,5,FALSE)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374"/>
        <v>4</v>
      </c>
      <c r="C1598" s="5">
        <f t="shared" si="375"/>
        <v>2023</v>
      </c>
      <c r="D1598" s="5" t="s">
        <v>1438</v>
      </c>
      <c r="E1598" s="5" t="str">
        <f>VLOOKUP(F1598,'Set up'!$A$2:$C$70,2,FALSE)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up'!$A$2:$C$70,3,FALSE)</f>
        <v>Cash</v>
      </c>
      <c r="J1598" s="5">
        <f>VLOOKUP(F1598,'Set up'!$A$2:$D$70,4,FALSE)</f>
        <v>0</v>
      </c>
      <c r="K1598" s="4">
        <f t="shared" si="376"/>
        <v>45034</v>
      </c>
      <c r="L1598" s="5">
        <f t="shared" si="377"/>
        <v>4</v>
      </c>
      <c r="M1598" s="5">
        <f t="shared" si="378"/>
        <v>2023</v>
      </c>
      <c r="N1598" s="6">
        <v>312.5</v>
      </c>
      <c r="O1598" s="6">
        <f t="shared" si="393"/>
        <v>-312.5</v>
      </c>
      <c r="P1598" s="6">
        <f t="shared" si="394"/>
        <v>0</v>
      </c>
      <c r="Q1598" s="7">
        <f t="shared" si="395"/>
        <v>2943516.850000001</v>
      </c>
      <c r="R1598" s="44" t="str">
        <f>VLOOKUP(F1598,'Set up'!$A$2:$E$70,5,FALSE)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374"/>
        <v>4</v>
      </c>
      <c r="C1599" s="5">
        <f t="shared" si="375"/>
        <v>2023</v>
      </c>
      <c r="D1599" s="5" t="s">
        <v>1438</v>
      </c>
      <c r="E1599" s="5" t="str">
        <f>VLOOKUP(F1599,'Set up'!$A$2:$C$70,2,FALSE)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up'!$A$2:$C$70,3,FALSE)</f>
        <v>Cash</v>
      </c>
      <c r="J1599" s="5">
        <f>VLOOKUP(F1599,'Set up'!$A$2:$D$70,4,FALSE)</f>
        <v>0</v>
      </c>
      <c r="K1599" s="4">
        <f t="shared" si="376"/>
        <v>45034</v>
      </c>
      <c r="L1599" s="5">
        <f t="shared" si="377"/>
        <v>4</v>
      </c>
      <c r="M1599" s="5">
        <f t="shared" si="378"/>
        <v>2023</v>
      </c>
      <c r="N1599" s="6">
        <v>190</v>
      </c>
      <c r="O1599" s="6">
        <f t="shared" si="393"/>
        <v>-190</v>
      </c>
      <c r="P1599" s="6">
        <f t="shared" si="394"/>
        <v>0</v>
      </c>
      <c r="Q1599" s="7">
        <f t="shared" si="395"/>
        <v>2943706.850000001</v>
      </c>
      <c r="R1599" s="44" t="str">
        <f>VLOOKUP(F1599,'Set up'!$A$2:$E$70,5,FALSE)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374"/>
        <v>4</v>
      </c>
      <c r="C1600" s="5">
        <f t="shared" si="375"/>
        <v>2023</v>
      </c>
      <c r="D1600" s="5" t="s">
        <v>1440</v>
      </c>
      <c r="E1600" s="5" t="str">
        <f>VLOOKUP(F1600,'Set up'!$A$2:$C$70,2,FALSE)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up'!$A$2:$C$70,3,FALSE)</f>
        <v>60</v>
      </c>
      <c r="J1600" s="5">
        <f>VLOOKUP(F1600,'Set up'!$A$2:$D$70,4,FALSE)</f>
        <v>60</v>
      </c>
      <c r="K1600" s="4">
        <f t="shared" si="376"/>
        <v>45095</v>
      </c>
      <c r="L1600" s="5">
        <f t="shared" si="377"/>
        <v>6</v>
      </c>
      <c r="M1600" s="5">
        <f t="shared" si="378"/>
        <v>2023</v>
      </c>
      <c r="N1600" s="6">
        <v>3388</v>
      </c>
      <c r="O1600" s="6">
        <f t="shared" ref="O1600:O1602" si="396">-N1600</f>
        <v>-3388</v>
      </c>
      <c r="P1600" s="6">
        <f t="shared" si="394"/>
        <v>0</v>
      </c>
      <c r="Q1600" s="7">
        <f t="shared" si="395"/>
        <v>2947094.850000001</v>
      </c>
      <c r="R1600" s="44" t="str">
        <f>VLOOKUP(F1600,'Set up'!$A$2:$E$70,5,FALSE)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374"/>
        <v>4</v>
      </c>
      <c r="C1601" s="5">
        <f t="shared" si="375"/>
        <v>2023</v>
      </c>
      <c r="D1601" s="5" t="s">
        <v>1440</v>
      </c>
      <c r="E1601" s="5" t="str">
        <f>VLOOKUP(F1601,'Set up'!$A$2:$C$70,2,FALSE)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up'!$A$2:$C$70,3,FALSE)</f>
        <v>60</v>
      </c>
      <c r="J1601" s="5">
        <f>VLOOKUP(F1601,'Set up'!$A$2:$D$70,4,FALSE)</f>
        <v>60</v>
      </c>
      <c r="K1601" s="4">
        <f t="shared" si="376"/>
        <v>45095</v>
      </c>
      <c r="L1601" s="5">
        <f t="shared" si="377"/>
        <v>6</v>
      </c>
      <c r="M1601" s="5">
        <f t="shared" si="378"/>
        <v>2023</v>
      </c>
      <c r="N1601" s="6">
        <v>745.2</v>
      </c>
      <c r="O1601" s="6">
        <f t="shared" si="396"/>
        <v>-745.2</v>
      </c>
      <c r="P1601" s="6">
        <f t="shared" si="394"/>
        <v>0</v>
      </c>
      <c r="Q1601" s="7">
        <f t="shared" si="395"/>
        <v>2947840.0500000012</v>
      </c>
      <c r="R1601" s="44" t="str">
        <f>VLOOKUP(F1601,'Set up'!$A$2:$E$70,5,FALSE)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374"/>
        <v>4</v>
      </c>
      <c r="C1602" s="5">
        <f t="shared" si="375"/>
        <v>2023</v>
      </c>
      <c r="D1602" s="5" t="s">
        <v>1440</v>
      </c>
      <c r="E1602" s="5" t="str">
        <f>VLOOKUP(F1602,'Set up'!$A$2:$C$70,2,FALSE)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up'!$A$2:$C$70,3,FALSE)</f>
        <v>60</v>
      </c>
      <c r="J1602" s="5">
        <f>VLOOKUP(F1602,'Set up'!$A$2:$D$70,4,FALSE)</f>
        <v>60</v>
      </c>
      <c r="K1602" s="4">
        <f t="shared" si="376"/>
        <v>45095</v>
      </c>
      <c r="L1602" s="5">
        <f t="shared" si="377"/>
        <v>6</v>
      </c>
      <c r="M1602" s="5">
        <f t="shared" si="378"/>
        <v>2023</v>
      </c>
      <c r="N1602" s="6">
        <v>745.2</v>
      </c>
      <c r="O1602" s="6">
        <f t="shared" si="396"/>
        <v>-745.2</v>
      </c>
      <c r="P1602" s="6">
        <f t="shared" si="394"/>
        <v>0</v>
      </c>
      <c r="Q1602" s="7">
        <f t="shared" si="395"/>
        <v>2948585.2500000014</v>
      </c>
      <c r="R1602" s="44" t="str">
        <f>VLOOKUP(F1602,'Set up'!$A$2:$E$70,5,FALSE)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ref="B1603:B1666" si="397">MONTH(A1603)</f>
        <v>4</v>
      </c>
      <c r="C1603" s="5">
        <f t="shared" ref="C1603:C1666" si="398">YEAR(A1603)</f>
        <v>2023</v>
      </c>
      <c r="D1603" s="5" t="s">
        <v>1454</v>
      </c>
      <c r="E1603" s="5" t="str">
        <f>VLOOKUP(F1603,'Set up'!$A$2:$C$70,2,FALSE)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up'!$A$2:$C$70,3,FALSE)</f>
        <v>Cash</v>
      </c>
      <c r="J1603" s="5">
        <f>VLOOKUP(F1603,'Set up'!$A$2:$D$70,4,FALSE)</f>
        <v>0</v>
      </c>
      <c r="K1603" s="4">
        <f t="shared" ref="K1603:K1666" si="399">A1603+J1603</f>
        <v>45036</v>
      </c>
      <c r="L1603" s="5">
        <f t="shared" ref="L1603:L1666" si="400">MONTH(K1603)</f>
        <v>4</v>
      </c>
      <c r="M1603" s="5">
        <f t="shared" ref="M1603:M1666" si="401">YEAR(K1603)</f>
        <v>2023</v>
      </c>
      <c r="N1603" s="6">
        <v>5478</v>
      </c>
      <c r="O1603" s="6">
        <f t="shared" ref="O1603:O1612" si="402">-N1603</f>
        <v>-5478</v>
      </c>
      <c r="P1603" s="6">
        <f t="shared" si="394"/>
        <v>0</v>
      </c>
      <c r="Q1603" s="7">
        <f t="shared" si="395"/>
        <v>2954063.2500000014</v>
      </c>
      <c r="R1603" s="44" t="str">
        <f>VLOOKUP(F1603,'Set up'!$A$2:$E$70,5,FALSE)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397"/>
        <v>4</v>
      </c>
      <c r="C1604" s="5">
        <f t="shared" si="398"/>
        <v>2023</v>
      </c>
      <c r="D1604" s="5" t="s">
        <v>1454</v>
      </c>
      <c r="E1604" s="5" t="str">
        <f>VLOOKUP(F1604,'Set up'!$A$2:$C$70,2,FALSE)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up'!$A$2:$C$70,3,FALSE)</f>
        <v>Cash</v>
      </c>
      <c r="J1604" s="5">
        <f>VLOOKUP(F1604,'Set up'!$A$2:$D$70,4,FALSE)</f>
        <v>0</v>
      </c>
      <c r="K1604" s="4">
        <f t="shared" si="399"/>
        <v>45036</v>
      </c>
      <c r="L1604" s="5">
        <f t="shared" si="400"/>
        <v>4</v>
      </c>
      <c r="M1604" s="5">
        <f t="shared" si="401"/>
        <v>2023</v>
      </c>
      <c r="N1604" s="6">
        <v>2133</v>
      </c>
      <c r="O1604" s="6">
        <f t="shared" si="402"/>
        <v>-2133</v>
      </c>
      <c r="P1604" s="6">
        <f t="shared" si="394"/>
        <v>0</v>
      </c>
      <c r="Q1604" s="7">
        <f t="shared" si="395"/>
        <v>2956196.2500000014</v>
      </c>
      <c r="R1604" s="44" t="str">
        <f>VLOOKUP(F1604,'Set up'!$A$2:$E$70,5,FALSE)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397"/>
        <v>4</v>
      </c>
      <c r="C1605" s="5">
        <f t="shared" si="398"/>
        <v>2023</v>
      </c>
      <c r="D1605" s="5" t="s">
        <v>1454</v>
      </c>
      <c r="E1605" s="5" t="str">
        <f>VLOOKUP(F1605,'Set up'!$A$2:$C$70,2,FALSE)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up'!$A$2:$C$70,3,FALSE)</f>
        <v>Cash</v>
      </c>
      <c r="J1605" s="5">
        <f>VLOOKUP(F1605,'Set up'!$A$2:$D$70,4,FALSE)</f>
        <v>0</v>
      </c>
      <c r="K1605" s="4">
        <f t="shared" si="399"/>
        <v>45036</v>
      </c>
      <c r="L1605" s="5">
        <f t="shared" si="400"/>
        <v>4</v>
      </c>
      <c r="M1605" s="5">
        <f t="shared" si="401"/>
        <v>2023</v>
      </c>
      <c r="N1605" s="6">
        <v>1279.8000000000002</v>
      </c>
      <c r="O1605" s="6">
        <f t="shared" si="402"/>
        <v>-1279.8000000000002</v>
      </c>
      <c r="P1605" s="6">
        <f t="shared" si="394"/>
        <v>0</v>
      </c>
      <c r="Q1605" s="7">
        <f t="shared" si="395"/>
        <v>2957476.0500000012</v>
      </c>
      <c r="R1605" s="44" t="str">
        <f>VLOOKUP(F1605,'Set up'!$A$2:$E$70,5,FALSE)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397"/>
        <v>4</v>
      </c>
      <c r="C1606" s="5">
        <f t="shared" si="398"/>
        <v>2023</v>
      </c>
      <c r="D1606" s="5" t="s">
        <v>1454</v>
      </c>
      <c r="E1606" s="5" t="str">
        <f>VLOOKUP(F1606,'Set up'!$A$2:$C$70,2,FALSE)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up'!$A$2:$C$70,3,FALSE)</f>
        <v>Cash</v>
      </c>
      <c r="J1606" s="5">
        <f>VLOOKUP(F1606,'Set up'!$A$2:$D$70,4,FALSE)</f>
        <v>0</v>
      </c>
      <c r="K1606" s="4">
        <f t="shared" si="399"/>
        <v>45036</v>
      </c>
      <c r="L1606" s="5">
        <f t="shared" si="400"/>
        <v>4</v>
      </c>
      <c r="M1606" s="5">
        <f t="shared" si="401"/>
        <v>2023</v>
      </c>
      <c r="N1606" s="6">
        <v>1290</v>
      </c>
      <c r="O1606" s="6">
        <f t="shared" si="402"/>
        <v>-1290</v>
      </c>
      <c r="P1606" s="6">
        <f t="shared" si="394"/>
        <v>0</v>
      </c>
      <c r="Q1606" s="7">
        <f t="shared" si="395"/>
        <v>2958766.0500000012</v>
      </c>
      <c r="R1606" s="44" t="str">
        <f>VLOOKUP(F1606,'Set up'!$A$2:$E$70,5,FALSE)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397"/>
        <v>4</v>
      </c>
      <c r="C1607" s="5">
        <f t="shared" si="398"/>
        <v>2023</v>
      </c>
      <c r="D1607" s="5" t="s">
        <v>1454</v>
      </c>
      <c r="E1607" s="5" t="str">
        <f>VLOOKUP(F1607,'Set up'!$A$2:$C$70,2,FALSE)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up'!$A$2:$C$70,3,FALSE)</f>
        <v>Cash</v>
      </c>
      <c r="J1607" s="5">
        <f>VLOOKUP(F1607,'Set up'!$A$2:$D$70,4,FALSE)</f>
        <v>0</v>
      </c>
      <c r="K1607" s="4">
        <f t="shared" si="399"/>
        <v>45036</v>
      </c>
      <c r="L1607" s="5">
        <f t="shared" si="400"/>
        <v>4</v>
      </c>
      <c r="M1607" s="5">
        <f t="shared" si="401"/>
        <v>2023</v>
      </c>
      <c r="N1607" s="6">
        <v>600</v>
      </c>
      <c r="O1607" s="6">
        <f t="shared" si="402"/>
        <v>-600</v>
      </c>
      <c r="P1607" s="6">
        <f t="shared" si="394"/>
        <v>0</v>
      </c>
      <c r="Q1607" s="7">
        <f t="shared" si="395"/>
        <v>2959366.0500000012</v>
      </c>
      <c r="R1607" s="44" t="str">
        <f>VLOOKUP(F1607,'Set up'!$A$2:$E$70,5,FALSE)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397"/>
        <v>4</v>
      </c>
      <c r="C1608" s="5">
        <f t="shared" si="398"/>
        <v>2023</v>
      </c>
      <c r="D1608" s="5" t="s">
        <v>1454</v>
      </c>
      <c r="E1608" s="5" t="str">
        <f>VLOOKUP(F1608,'Set up'!$A$2:$C$70,2,FALSE)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up'!$A$2:$C$70,3,FALSE)</f>
        <v>Cash</v>
      </c>
      <c r="J1608" s="5">
        <f>VLOOKUP(F1608,'Set up'!$A$2:$D$70,4,FALSE)</f>
        <v>0</v>
      </c>
      <c r="K1608" s="4">
        <f t="shared" si="399"/>
        <v>45036</v>
      </c>
      <c r="L1608" s="5">
        <f t="shared" si="400"/>
        <v>4</v>
      </c>
      <c r="M1608" s="5">
        <f t="shared" si="401"/>
        <v>2023</v>
      </c>
      <c r="N1608" s="6">
        <v>800</v>
      </c>
      <c r="O1608" s="6">
        <f t="shared" si="402"/>
        <v>-800</v>
      </c>
      <c r="P1608" s="6">
        <f t="shared" si="394"/>
        <v>0</v>
      </c>
      <c r="Q1608" s="7">
        <f t="shared" si="395"/>
        <v>2960166.0500000012</v>
      </c>
      <c r="R1608" s="44" t="str">
        <f>VLOOKUP(F1608,'Set up'!$A$2:$E$70,5,FALSE)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397"/>
        <v>4</v>
      </c>
      <c r="C1609" s="5">
        <f t="shared" si="398"/>
        <v>2023</v>
      </c>
      <c r="D1609" s="5" t="s">
        <v>1454</v>
      </c>
      <c r="E1609" s="5" t="str">
        <f>VLOOKUP(F1609,'Set up'!$A$2:$C$70,2,FALSE)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up'!$A$2:$C$70,3,FALSE)</f>
        <v>Cash</v>
      </c>
      <c r="J1609" s="5">
        <f>VLOOKUP(F1609,'Set up'!$A$2:$D$70,4,FALSE)</f>
        <v>0</v>
      </c>
      <c r="K1609" s="4">
        <f t="shared" si="399"/>
        <v>45036</v>
      </c>
      <c r="L1609" s="5">
        <f t="shared" si="400"/>
        <v>4</v>
      </c>
      <c r="M1609" s="5">
        <f t="shared" si="401"/>
        <v>2023</v>
      </c>
      <c r="N1609" s="6">
        <v>860</v>
      </c>
      <c r="O1609" s="6">
        <f t="shared" si="402"/>
        <v>-860</v>
      </c>
      <c r="P1609" s="6">
        <f t="shared" si="394"/>
        <v>0</v>
      </c>
      <c r="Q1609" s="7">
        <f t="shared" si="395"/>
        <v>2961026.0500000012</v>
      </c>
      <c r="R1609" s="44" t="str">
        <f>VLOOKUP(F1609,'Set up'!$A$2:$E$70,5,FALSE)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397"/>
        <v>4</v>
      </c>
      <c r="C1610" s="5">
        <f t="shared" si="398"/>
        <v>2023</v>
      </c>
      <c r="D1610" s="5" t="s">
        <v>1454</v>
      </c>
      <c r="E1610" s="5" t="str">
        <f>VLOOKUP(F1610,'Set up'!$A$2:$C$70,2,FALSE)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up'!$A$2:$C$70,3,FALSE)</f>
        <v>Cash</v>
      </c>
      <c r="J1610" s="5">
        <f>VLOOKUP(F1610,'Set up'!$A$2:$D$70,4,FALSE)</f>
        <v>0</v>
      </c>
      <c r="K1610" s="4">
        <f t="shared" si="399"/>
        <v>45036</v>
      </c>
      <c r="L1610" s="5">
        <f t="shared" si="400"/>
        <v>4</v>
      </c>
      <c r="M1610" s="5">
        <f t="shared" si="401"/>
        <v>2023</v>
      </c>
      <c r="N1610" s="6">
        <v>440</v>
      </c>
      <c r="O1610" s="6">
        <f t="shared" si="402"/>
        <v>-440</v>
      </c>
      <c r="P1610" s="6">
        <f t="shared" si="394"/>
        <v>0</v>
      </c>
      <c r="Q1610" s="7">
        <f t="shared" si="395"/>
        <v>2961466.0500000012</v>
      </c>
      <c r="R1610" s="44" t="str">
        <f>VLOOKUP(F1610,'Set up'!$A$2:$E$70,5,FALSE)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397"/>
        <v>4</v>
      </c>
      <c r="C1611" s="5">
        <f t="shared" si="398"/>
        <v>2023</v>
      </c>
      <c r="D1611" s="5" t="s">
        <v>1454</v>
      </c>
      <c r="E1611" s="5" t="str">
        <f>VLOOKUP(F1611,'Set up'!$A$2:$C$70,2,FALSE)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up'!$A$2:$C$70,3,FALSE)</f>
        <v>Cash</v>
      </c>
      <c r="J1611" s="5">
        <f>VLOOKUP(F1611,'Set up'!$A$2:$D$70,4,FALSE)</f>
        <v>0</v>
      </c>
      <c r="K1611" s="4">
        <f t="shared" si="399"/>
        <v>45036</v>
      </c>
      <c r="L1611" s="5">
        <f t="shared" si="400"/>
        <v>4</v>
      </c>
      <c r="M1611" s="5">
        <f t="shared" si="401"/>
        <v>2023</v>
      </c>
      <c r="N1611" s="6">
        <v>180</v>
      </c>
      <c r="O1611" s="6">
        <f t="shared" si="402"/>
        <v>-180</v>
      </c>
      <c r="P1611" s="6">
        <f t="shared" si="394"/>
        <v>0</v>
      </c>
      <c r="Q1611" s="7">
        <f t="shared" si="395"/>
        <v>2961646.0500000012</v>
      </c>
      <c r="R1611" s="44" t="str">
        <f>VLOOKUP(F1611,'Set up'!$A$2:$E$70,5,FALSE)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397"/>
        <v>4</v>
      </c>
      <c r="C1612" s="5">
        <f t="shared" si="398"/>
        <v>2023</v>
      </c>
      <c r="D1612" s="5" t="s">
        <v>1454</v>
      </c>
      <c r="E1612" s="5" t="str">
        <f>VLOOKUP(F1612,'Set up'!$A$2:$C$70,2,FALSE)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up'!$A$2:$C$70,3,FALSE)</f>
        <v>Cash</v>
      </c>
      <c r="J1612" s="5">
        <f>VLOOKUP(F1612,'Set up'!$A$2:$D$70,4,FALSE)</f>
        <v>0</v>
      </c>
      <c r="K1612" s="4">
        <f t="shared" si="399"/>
        <v>45036</v>
      </c>
      <c r="L1612" s="5">
        <f t="shared" si="400"/>
        <v>4</v>
      </c>
      <c r="M1612" s="5">
        <f t="shared" si="401"/>
        <v>2023</v>
      </c>
      <c r="N1612" s="6">
        <v>110.4</v>
      </c>
      <c r="O1612" s="6">
        <f t="shared" si="402"/>
        <v>-110.4</v>
      </c>
      <c r="P1612" s="6">
        <f t="shared" si="394"/>
        <v>0</v>
      </c>
      <c r="Q1612" s="7">
        <f t="shared" si="395"/>
        <v>2961756.4500000011</v>
      </c>
      <c r="R1612" s="44" t="str">
        <f>VLOOKUP(F1612,'Set up'!$A$2:$E$70,5,FALSE)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397"/>
        <v>4</v>
      </c>
      <c r="C1613" s="5">
        <f t="shared" si="398"/>
        <v>2023</v>
      </c>
      <c r="D1613" s="5" t="s">
        <v>1454</v>
      </c>
      <c r="E1613" s="5" t="str">
        <f>VLOOKUP(F1613,'Set up'!$A$2:$C$70,2,FALSE)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up'!$A$2:$C$70,3,FALSE)</f>
        <v>Cash</v>
      </c>
      <c r="J1613" s="5">
        <f>VLOOKUP(F1613,'Set up'!$A$2:$D$70,4,FALSE)</f>
        <v>0</v>
      </c>
      <c r="K1613" s="4">
        <f t="shared" si="399"/>
        <v>45036</v>
      </c>
      <c r="L1613" s="5">
        <f t="shared" si="400"/>
        <v>4</v>
      </c>
      <c r="M1613" s="5">
        <f t="shared" si="401"/>
        <v>2023</v>
      </c>
      <c r="N1613" s="6">
        <v>1108.4000000000001</v>
      </c>
      <c r="O1613" s="6">
        <f>-828.8-279.6</f>
        <v>-1108.4000000000001</v>
      </c>
      <c r="P1613" s="6">
        <f t="shared" si="394"/>
        <v>0</v>
      </c>
      <c r="Q1613" s="7">
        <f t="shared" si="395"/>
        <v>2962864.850000001</v>
      </c>
      <c r="R1613" s="44" t="str">
        <f>VLOOKUP(F1613,'Set up'!$A$2:$E$70,5,FALSE)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397"/>
        <v>4</v>
      </c>
      <c r="C1614" s="5">
        <f t="shared" si="398"/>
        <v>2023</v>
      </c>
      <c r="D1614" s="5" t="s">
        <v>1456</v>
      </c>
      <c r="E1614" s="5" t="str">
        <f>VLOOKUP(F1614,'Set up'!$A$2:$C$70,2,FALSE)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up'!$A$2:$C$70,3,FALSE)</f>
        <v>Cash</v>
      </c>
      <c r="J1614" s="5">
        <f>VLOOKUP(F1614,'Set up'!$A$2:$D$70,4,FALSE)</f>
        <v>0</v>
      </c>
      <c r="K1614" s="4">
        <f t="shared" si="399"/>
        <v>45042</v>
      </c>
      <c r="L1614" s="5">
        <f t="shared" si="400"/>
        <v>4</v>
      </c>
      <c r="M1614" s="5">
        <f t="shared" si="401"/>
        <v>2023</v>
      </c>
      <c r="N1614" s="6">
        <v>3608</v>
      </c>
      <c r="O1614" s="6">
        <f t="shared" ref="O1614:O1622" si="403">-N1614</f>
        <v>-3608</v>
      </c>
      <c r="P1614" s="6">
        <f t="shared" si="394"/>
        <v>0</v>
      </c>
      <c r="Q1614" s="7">
        <f t="shared" si="395"/>
        <v>2966472.850000001</v>
      </c>
      <c r="R1614" s="44" t="str">
        <f>VLOOKUP(F1614,'Set up'!$A$2:$E$70,5,FALSE)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397"/>
        <v>4</v>
      </c>
      <c r="C1615" s="5">
        <f t="shared" si="398"/>
        <v>2023</v>
      </c>
      <c r="D1615" s="5" t="s">
        <v>1456</v>
      </c>
      <c r="E1615" s="5" t="str">
        <f>VLOOKUP(F1615,'Set up'!$A$2:$C$70,2,FALSE)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up'!$A$2:$C$70,3,FALSE)</f>
        <v>Cash</v>
      </c>
      <c r="J1615" s="5">
        <f>VLOOKUP(F1615,'Set up'!$A$2:$D$70,4,FALSE)</f>
        <v>0</v>
      </c>
      <c r="K1615" s="4">
        <f t="shared" si="399"/>
        <v>45042</v>
      </c>
      <c r="L1615" s="5">
        <f t="shared" si="400"/>
        <v>4</v>
      </c>
      <c r="M1615" s="5">
        <f t="shared" si="401"/>
        <v>2023</v>
      </c>
      <c r="N1615" s="6">
        <v>1896</v>
      </c>
      <c r="O1615" s="6">
        <f t="shared" si="403"/>
        <v>-1896</v>
      </c>
      <c r="P1615" s="6">
        <f t="shared" si="394"/>
        <v>0</v>
      </c>
      <c r="Q1615" s="7">
        <f t="shared" si="395"/>
        <v>2968368.850000001</v>
      </c>
      <c r="R1615" s="44" t="str">
        <f>VLOOKUP(F1615,'Set up'!$A$2:$E$70,5,FALSE)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397"/>
        <v>4</v>
      </c>
      <c r="C1616" s="5">
        <f t="shared" si="398"/>
        <v>2023</v>
      </c>
      <c r="D1616" s="5" t="s">
        <v>1456</v>
      </c>
      <c r="E1616" s="5" t="str">
        <f>VLOOKUP(F1616,'Set up'!$A$2:$C$70,2,FALSE)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up'!$A$2:$C$70,3,FALSE)</f>
        <v>Cash</v>
      </c>
      <c r="J1616" s="5">
        <f>VLOOKUP(F1616,'Set up'!$A$2:$D$70,4,FALSE)</f>
        <v>0</v>
      </c>
      <c r="K1616" s="4">
        <f t="shared" si="399"/>
        <v>45042</v>
      </c>
      <c r="L1616" s="5">
        <f t="shared" si="400"/>
        <v>4</v>
      </c>
      <c r="M1616" s="5">
        <f t="shared" si="401"/>
        <v>2023</v>
      </c>
      <c r="N1616" s="6">
        <v>320</v>
      </c>
      <c r="O1616" s="6">
        <f t="shared" si="403"/>
        <v>-320</v>
      </c>
      <c r="P1616" s="6">
        <f t="shared" si="394"/>
        <v>0</v>
      </c>
      <c r="Q1616" s="7">
        <f t="shared" si="395"/>
        <v>2968688.850000001</v>
      </c>
      <c r="R1616" s="44" t="str">
        <f>VLOOKUP(F1616,'Set up'!$A$2:$E$70,5,FALSE)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397"/>
        <v>4</v>
      </c>
      <c r="C1617" s="5">
        <f t="shared" si="398"/>
        <v>2023</v>
      </c>
      <c r="D1617" s="5" t="s">
        <v>1456</v>
      </c>
      <c r="E1617" s="5" t="str">
        <f>VLOOKUP(F1617,'Set up'!$A$2:$C$70,2,FALSE)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up'!$A$2:$C$70,3,FALSE)</f>
        <v>Cash</v>
      </c>
      <c r="J1617" s="5">
        <f>VLOOKUP(F1617,'Set up'!$A$2:$D$70,4,FALSE)</f>
        <v>0</v>
      </c>
      <c r="K1617" s="4">
        <f t="shared" si="399"/>
        <v>45042</v>
      </c>
      <c r="L1617" s="5">
        <f t="shared" si="400"/>
        <v>4</v>
      </c>
      <c r="M1617" s="5">
        <f t="shared" si="401"/>
        <v>2023</v>
      </c>
      <c r="N1617" s="6">
        <v>62.5</v>
      </c>
      <c r="O1617" s="6">
        <f t="shared" si="403"/>
        <v>-62.5</v>
      </c>
      <c r="P1617" s="6">
        <f t="shared" si="394"/>
        <v>0</v>
      </c>
      <c r="Q1617" s="7">
        <f t="shared" si="395"/>
        <v>2968751.350000001</v>
      </c>
      <c r="R1617" s="44" t="str">
        <f>VLOOKUP(F1617,'Set up'!$A$2:$E$70,5,FALSE)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397"/>
        <v>4</v>
      </c>
      <c r="C1618" s="5">
        <f t="shared" si="398"/>
        <v>2023</v>
      </c>
      <c r="D1618" s="5" t="s">
        <v>1456</v>
      </c>
      <c r="E1618" s="5" t="str">
        <f>VLOOKUP(F1618,'Set up'!$A$2:$C$70,2,FALSE)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up'!$A$2:$C$70,3,FALSE)</f>
        <v>Cash</v>
      </c>
      <c r="J1618" s="5">
        <f>VLOOKUP(F1618,'Set up'!$A$2:$D$70,4,FALSE)</f>
        <v>0</v>
      </c>
      <c r="K1618" s="4">
        <f t="shared" si="399"/>
        <v>45042</v>
      </c>
      <c r="L1618" s="5">
        <f t="shared" si="400"/>
        <v>4</v>
      </c>
      <c r="M1618" s="5">
        <f t="shared" si="401"/>
        <v>2023</v>
      </c>
      <c r="N1618" s="6">
        <v>516</v>
      </c>
      <c r="O1618" s="6">
        <f t="shared" si="403"/>
        <v>-516</v>
      </c>
      <c r="P1618" s="6">
        <f t="shared" si="394"/>
        <v>0</v>
      </c>
      <c r="Q1618" s="7">
        <f t="shared" si="395"/>
        <v>2969267.350000001</v>
      </c>
      <c r="R1618" s="44" t="str">
        <f>VLOOKUP(F1618,'Set up'!$A$2:$E$70,5,FALSE)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397"/>
        <v>4</v>
      </c>
      <c r="C1619" s="5">
        <f t="shared" si="398"/>
        <v>2023</v>
      </c>
      <c r="D1619" s="5" t="s">
        <v>1456</v>
      </c>
      <c r="E1619" s="5" t="str">
        <f>VLOOKUP(F1619,'Set up'!$A$2:$C$70,2,FALSE)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up'!$A$2:$C$70,3,FALSE)</f>
        <v>Cash</v>
      </c>
      <c r="J1619" s="5">
        <f>VLOOKUP(F1619,'Set up'!$A$2:$D$70,4,FALSE)</f>
        <v>0</v>
      </c>
      <c r="K1619" s="4">
        <f t="shared" si="399"/>
        <v>45042</v>
      </c>
      <c r="L1619" s="5">
        <f t="shared" si="400"/>
        <v>4</v>
      </c>
      <c r="M1619" s="5">
        <f t="shared" si="401"/>
        <v>2023</v>
      </c>
      <c r="N1619" s="6">
        <v>190</v>
      </c>
      <c r="O1619" s="6">
        <f t="shared" si="403"/>
        <v>-190</v>
      </c>
      <c r="P1619" s="6">
        <f t="shared" si="394"/>
        <v>0</v>
      </c>
      <c r="Q1619" s="7">
        <f t="shared" si="395"/>
        <v>2969457.350000001</v>
      </c>
      <c r="R1619" s="44" t="str">
        <f>VLOOKUP(F1619,'Set up'!$A$2:$E$70,5,FALSE)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si="397"/>
        <v>4</v>
      </c>
      <c r="C1620" s="5">
        <f t="shared" si="398"/>
        <v>2023</v>
      </c>
      <c r="D1620" s="5" t="s">
        <v>1456</v>
      </c>
      <c r="E1620" s="5" t="str">
        <f>VLOOKUP(F1620,'Set up'!$A$2:$C$70,2,FALSE)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up'!$A$2:$C$70,3,FALSE)</f>
        <v>Cash</v>
      </c>
      <c r="J1620" s="5">
        <f>VLOOKUP(F1620,'Set up'!$A$2:$D$70,4,FALSE)</f>
        <v>0</v>
      </c>
      <c r="K1620" s="4">
        <f t="shared" si="399"/>
        <v>45042</v>
      </c>
      <c r="L1620" s="5">
        <f t="shared" si="400"/>
        <v>4</v>
      </c>
      <c r="M1620" s="5">
        <f t="shared" si="401"/>
        <v>2023</v>
      </c>
      <c r="N1620" s="6">
        <v>200</v>
      </c>
      <c r="O1620" s="6">
        <f t="shared" si="403"/>
        <v>-200</v>
      </c>
      <c r="P1620" s="6">
        <f t="shared" si="394"/>
        <v>0</v>
      </c>
      <c r="Q1620" s="7">
        <f t="shared" si="395"/>
        <v>2969657.350000001</v>
      </c>
      <c r="R1620" s="44" t="str">
        <f>VLOOKUP(F1620,'Set up'!$A$2:$E$70,5,FALSE)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397"/>
        <v>4</v>
      </c>
      <c r="C1621" s="5">
        <f t="shared" si="398"/>
        <v>2023</v>
      </c>
      <c r="D1621" s="5" t="s">
        <v>1457</v>
      </c>
      <c r="E1621" s="5" t="str">
        <f>VLOOKUP(F1621,'Set up'!$A$2:$C$70,2,FALSE)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up'!$A$2:$C$70,3,FALSE)</f>
        <v>Cash</v>
      </c>
      <c r="J1621" s="5">
        <f>VLOOKUP(F1621,'Set up'!$A$2:$D$70,4,FALSE)</f>
        <v>0</v>
      </c>
      <c r="K1621" s="4">
        <f t="shared" si="399"/>
        <v>45042</v>
      </c>
      <c r="L1621" s="5">
        <f t="shared" si="400"/>
        <v>4</v>
      </c>
      <c r="M1621" s="5">
        <f t="shared" si="401"/>
        <v>2023</v>
      </c>
      <c r="N1621" s="6">
        <v>1804</v>
      </c>
      <c r="O1621" s="6">
        <f t="shared" si="403"/>
        <v>-1804</v>
      </c>
      <c r="P1621" s="6">
        <f t="shared" ref="P1621:P1684" si="404">SUM(N1621+O1621)</f>
        <v>0</v>
      </c>
      <c r="Q1621" s="7">
        <f t="shared" ref="Q1621:Q1633" si="405">SUM(Q1620+N1621)</f>
        <v>2971461.350000001</v>
      </c>
      <c r="R1621" s="44" t="str">
        <f>VLOOKUP(F1621,'Set up'!$A$2:$E$70,5,FALSE)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397"/>
        <v>4</v>
      </c>
      <c r="C1622" s="5">
        <f t="shared" si="398"/>
        <v>2023</v>
      </c>
      <c r="D1622" s="5" t="s">
        <v>1457</v>
      </c>
      <c r="E1622" s="5" t="str">
        <f>VLOOKUP(F1622,'Set up'!$A$2:$C$70,2,FALSE)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up'!$A$2:$C$70,3,FALSE)</f>
        <v>Cash</v>
      </c>
      <c r="J1622" s="5">
        <f>VLOOKUP(F1622,'Set up'!$A$2:$D$70,4,FALSE)</f>
        <v>0</v>
      </c>
      <c r="K1622" s="4">
        <f t="shared" si="399"/>
        <v>45042</v>
      </c>
      <c r="L1622" s="5">
        <f t="shared" si="400"/>
        <v>4</v>
      </c>
      <c r="M1622" s="5">
        <f t="shared" si="401"/>
        <v>2023</v>
      </c>
      <c r="N1622" s="6">
        <v>912</v>
      </c>
      <c r="O1622" s="6">
        <f t="shared" si="403"/>
        <v>-912</v>
      </c>
      <c r="P1622" s="6">
        <f t="shared" si="404"/>
        <v>0</v>
      </c>
      <c r="Q1622" s="7">
        <f t="shared" si="405"/>
        <v>2972373.350000001</v>
      </c>
      <c r="R1622" s="44" t="str">
        <f>VLOOKUP(F1622,'Set up'!$A$2:$E$70,5,FALSE)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397"/>
        <v>4</v>
      </c>
      <c r="C1623" s="5">
        <f t="shared" si="398"/>
        <v>2023</v>
      </c>
      <c r="D1623" s="5" t="s">
        <v>1461</v>
      </c>
      <c r="E1623" s="5" t="str">
        <f>VLOOKUP(F1623,'Set up'!$A$2:$C$70,2,FALSE)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up'!$A$2:$C$70,3,FALSE)</f>
        <v>Cash</v>
      </c>
      <c r="J1623" s="5">
        <f>VLOOKUP(F1623,'Set up'!$A$2:$D$70,4,FALSE)</f>
        <v>0</v>
      </c>
      <c r="K1623" s="4">
        <f t="shared" si="399"/>
        <v>45043</v>
      </c>
      <c r="L1623" s="5">
        <f t="shared" si="400"/>
        <v>4</v>
      </c>
      <c r="M1623" s="5">
        <f t="shared" si="401"/>
        <v>2023</v>
      </c>
      <c r="N1623" s="6">
        <v>3608</v>
      </c>
      <c r="O1623" s="6">
        <f>-568.9-1000-1000-1000-39.1</f>
        <v>-3608</v>
      </c>
      <c r="P1623" s="6">
        <f t="shared" si="404"/>
        <v>0</v>
      </c>
      <c r="Q1623" s="7">
        <f t="shared" si="405"/>
        <v>2975981.350000001</v>
      </c>
      <c r="R1623" s="44" t="str">
        <f>VLOOKUP(F1623,'Set up'!$A$2:$E$70,5,FALSE)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397"/>
        <v>4</v>
      </c>
      <c r="C1624" s="5">
        <f t="shared" si="398"/>
        <v>2023</v>
      </c>
      <c r="D1624" s="5" t="s">
        <v>1461</v>
      </c>
      <c r="E1624" s="5" t="str">
        <f>VLOOKUP(F1624,'Set up'!$A$2:$C$70,2,FALSE)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up'!$A$2:$C$70,3,FALSE)</f>
        <v>Cash</v>
      </c>
      <c r="J1624" s="5">
        <f>VLOOKUP(F1624,'Set up'!$A$2:$D$70,4,FALSE)</f>
        <v>0</v>
      </c>
      <c r="K1624" s="4">
        <f t="shared" si="399"/>
        <v>45043</v>
      </c>
      <c r="L1624" s="5">
        <f t="shared" si="400"/>
        <v>4</v>
      </c>
      <c r="M1624" s="5">
        <f t="shared" si="401"/>
        <v>2023</v>
      </c>
      <c r="N1624" s="6">
        <v>842.4</v>
      </c>
      <c r="O1624" s="6">
        <f t="shared" ref="O1624" si="406">-N1624</f>
        <v>-842.4</v>
      </c>
      <c r="P1624" s="6">
        <f t="shared" si="404"/>
        <v>0</v>
      </c>
      <c r="Q1624" s="7">
        <f t="shared" si="405"/>
        <v>2976823.7500000009</v>
      </c>
      <c r="R1624" s="44" t="str">
        <f>VLOOKUP(F1624,'Set up'!$A$2:$E$70,5,FALSE)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397"/>
        <v>4</v>
      </c>
      <c r="C1625" s="5">
        <f t="shared" si="398"/>
        <v>2023</v>
      </c>
      <c r="D1625" s="5" t="s">
        <v>1461</v>
      </c>
      <c r="E1625" s="5" t="str">
        <f>VLOOKUP(F1625,'Set up'!$A$2:$C$70,2,FALSE)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up'!$A$2:$C$70,3,FALSE)</f>
        <v>Cash</v>
      </c>
      <c r="J1625" s="5">
        <f>VLOOKUP(F1625,'Set up'!$A$2:$D$70,4,FALSE)</f>
        <v>0</v>
      </c>
      <c r="K1625" s="4">
        <f t="shared" si="399"/>
        <v>45043</v>
      </c>
      <c r="L1625" s="5">
        <f t="shared" si="400"/>
        <v>4</v>
      </c>
      <c r="M1625" s="5">
        <f t="shared" si="401"/>
        <v>2023</v>
      </c>
      <c r="N1625" s="6">
        <v>187.5</v>
      </c>
      <c r="O1625" s="6">
        <f>-118.5-69</f>
        <v>-187.5</v>
      </c>
      <c r="P1625" s="6">
        <f t="shared" si="404"/>
        <v>0</v>
      </c>
      <c r="Q1625" s="7">
        <f t="shared" si="405"/>
        <v>2977011.2500000009</v>
      </c>
      <c r="R1625" s="44" t="str">
        <f>VLOOKUP(F1625,'Set up'!$A$2:$E$70,5,FALSE)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397"/>
        <v>4</v>
      </c>
      <c r="C1626" s="5">
        <f t="shared" si="398"/>
        <v>2023</v>
      </c>
      <c r="D1626" s="5" t="s">
        <v>1461</v>
      </c>
      <c r="E1626" s="5" t="str">
        <f>VLOOKUP(F1626,'Set up'!$A$2:$C$70,2,FALSE)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up'!$A$2:$C$70,3,FALSE)</f>
        <v>Cash</v>
      </c>
      <c r="J1626" s="5">
        <f>VLOOKUP(F1626,'Set up'!$A$2:$D$70,4,FALSE)</f>
        <v>0</v>
      </c>
      <c r="K1626" s="4">
        <f t="shared" si="399"/>
        <v>45043</v>
      </c>
      <c r="L1626" s="5">
        <f t="shared" si="400"/>
        <v>4</v>
      </c>
      <c r="M1626" s="5">
        <f t="shared" si="401"/>
        <v>2023</v>
      </c>
      <c r="N1626" s="6">
        <v>150</v>
      </c>
      <c r="O1626" s="6">
        <f t="shared" ref="O1626:O1629" si="407">-N1626</f>
        <v>-150</v>
      </c>
      <c r="P1626" s="6">
        <f t="shared" si="404"/>
        <v>0</v>
      </c>
      <c r="Q1626" s="7">
        <f t="shared" si="405"/>
        <v>2977161.2500000009</v>
      </c>
      <c r="R1626" s="44" t="str">
        <f>VLOOKUP(F1626,'Set up'!$A$2:$E$70,5,FALSE)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397"/>
        <v>4</v>
      </c>
      <c r="C1627" s="5">
        <f t="shared" si="398"/>
        <v>2023</v>
      </c>
      <c r="D1627" s="5" t="s">
        <v>1461</v>
      </c>
      <c r="E1627" s="5" t="str">
        <f>VLOOKUP(F1627,'Set up'!$A$2:$C$70,2,FALSE)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up'!$A$2:$C$70,3,FALSE)</f>
        <v>Cash</v>
      </c>
      <c r="J1627" s="5">
        <f>VLOOKUP(F1627,'Set up'!$A$2:$D$70,4,FALSE)</f>
        <v>0</v>
      </c>
      <c r="K1627" s="4">
        <f t="shared" si="399"/>
        <v>45043</v>
      </c>
      <c r="L1627" s="5">
        <f t="shared" si="400"/>
        <v>4</v>
      </c>
      <c r="M1627" s="5">
        <f t="shared" si="401"/>
        <v>2023</v>
      </c>
      <c r="N1627" s="6">
        <v>160</v>
      </c>
      <c r="O1627" s="6">
        <f t="shared" si="407"/>
        <v>-160</v>
      </c>
      <c r="P1627" s="6">
        <f t="shared" si="404"/>
        <v>0</v>
      </c>
      <c r="Q1627" s="7">
        <f t="shared" si="405"/>
        <v>2977321.2500000009</v>
      </c>
      <c r="R1627" s="44" t="str">
        <f>VLOOKUP(F1627,'Set up'!$A$2:$E$70,5,FALSE)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397"/>
        <v>4</v>
      </c>
      <c r="C1628" s="5">
        <f t="shared" si="398"/>
        <v>2023</v>
      </c>
      <c r="D1628" s="5" t="s">
        <v>1463</v>
      </c>
      <c r="E1628" s="5" t="str">
        <f>VLOOKUP(F1628,'Set up'!$A$2:$C$70,2,FALSE)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up'!$A$2:$C$70,3,FALSE)</f>
        <v>Cash</v>
      </c>
      <c r="J1628" s="5">
        <f>VLOOKUP(F1628,'Set up'!$A$2:$D$70,4,FALSE)</f>
        <v>0</v>
      </c>
      <c r="K1628" s="4">
        <f t="shared" si="399"/>
        <v>45041</v>
      </c>
      <c r="L1628" s="5">
        <f t="shared" si="400"/>
        <v>4</v>
      </c>
      <c r="M1628" s="5">
        <f t="shared" si="401"/>
        <v>2023</v>
      </c>
      <c r="N1628" s="6">
        <v>1782</v>
      </c>
      <c r="O1628" s="6">
        <f t="shared" si="407"/>
        <v>-1782</v>
      </c>
      <c r="P1628" s="6">
        <f t="shared" si="404"/>
        <v>0</v>
      </c>
      <c r="Q1628" s="7">
        <f t="shared" si="405"/>
        <v>2979103.2500000009</v>
      </c>
      <c r="R1628" s="44" t="str">
        <f>VLOOKUP(F1628,'Set up'!$A$2:$E$70,5,FALSE)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397"/>
        <v>4</v>
      </c>
      <c r="C1629" s="5">
        <f t="shared" si="398"/>
        <v>2023</v>
      </c>
      <c r="D1629" s="5" t="s">
        <v>1463</v>
      </c>
      <c r="E1629" s="5" t="str">
        <f>VLOOKUP(F1629,'Set up'!$A$2:$C$70,2,FALSE)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up'!$A$2:$C$70,3,FALSE)</f>
        <v>Cash</v>
      </c>
      <c r="J1629" s="5">
        <f>VLOOKUP(F1629,'Set up'!$A$2:$D$70,4,FALSE)</f>
        <v>0</v>
      </c>
      <c r="K1629" s="4">
        <f t="shared" si="399"/>
        <v>45041</v>
      </c>
      <c r="L1629" s="5">
        <f t="shared" si="400"/>
        <v>4</v>
      </c>
      <c r="M1629" s="5">
        <f t="shared" si="401"/>
        <v>2023</v>
      </c>
      <c r="N1629" s="6">
        <v>684</v>
      </c>
      <c r="O1629" s="6">
        <f t="shared" si="407"/>
        <v>-684</v>
      </c>
      <c r="P1629" s="6">
        <f t="shared" si="404"/>
        <v>0</v>
      </c>
      <c r="Q1629" s="7">
        <f t="shared" si="405"/>
        <v>2979787.2500000009</v>
      </c>
      <c r="R1629" s="44" t="str">
        <f>VLOOKUP(F1629,'Set up'!$A$2:$E$70,5,FALSE)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397"/>
        <v>4</v>
      </c>
      <c r="C1630" s="5">
        <f t="shared" si="398"/>
        <v>2023</v>
      </c>
      <c r="D1630" s="5" t="s">
        <v>1465</v>
      </c>
      <c r="E1630" s="5" t="str">
        <f>VLOOKUP(F1630,'Set up'!$A$2:$C$70,2,FALSE)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up'!$A$2:$C$70,3,FALSE)</f>
        <v>Cash</v>
      </c>
      <c r="J1630" s="5">
        <f>VLOOKUP(F1630,'Set up'!$A$2:$D$70,4,FALSE)</f>
        <v>0</v>
      </c>
      <c r="K1630" s="4">
        <f t="shared" si="399"/>
        <v>45044</v>
      </c>
      <c r="L1630" s="5">
        <f t="shared" si="400"/>
        <v>4</v>
      </c>
      <c r="M1630" s="5">
        <f t="shared" si="401"/>
        <v>2023</v>
      </c>
      <c r="N1630" s="6">
        <v>1870</v>
      </c>
      <c r="O1630" s="6">
        <f t="shared" ref="O1630:O1631" si="408">-N1630</f>
        <v>-1870</v>
      </c>
      <c r="P1630" s="6">
        <f t="shared" si="404"/>
        <v>0</v>
      </c>
      <c r="Q1630" s="7">
        <f t="shared" si="405"/>
        <v>2981657.2500000009</v>
      </c>
      <c r="R1630" s="44" t="str">
        <f>VLOOKUP(F1630,'Set up'!$A$2:$E$70,5,FALSE)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397"/>
        <v>4</v>
      </c>
      <c r="C1631" s="5">
        <f t="shared" si="398"/>
        <v>2023</v>
      </c>
      <c r="D1631" s="5" t="s">
        <v>1465</v>
      </c>
      <c r="E1631" s="5" t="str">
        <f>VLOOKUP(F1631,'Set up'!$A$2:$C$70,2,FALSE)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up'!$A$2:$C$70,3,FALSE)</f>
        <v>Cash</v>
      </c>
      <c r="J1631" s="5">
        <f>VLOOKUP(F1631,'Set up'!$A$2:$D$70,4,FALSE)</f>
        <v>0</v>
      </c>
      <c r="K1631" s="4">
        <f t="shared" si="399"/>
        <v>45044</v>
      </c>
      <c r="L1631" s="5">
        <f t="shared" si="400"/>
        <v>4</v>
      </c>
      <c r="M1631" s="5">
        <f t="shared" si="401"/>
        <v>2023</v>
      </c>
      <c r="N1631" s="6">
        <v>95</v>
      </c>
      <c r="O1631" s="6">
        <f t="shared" si="408"/>
        <v>-95</v>
      </c>
      <c r="P1631" s="6">
        <f t="shared" si="404"/>
        <v>0</v>
      </c>
      <c r="Q1631" s="7">
        <f t="shared" si="405"/>
        <v>2981752.2500000009</v>
      </c>
      <c r="R1631" s="44" t="str">
        <f>VLOOKUP(F1631,'Set up'!$A$2:$E$70,5,FALSE)</f>
        <v>PD Chq</v>
      </c>
      <c r="S1631" s="1" t="s">
        <v>2249</v>
      </c>
    </row>
    <row r="1632" spans="1:19" x14ac:dyDescent="0.35">
      <c r="A1632" s="4" t="s">
        <v>1462</v>
      </c>
      <c r="B1632" s="5">
        <f t="shared" si="397"/>
        <v>4</v>
      </c>
      <c r="C1632" s="5">
        <f t="shared" si="398"/>
        <v>2023</v>
      </c>
      <c r="D1632" s="5" t="s">
        <v>1467</v>
      </c>
      <c r="E1632" s="5" t="str">
        <f>VLOOKUP(F1632,'Set up'!$A$2:$C$70,2,FALSE)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up'!$A$2:$C$70,3,FALSE)</f>
        <v>Cash</v>
      </c>
      <c r="J1632" s="5">
        <f>VLOOKUP(F1632,'Set up'!$A$2:$D$70,4,FALSE)</f>
        <v>0</v>
      </c>
      <c r="K1632" s="4">
        <f t="shared" si="399"/>
        <v>45043</v>
      </c>
      <c r="L1632" s="5">
        <f t="shared" si="400"/>
        <v>4</v>
      </c>
      <c r="M1632" s="5">
        <f t="shared" si="401"/>
        <v>2023</v>
      </c>
      <c r="N1632" s="6">
        <v>322.5</v>
      </c>
      <c r="O1632" s="6">
        <f>-121-201.5</f>
        <v>-322.5</v>
      </c>
      <c r="P1632" s="6">
        <f t="shared" si="404"/>
        <v>0</v>
      </c>
      <c r="Q1632" s="7">
        <f t="shared" si="405"/>
        <v>2982074.7500000009</v>
      </c>
      <c r="R1632" s="44" t="str">
        <f>VLOOKUP(F1632,'Set up'!$A$2:$E$70,5,FALSE)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397"/>
        <v>4</v>
      </c>
      <c r="C1633" s="5">
        <f t="shared" si="398"/>
        <v>2023</v>
      </c>
      <c r="D1633" s="5" t="s">
        <v>1467</v>
      </c>
      <c r="E1633" s="5" t="str">
        <f>VLOOKUP(F1633,'Set up'!$A$2:$C$70,2,FALSE)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up'!$A$2:$C$70,3,FALSE)</f>
        <v>Cash</v>
      </c>
      <c r="J1633" s="5">
        <f>VLOOKUP(F1633,'Set up'!$A$2:$D$70,4,FALSE)</f>
        <v>0</v>
      </c>
      <c r="K1633" s="4">
        <f t="shared" si="399"/>
        <v>45043</v>
      </c>
      <c r="L1633" s="5">
        <f t="shared" si="400"/>
        <v>4</v>
      </c>
      <c r="M1633" s="5">
        <f t="shared" si="401"/>
        <v>2023</v>
      </c>
      <c r="N1633" s="6">
        <v>390</v>
      </c>
      <c r="O1633" s="6">
        <f t="shared" ref="O1633" si="409">-N1633</f>
        <v>-390</v>
      </c>
      <c r="P1633" s="6">
        <f t="shared" si="404"/>
        <v>0</v>
      </c>
      <c r="Q1633" s="7">
        <f t="shared" si="405"/>
        <v>2982464.7500000009</v>
      </c>
      <c r="R1633" s="44" t="str">
        <f>VLOOKUP(F1633,'Set up'!$A$2:$E$70,5,FALSE)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si="397"/>
        <v>5</v>
      </c>
      <c r="C1634" s="5">
        <f t="shared" si="398"/>
        <v>2023</v>
      </c>
      <c r="D1634" s="5" t="s">
        <v>1529</v>
      </c>
      <c r="E1634" s="5" t="str">
        <f>VLOOKUP(F1634,'Set up'!$A$2:$C$70,2,FALSE)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up'!$A$2:$C$70,3,FALSE)</f>
        <v>30</v>
      </c>
      <c r="J1634" s="5">
        <f>VLOOKUP(F1634,'Set up'!$A$2:$D$70,4,FALSE)</f>
        <v>30</v>
      </c>
      <c r="K1634" s="4">
        <f t="shared" si="399"/>
        <v>45078</v>
      </c>
      <c r="L1634" s="5">
        <f t="shared" si="400"/>
        <v>6</v>
      </c>
      <c r="M1634" s="5">
        <f t="shared" si="401"/>
        <v>2023</v>
      </c>
      <c r="N1634" s="6">
        <v>1870</v>
      </c>
      <c r="O1634" s="6">
        <f t="shared" ref="O1634:O1641" si="410">-N1634</f>
        <v>-1870</v>
      </c>
      <c r="P1634" s="6">
        <f t="shared" si="404"/>
        <v>0</v>
      </c>
      <c r="Q1634" s="7">
        <f t="shared" ref="Q1634:Q1697" si="411">SUM(Q1633+N1634)</f>
        <v>2984334.7500000009</v>
      </c>
      <c r="R1634" s="44" t="str">
        <f>VLOOKUP(F1634,'Set up'!$A$2:$E$70,5,FALSE)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397"/>
        <v>5</v>
      </c>
      <c r="C1635" s="5">
        <f t="shared" si="398"/>
        <v>2023</v>
      </c>
      <c r="D1635" s="5" t="s">
        <v>1529</v>
      </c>
      <c r="E1635" s="5" t="str">
        <f>VLOOKUP(F1635,'Set up'!$A$2:$C$70,2,FALSE)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up'!$A$2:$C$70,3,FALSE)</f>
        <v>30</v>
      </c>
      <c r="J1635" s="5">
        <f>VLOOKUP(F1635,'Set up'!$A$2:$D$70,4,FALSE)</f>
        <v>30</v>
      </c>
      <c r="K1635" s="4">
        <f t="shared" si="399"/>
        <v>45078</v>
      </c>
      <c r="L1635" s="5">
        <f t="shared" si="400"/>
        <v>6</v>
      </c>
      <c r="M1635" s="5">
        <f t="shared" si="401"/>
        <v>2023</v>
      </c>
      <c r="N1635" s="6">
        <v>842.4</v>
      </c>
      <c r="O1635" s="6">
        <f t="shared" si="410"/>
        <v>-842.4</v>
      </c>
      <c r="P1635" s="6">
        <f t="shared" si="404"/>
        <v>0</v>
      </c>
      <c r="Q1635" s="7">
        <f t="shared" si="411"/>
        <v>2985177.1500000008</v>
      </c>
      <c r="R1635" s="44" t="str">
        <f>VLOOKUP(F1635,'Set up'!$A$2:$E$70,5,FALSE)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397"/>
        <v>5</v>
      </c>
      <c r="C1636" s="5">
        <f t="shared" si="398"/>
        <v>2023</v>
      </c>
      <c r="D1636" s="5" t="s">
        <v>1529</v>
      </c>
      <c r="E1636" s="5" t="str">
        <f>VLOOKUP(F1636,'Set up'!$A$2:$C$70,2,FALSE)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up'!$A$2:$C$70,3,FALSE)</f>
        <v>30</v>
      </c>
      <c r="J1636" s="5">
        <f>VLOOKUP(F1636,'Set up'!$A$2:$D$70,4,FALSE)</f>
        <v>30</v>
      </c>
      <c r="K1636" s="4">
        <f t="shared" si="399"/>
        <v>45078</v>
      </c>
      <c r="L1636" s="5">
        <f t="shared" si="400"/>
        <v>6</v>
      </c>
      <c r="M1636" s="5">
        <f t="shared" si="401"/>
        <v>2023</v>
      </c>
      <c r="N1636" s="6">
        <v>144</v>
      </c>
      <c r="O1636" s="6">
        <f t="shared" si="410"/>
        <v>-144</v>
      </c>
      <c r="P1636" s="6">
        <f t="shared" si="404"/>
        <v>0</v>
      </c>
      <c r="Q1636" s="7">
        <f t="shared" si="411"/>
        <v>2985321.1500000008</v>
      </c>
      <c r="R1636" s="44" t="str">
        <f>VLOOKUP(F1636,'Set up'!$A$2:$E$70,5,FALSE)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397"/>
        <v>5</v>
      </c>
      <c r="C1637" s="5">
        <f t="shared" si="398"/>
        <v>2023</v>
      </c>
      <c r="D1637" s="5" t="s">
        <v>1530</v>
      </c>
      <c r="E1637" s="5" t="str">
        <f>VLOOKUP(F1637,'Set up'!$A$2:$C$70,2,FALSE)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up'!$A$2:$C$70,3,FALSE)</f>
        <v>Cash</v>
      </c>
      <c r="J1637" s="5">
        <f>VLOOKUP(F1637,'Set up'!$A$2:$D$70,4,FALSE)</f>
        <v>0</v>
      </c>
      <c r="K1637" s="4">
        <f t="shared" si="399"/>
        <v>45048</v>
      </c>
      <c r="L1637" s="5">
        <f t="shared" si="400"/>
        <v>5</v>
      </c>
      <c r="M1637" s="5">
        <f t="shared" si="401"/>
        <v>2023</v>
      </c>
      <c r="N1637" s="6">
        <v>5610</v>
      </c>
      <c r="O1637" s="6">
        <f t="shared" si="410"/>
        <v>-5610</v>
      </c>
      <c r="P1637" s="6">
        <f t="shared" si="404"/>
        <v>0</v>
      </c>
      <c r="Q1637" s="7">
        <f t="shared" si="411"/>
        <v>2990931.1500000008</v>
      </c>
      <c r="R1637" s="44" t="str">
        <f>VLOOKUP(F1637,'Set up'!$A$2:$E$70,5,FALSE)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397"/>
        <v>5</v>
      </c>
      <c r="C1638" s="5">
        <f t="shared" si="398"/>
        <v>2023</v>
      </c>
      <c r="D1638" s="5" t="s">
        <v>1530</v>
      </c>
      <c r="E1638" s="5" t="str">
        <f>VLOOKUP(F1638,'Set up'!$A$2:$C$70,2,FALSE)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up'!$A$2:$C$70,3,FALSE)</f>
        <v>Cash</v>
      </c>
      <c r="J1638" s="5">
        <f>VLOOKUP(F1638,'Set up'!$A$2:$D$70,4,FALSE)</f>
        <v>0</v>
      </c>
      <c r="K1638" s="4">
        <f t="shared" si="399"/>
        <v>45048</v>
      </c>
      <c r="L1638" s="5">
        <f t="shared" si="400"/>
        <v>5</v>
      </c>
      <c r="M1638" s="5">
        <f t="shared" si="401"/>
        <v>2023</v>
      </c>
      <c r="N1638" s="6">
        <v>300</v>
      </c>
      <c r="O1638" s="6">
        <f t="shared" si="410"/>
        <v>-300</v>
      </c>
      <c r="P1638" s="6">
        <f t="shared" si="404"/>
        <v>0</v>
      </c>
      <c r="Q1638" s="7">
        <f t="shared" si="411"/>
        <v>2991231.1500000008</v>
      </c>
      <c r="R1638" s="44" t="str">
        <f>VLOOKUP(F1638,'Set up'!$A$2:$E$70,5,FALSE)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397"/>
        <v>5</v>
      </c>
      <c r="C1639" s="5">
        <f t="shared" si="398"/>
        <v>2023</v>
      </c>
      <c r="D1639" s="5" t="s">
        <v>1530</v>
      </c>
      <c r="E1639" s="5" t="str">
        <f>VLOOKUP(F1639,'Set up'!$A$2:$C$70,2,FALSE)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up'!$A$2:$C$70,3,FALSE)</f>
        <v>Cash</v>
      </c>
      <c r="J1639" s="5">
        <f>VLOOKUP(F1639,'Set up'!$A$2:$D$70,4,FALSE)</f>
        <v>0</v>
      </c>
      <c r="K1639" s="4">
        <f t="shared" si="399"/>
        <v>45048</v>
      </c>
      <c r="L1639" s="5">
        <f t="shared" si="400"/>
        <v>5</v>
      </c>
      <c r="M1639" s="5">
        <f t="shared" si="401"/>
        <v>2023</v>
      </c>
      <c r="N1639" s="6">
        <v>187.5</v>
      </c>
      <c r="O1639" s="6">
        <f t="shared" si="410"/>
        <v>-187.5</v>
      </c>
      <c r="P1639" s="6">
        <f t="shared" si="404"/>
        <v>0</v>
      </c>
      <c r="Q1639" s="7">
        <f t="shared" si="411"/>
        <v>2991418.6500000008</v>
      </c>
      <c r="R1639" s="44" t="str">
        <f>VLOOKUP(F1639,'Set up'!$A$2:$E$70,5,FALSE)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397"/>
        <v>5</v>
      </c>
      <c r="C1640" s="5">
        <f t="shared" si="398"/>
        <v>2023</v>
      </c>
      <c r="D1640" s="5" t="s">
        <v>1530</v>
      </c>
      <c r="E1640" s="5" t="str">
        <f>VLOOKUP(F1640,'Set up'!$A$2:$C$70,2,FALSE)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up'!$A$2:$C$70,3,FALSE)</f>
        <v>Cash</v>
      </c>
      <c r="J1640" s="5">
        <f>VLOOKUP(F1640,'Set up'!$A$2:$D$70,4,FALSE)</f>
        <v>0</v>
      </c>
      <c r="K1640" s="4">
        <f t="shared" si="399"/>
        <v>45048</v>
      </c>
      <c r="L1640" s="5">
        <f t="shared" si="400"/>
        <v>5</v>
      </c>
      <c r="M1640" s="5">
        <f t="shared" si="401"/>
        <v>2023</v>
      </c>
      <c r="N1640" s="6">
        <v>1125</v>
      </c>
      <c r="O1640" s="6">
        <f t="shared" si="410"/>
        <v>-1125</v>
      </c>
      <c r="P1640" s="6">
        <f t="shared" si="404"/>
        <v>0</v>
      </c>
      <c r="Q1640" s="7">
        <f t="shared" si="411"/>
        <v>2992543.6500000008</v>
      </c>
      <c r="R1640" s="44" t="str">
        <f>VLOOKUP(F1640,'Set up'!$A$2:$E$70,5,FALSE)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397"/>
        <v>5</v>
      </c>
      <c r="C1641" s="5">
        <f t="shared" si="398"/>
        <v>2023</v>
      </c>
      <c r="D1641" s="5" t="s">
        <v>1530</v>
      </c>
      <c r="E1641" s="5" t="str">
        <f>VLOOKUP(F1641,'Set up'!$A$2:$C$70,2,FALSE)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up'!$A$2:$C$70,3,FALSE)</f>
        <v>Cash</v>
      </c>
      <c r="J1641" s="5">
        <f>VLOOKUP(F1641,'Set up'!$A$2:$D$70,4,FALSE)</f>
        <v>0</v>
      </c>
      <c r="K1641" s="4">
        <f t="shared" si="399"/>
        <v>45048</v>
      </c>
      <c r="L1641" s="5">
        <f t="shared" si="400"/>
        <v>5</v>
      </c>
      <c r="M1641" s="5">
        <f t="shared" si="401"/>
        <v>2023</v>
      </c>
      <c r="N1641" s="6">
        <v>450</v>
      </c>
      <c r="O1641" s="6">
        <f t="shared" si="410"/>
        <v>-450</v>
      </c>
      <c r="P1641" s="6">
        <f t="shared" si="404"/>
        <v>0</v>
      </c>
      <c r="Q1641" s="7">
        <f t="shared" si="411"/>
        <v>2992993.6500000008</v>
      </c>
      <c r="R1641" s="44" t="str">
        <f>VLOOKUP(F1641,'Set up'!$A$2:$E$70,5,FALSE)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397"/>
        <v>5</v>
      </c>
      <c r="C1642" s="5">
        <f t="shared" si="398"/>
        <v>2023</v>
      </c>
      <c r="D1642" s="5" t="s">
        <v>1530</v>
      </c>
      <c r="E1642" s="5" t="str">
        <f>VLOOKUP(F1642,'Set up'!$A$2:$C$70,2,FALSE)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up'!$A$2:$C$70,3,FALSE)</f>
        <v>Cash</v>
      </c>
      <c r="J1642" s="5">
        <f>VLOOKUP(F1642,'Set up'!$A$2:$D$70,4,FALSE)</f>
        <v>0</v>
      </c>
      <c r="K1642" s="4">
        <f t="shared" si="399"/>
        <v>45048</v>
      </c>
      <c r="L1642" s="5">
        <f t="shared" si="400"/>
        <v>5</v>
      </c>
      <c r="M1642" s="5">
        <f t="shared" si="401"/>
        <v>2023</v>
      </c>
      <c r="N1642" s="6">
        <v>236</v>
      </c>
      <c r="O1642" s="6">
        <f>-235.5-0.5</f>
        <v>-236</v>
      </c>
      <c r="P1642" s="6">
        <f t="shared" si="404"/>
        <v>0</v>
      </c>
      <c r="Q1642" s="7">
        <f t="shared" si="411"/>
        <v>2993229.6500000008</v>
      </c>
      <c r="R1642" s="44" t="str">
        <f>VLOOKUP(F1642,'Set up'!$A$2:$E$70,5,FALSE)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397"/>
        <v>5</v>
      </c>
      <c r="C1643" s="5">
        <f t="shared" si="398"/>
        <v>2023</v>
      </c>
      <c r="D1643" s="5" t="s">
        <v>1531</v>
      </c>
      <c r="E1643" s="5" t="str">
        <f>VLOOKUP(F1643,'Set up'!$A$2:$C$70,2,FALSE)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up'!$A$2:$C$70,3,FALSE)</f>
        <v>Cash</v>
      </c>
      <c r="J1643" s="5">
        <f>VLOOKUP(F1643,'Set up'!$A$2:$D$70,4,FALSE)</f>
        <v>0</v>
      </c>
      <c r="K1643" s="4">
        <f t="shared" si="399"/>
        <v>45048</v>
      </c>
      <c r="L1643" s="5">
        <f t="shared" si="400"/>
        <v>5</v>
      </c>
      <c r="M1643" s="5">
        <f t="shared" si="401"/>
        <v>2023</v>
      </c>
      <c r="N1643" s="6">
        <v>187.5</v>
      </c>
      <c r="O1643" s="6">
        <f t="shared" ref="O1643:O1649" si="412">-N1643</f>
        <v>-187.5</v>
      </c>
      <c r="P1643" s="6">
        <f t="shared" si="404"/>
        <v>0</v>
      </c>
      <c r="Q1643" s="7">
        <f t="shared" si="411"/>
        <v>2993417.1500000008</v>
      </c>
      <c r="R1643" s="44" t="str">
        <f>VLOOKUP(F1643,'Set up'!$A$2:$E$70,5,FALSE)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397"/>
        <v>5</v>
      </c>
      <c r="C1644" s="5">
        <f t="shared" si="398"/>
        <v>2023</v>
      </c>
      <c r="D1644" s="5" t="s">
        <v>1532</v>
      </c>
      <c r="E1644" s="5" t="str">
        <f>VLOOKUP(F1644,'Set up'!$A$2:$C$70,2,FALSE)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up'!$A$2:$C$70,3,FALSE)</f>
        <v>Cash</v>
      </c>
      <c r="J1644" s="5">
        <f>VLOOKUP(F1644,'Set up'!$A$2:$D$70,4,FALSE)</f>
        <v>0</v>
      </c>
      <c r="K1644" s="4">
        <f t="shared" si="399"/>
        <v>45048</v>
      </c>
      <c r="L1644" s="5">
        <f t="shared" si="400"/>
        <v>5</v>
      </c>
      <c r="M1644" s="5">
        <f t="shared" si="401"/>
        <v>2023</v>
      </c>
      <c r="N1644" s="6">
        <v>5412</v>
      </c>
      <c r="O1644" s="6">
        <f t="shared" si="412"/>
        <v>-5412</v>
      </c>
      <c r="P1644" s="6">
        <f t="shared" si="404"/>
        <v>0</v>
      </c>
      <c r="Q1644" s="7">
        <f t="shared" si="411"/>
        <v>2998829.1500000008</v>
      </c>
      <c r="R1644" s="44" t="str">
        <f>VLOOKUP(F1644,'Set up'!$A$2:$E$70,5,FALSE)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397"/>
        <v>5</v>
      </c>
      <c r="C1645" s="5">
        <f t="shared" si="398"/>
        <v>2023</v>
      </c>
      <c r="D1645" s="5" t="s">
        <v>1532</v>
      </c>
      <c r="E1645" s="5" t="str">
        <f>VLOOKUP(F1645,'Set up'!$A$2:$C$70,2,FALSE)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up'!$A$2:$C$70,3,FALSE)</f>
        <v>Cash</v>
      </c>
      <c r="J1645" s="5">
        <f>VLOOKUP(F1645,'Set up'!$A$2:$D$70,4,FALSE)</f>
        <v>0</v>
      </c>
      <c r="K1645" s="4">
        <f t="shared" si="399"/>
        <v>45048</v>
      </c>
      <c r="L1645" s="5">
        <f t="shared" si="400"/>
        <v>5</v>
      </c>
      <c r="M1645" s="5">
        <f t="shared" si="401"/>
        <v>2023</v>
      </c>
      <c r="N1645" s="6">
        <v>2280</v>
      </c>
      <c r="O1645" s="6">
        <f t="shared" si="412"/>
        <v>-2280</v>
      </c>
      <c r="P1645" s="6">
        <f t="shared" si="404"/>
        <v>0</v>
      </c>
      <c r="Q1645" s="7">
        <f t="shared" si="411"/>
        <v>3001109.1500000008</v>
      </c>
      <c r="R1645" s="44" t="str">
        <f>VLOOKUP(F1645,'Set up'!$A$2:$E$70,5,FALSE)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397"/>
        <v>5</v>
      </c>
      <c r="C1646" s="5">
        <f t="shared" si="398"/>
        <v>2023</v>
      </c>
      <c r="D1646" s="5" t="s">
        <v>1532</v>
      </c>
      <c r="E1646" s="5" t="str">
        <f>VLOOKUP(F1646,'Set up'!$A$2:$C$70,2,FALSE)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up'!$A$2:$C$70,3,FALSE)</f>
        <v>Cash</v>
      </c>
      <c r="J1646" s="5">
        <f>VLOOKUP(F1646,'Set up'!$A$2:$D$70,4,FALSE)</f>
        <v>0</v>
      </c>
      <c r="K1646" s="4">
        <f t="shared" si="399"/>
        <v>45048</v>
      </c>
      <c r="L1646" s="5">
        <f t="shared" si="400"/>
        <v>5</v>
      </c>
      <c r="M1646" s="5">
        <f t="shared" si="401"/>
        <v>2023</v>
      </c>
      <c r="N1646" s="6">
        <v>1587.6000000000001</v>
      </c>
      <c r="O1646" s="6">
        <f t="shared" si="412"/>
        <v>-1587.6000000000001</v>
      </c>
      <c r="P1646" s="6">
        <f t="shared" si="404"/>
        <v>0</v>
      </c>
      <c r="Q1646" s="7">
        <f t="shared" si="411"/>
        <v>3002696.7500000009</v>
      </c>
      <c r="R1646" s="44" t="str">
        <f>VLOOKUP(F1646,'Set up'!$A$2:$E$70,5,FALSE)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397"/>
        <v>5</v>
      </c>
      <c r="C1647" s="5">
        <f t="shared" si="398"/>
        <v>2023</v>
      </c>
      <c r="D1647" s="5" t="s">
        <v>1532</v>
      </c>
      <c r="E1647" s="5" t="str">
        <f>VLOOKUP(F1647,'Set up'!$A$2:$C$70,2,FALSE)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up'!$A$2:$C$70,3,FALSE)</f>
        <v>Cash</v>
      </c>
      <c r="J1647" s="5">
        <f>VLOOKUP(F1647,'Set up'!$A$2:$D$70,4,FALSE)</f>
        <v>0</v>
      </c>
      <c r="K1647" s="4">
        <f t="shared" si="399"/>
        <v>45048</v>
      </c>
      <c r="L1647" s="5">
        <f t="shared" si="400"/>
        <v>5</v>
      </c>
      <c r="M1647" s="5">
        <f t="shared" si="401"/>
        <v>2023</v>
      </c>
      <c r="N1647" s="6">
        <v>380</v>
      </c>
      <c r="O1647" s="6">
        <f t="shared" si="412"/>
        <v>-380</v>
      </c>
      <c r="P1647" s="6">
        <f t="shared" si="404"/>
        <v>0</v>
      </c>
      <c r="Q1647" s="7">
        <f t="shared" si="411"/>
        <v>3003076.7500000009</v>
      </c>
      <c r="R1647" s="44" t="str">
        <f>VLOOKUP(F1647,'Set up'!$A$2:$E$70,5,FALSE)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397"/>
        <v>5</v>
      </c>
      <c r="C1648" s="5">
        <f t="shared" si="398"/>
        <v>2023</v>
      </c>
      <c r="D1648" s="5" t="s">
        <v>1532</v>
      </c>
      <c r="E1648" s="5" t="str">
        <f>VLOOKUP(F1648,'Set up'!$A$2:$C$70,2,FALSE)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up'!$A$2:$C$70,3,FALSE)</f>
        <v>Cash</v>
      </c>
      <c r="J1648" s="5">
        <f>VLOOKUP(F1648,'Set up'!$A$2:$D$70,4,FALSE)</f>
        <v>0</v>
      </c>
      <c r="K1648" s="4">
        <f t="shared" si="399"/>
        <v>45048</v>
      </c>
      <c r="L1648" s="5">
        <f t="shared" si="400"/>
        <v>5</v>
      </c>
      <c r="M1648" s="5">
        <f t="shared" si="401"/>
        <v>2023</v>
      </c>
      <c r="N1648" s="6">
        <v>420</v>
      </c>
      <c r="O1648" s="6">
        <f t="shared" si="412"/>
        <v>-420</v>
      </c>
      <c r="P1648" s="6">
        <f t="shared" si="404"/>
        <v>0</v>
      </c>
      <c r="Q1648" s="7">
        <f t="shared" si="411"/>
        <v>3003496.7500000009</v>
      </c>
      <c r="R1648" s="44" t="str">
        <f>VLOOKUP(F1648,'Set up'!$A$2:$E$70,5,FALSE)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397"/>
        <v>5</v>
      </c>
      <c r="C1649" s="5">
        <f t="shared" si="398"/>
        <v>2023</v>
      </c>
      <c r="D1649" s="5" t="s">
        <v>1534</v>
      </c>
      <c r="E1649" s="5" t="str">
        <f>VLOOKUP(F1649,'Set up'!$A$2:$C$70,2,FALSE)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up'!$A$2:$C$70,3,FALSE)</f>
        <v>Cash</v>
      </c>
      <c r="J1649" s="5">
        <f>VLOOKUP(F1649,'Set up'!$A$2:$D$70,4,FALSE)</f>
        <v>0</v>
      </c>
      <c r="K1649" s="4">
        <f t="shared" si="399"/>
        <v>45052</v>
      </c>
      <c r="L1649" s="5">
        <f t="shared" si="400"/>
        <v>5</v>
      </c>
      <c r="M1649" s="5">
        <f t="shared" si="401"/>
        <v>2023</v>
      </c>
      <c r="N1649" s="6">
        <v>3784</v>
      </c>
      <c r="O1649" s="6">
        <f t="shared" si="412"/>
        <v>-3784</v>
      </c>
      <c r="P1649" s="6">
        <f t="shared" si="404"/>
        <v>0</v>
      </c>
      <c r="Q1649" s="7">
        <f t="shared" si="411"/>
        <v>3007280.7500000009</v>
      </c>
      <c r="R1649" s="44" t="str">
        <f>VLOOKUP(F1649,'Set up'!$A$2:$E$70,5,FALSE)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397"/>
        <v>5</v>
      </c>
      <c r="C1650" s="5">
        <f t="shared" si="398"/>
        <v>2023</v>
      </c>
      <c r="D1650" s="5" t="s">
        <v>1535</v>
      </c>
      <c r="E1650" s="5" t="str">
        <f>VLOOKUP(F1650,'Set up'!$A$2:$C$70,2,FALSE)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up'!$A$2:$C$70,3,FALSE)</f>
        <v>Cash</v>
      </c>
      <c r="J1650" s="5">
        <f>VLOOKUP(F1650,'Set up'!$A$2:$D$70,4,FALSE)</f>
        <v>0</v>
      </c>
      <c r="K1650" s="4">
        <f t="shared" si="399"/>
        <v>45054</v>
      </c>
      <c r="L1650" s="5">
        <f t="shared" si="400"/>
        <v>5</v>
      </c>
      <c r="M1650" s="5">
        <f t="shared" si="401"/>
        <v>2023</v>
      </c>
      <c r="N1650" s="6">
        <v>1912.5</v>
      </c>
      <c r="O1650" s="6">
        <f t="shared" ref="O1650:O1652" si="413">-N1650</f>
        <v>-1912.5</v>
      </c>
      <c r="P1650" s="6">
        <f t="shared" si="404"/>
        <v>0</v>
      </c>
      <c r="Q1650" s="7">
        <f t="shared" si="411"/>
        <v>3009193.2500000009</v>
      </c>
      <c r="R1650" s="44" t="str">
        <f>VLOOKUP(F1650,'Set up'!$A$2:$E$70,5,FALSE)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397"/>
        <v>5</v>
      </c>
      <c r="C1651" s="5">
        <f t="shared" si="398"/>
        <v>2023</v>
      </c>
      <c r="D1651" s="5" t="s">
        <v>1535</v>
      </c>
      <c r="E1651" s="5" t="str">
        <f>VLOOKUP(F1651,'Set up'!$A$2:$C$70,2,FALSE)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up'!$A$2:$C$70,3,FALSE)</f>
        <v>Cash</v>
      </c>
      <c r="J1651" s="5">
        <f>VLOOKUP(F1651,'Set up'!$A$2:$D$70,4,FALSE)</f>
        <v>0</v>
      </c>
      <c r="K1651" s="4">
        <f t="shared" si="399"/>
        <v>45054</v>
      </c>
      <c r="L1651" s="5">
        <f t="shared" si="400"/>
        <v>5</v>
      </c>
      <c r="M1651" s="5">
        <f t="shared" si="401"/>
        <v>2023</v>
      </c>
      <c r="N1651" s="6">
        <v>100</v>
      </c>
      <c r="O1651" s="6">
        <f t="shared" si="413"/>
        <v>-100</v>
      </c>
      <c r="P1651" s="6">
        <f t="shared" si="404"/>
        <v>0</v>
      </c>
      <c r="Q1651" s="7">
        <f t="shared" si="411"/>
        <v>3009293.2500000009</v>
      </c>
      <c r="R1651" s="44" t="str">
        <f>VLOOKUP(F1651,'Set up'!$A$2:$E$70,5,FALSE)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397"/>
        <v>5</v>
      </c>
      <c r="C1652" s="5">
        <f t="shared" si="398"/>
        <v>2023</v>
      </c>
      <c r="D1652" s="5" t="s">
        <v>1535</v>
      </c>
      <c r="E1652" s="5" t="str">
        <f>VLOOKUP(F1652,'Set up'!$A$2:$C$70,2,FALSE)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up'!$A$2:$C$70,3,FALSE)</f>
        <v>Cash</v>
      </c>
      <c r="J1652" s="5">
        <f>VLOOKUP(F1652,'Set up'!$A$2:$D$70,4,FALSE)</f>
        <v>0</v>
      </c>
      <c r="K1652" s="4">
        <f t="shared" si="399"/>
        <v>45054</v>
      </c>
      <c r="L1652" s="5">
        <f t="shared" si="400"/>
        <v>5</v>
      </c>
      <c r="M1652" s="5">
        <f t="shared" si="401"/>
        <v>2023</v>
      </c>
      <c r="N1652" s="6">
        <v>250</v>
      </c>
      <c r="O1652" s="6">
        <f t="shared" si="413"/>
        <v>-250</v>
      </c>
      <c r="P1652" s="6">
        <f t="shared" si="404"/>
        <v>0</v>
      </c>
      <c r="Q1652" s="7">
        <f t="shared" si="411"/>
        <v>3009543.2500000009</v>
      </c>
      <c r="R1652" s="44" t="str">
        <f>VLOOKUP(F1652,'Set up'!$A$2:$E$70,5,FALSE)</f>
        <v>Trsf</v>
      </c>
      <c r="S1652" s="1" t="s">
        <v>1589</v>
      </c>
    </row>
    <row r="1653" spans="1:19" x14ac:dyDescent="0.35">
      <c r="A1653" s="110">
        <v>45054</v>
      </c>
      <c r="B1653" s="5">
        <f t="shared" si="397"/>
        <v>5</v>
      </c>
      <c r="C1653" s="5">
        <f t="shared" si="398"/>
        <v>2023</v>
      </c>
      <c r="D1653" s="111" t="s">
        <v>1535</v>
      </c>
      <c r="E1653" s="5" t="str">
        <f>VLOOKUP(F1653,'Set up'!$A$2:$C$70,2,FALSE)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up'!$A$2:$C$70,3,FALSE)</f>
        <v>Cash</v>
      </c>
      <c r="J1653" s="5">
        <f>VLOOKUP(F1653,'Set up'!$A$2:$D$70,4,FALSE)</f>
        <v>0</v>
      </c>
      <c r="K1653" s="4">
        <f t="shared" si="399"/>
        <v>45054</v>
      </c>
      <c r="L1653" s="5">
        <f t="shared" si="400"/>
        <v>5</v>
      </c>
      <c r="M1653" s="5">
        <f t="shared" si="401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11"/>
        <v>3010183.2500000009</v>
      </c>
      <c r="R1653" s="44" t="str">
        <f>VLOOKUP(F1653,'Set up'!$A$2:$E$70,5,FALSE)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397"/>
        <v>5</v>
      </c>
      <c r="C1654" s="5">
        <f t="shared" si="398"/>
        <v>2023</v>
      </c>
      <c r="D1654" s="5" t="s">
        <v>1537</v>
      </c>
      <c r="E1654" s="5" t="str">
        <f>VLOOKUP(F1654,'Set up'!$A$2:$C$70,2,FALSE)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up'!$A$2:$C$70,3,FALSE)</f>
        <v>60</v>
      </c>
      <c r="J1654" s="5">
        <f>VLOOKUP(F1654,'Set up'!$A$2:$D$70,4,FALSE)</f>
        <v>60</v>
      </c>
      <c r="K1654" s="4">
        <f t="shared" si="399"/>
        <v>45114</v>
      </c>
      <c r="L1654" s="5">
        <f t="shared" si="400"/>
        <v>7</v>
      </c>
      <c r="M1654" s="5">
        <f t="shared" si="401"/>
        <v>2023</v>
      </c>
      <c r="N1654" s="6">
        <v>220</v>
      </c>
      <c r="O1654" s="6">
        <f t="shared" ref="O1654:O1655" si="414">-N1654</f>
        <v>-220</v>
      </c>
      <c r="P1654" s="6">
        <f t="shared" si="404"/>
        <v>0</v>
      </c>
      <c r="Q1654" s="7">
        <f t="shared" si="411"/>
        <v>3010403.2500000009</v>
      </c>
      <c r="R1654" s="44" t="str">
        <f>VLOOKUP(F1654,'Set up'!$A$2:$E$70,5,FALSE)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397"/>
        <v>5</v>
      </c>
      <c r="C1655" s="5">
        <f t="shared" si="398"/>
        <v>2023</v>
      </c>
      <c r="D1655" s="5" t="s">
        <v>1538</v>
      </c>
      <c r="E1655" s="5" t="str">
        <f>VLOOKUP(F1655,'Set up'!$A$2:$C$70,2,FALSE)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up'!$A$2:$C$70,3,FALSE)</f>
        <v>Cash</v>
      </c>
      <c r="J1655" s="5">
        <f>VLOOKUP(F1655,'Set up'!$A$2:$D$70,4,FALSE)</f>
        <v>0</v>
      </c>
      <c r="K1655" s="4">
        <f t="shared" si="399"/>
        <v>45054</v>
      </c>
      <c r="L1655" s="5">
        <f t="shared" si="400"/>
        <v>5</v>
      </c>
      <c r="M1655" s="5">
        <f t="shared" si="401"/>
        <v>2023</v>
      </c>
      <c r="N1655" s="6">
        <v>937.5</v>
      </c>
      <c r="O1655" s="6">
        <f t="shared" si="414"/>
        <v>-937.5</v>
      </c>
      <c r="P1655" s="6">
        <f t="shared" si="404"/>
        <v>0</v>
      </c>
      <c r="Q1655" s="7">
        <f t="shared" si="411"/>
        <v>3011340.7500000009</v>
      </c>
      <c r="R1655" s="44" t="str">
        <f>VLOOKUP(F1655,'Set up'!$A$2:$E$70,5,FALSE)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397"/>
        <v>5</v>
      </c>
      <c r="C1656" s="5">
        <f t="shared" si="398"/>
        <v>2023</v>
      </c>
      <c r="D1656" s="5" t="s">
        <v>1539</v>
      </c>
      <c r="E1656" s="5" t="str">
        <f>VLOOKUP(F1656,'Set up'!$A$2:$C$70,2,FALSE)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up'!$A$2:$C$70,3,FALSE)</f>
        <v>Cash</v>
      </c>
      <c r="J1656" s="5">
        <f>VLOOKUP(F1656,'Set up'!$A$2:$D$70,4,FALSE)</f>
        <v>0</v>
      </c>
      <c r="K1656" s="4">
        <f t="shared" si="399"/>
        <v>45054</v>
      </c>
      <c r="L1656" s="5">
        <f t="shared" si="400"/>
        <v>5</v>
      </c>
      <c r="M1656" s="5">
        <f t="shared" si="401"/>
        <v>2023</v>
      </c>
      <c r="N1656" s="6">
        <v>27060</v>
      </c>
      <c r="O1656" s="6">
        <f>-8104.1-18955.9</f>
        <v>-27060</v>
      </c>
      <c r="P1656" s="6">
        <f t="shared" si="404"/>
        <v>0</v>
      </c>
      <c r="Q1656" s="7">
        <f t="shared" si="411"/>
        <v>3038400.7500000009</v>
      </c>
      <c r="R1656" s="44" t="str">
        <f>VLOOKUP(F1656,'Set up'!$A$2:$E$70,5,FALSE)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397"/>
        <v>5</v>
      </c>
      <c r="C1657" s="5">
        <f t="shared" si="398"/>
        <v>2023</v>
      </c>
      <c r="D1657" s="5" t="s">
        <v>1539</v>
      </c>
      <c r="E1657" s="5" t="str">
        <f>VLOOKUP(F1657,'Set up'!$A$2:$C$70,2,FALSE)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up'!$A$2:$C$70,3,FALSE)</f>
        <v>Cash</v>
      </c>
      <c r="J1657" s="5">
        <f>VLOOKUP(F1657,'Set up'!$A$2:$D$70,4,FALSE)</f>
        <v>0</v>
      </c>
      <c r="K1657" s="4">
        <f t="shared" si="399"/>
        <v>45054</v>
      </c>
      <c r="L1657" s="5">
        <f t="shared" si="400"/>
        <v>5</v>
      </c>
      <c r="M1657" s="5">
        <f t="shared" si="401"/>
        <v>2023</v>
      </c>
      <c r="N1657" s="6">
        <v>10260</v>
      </c>
      <c r="O1657" s="6">
        <f>-10044.1-215.9</f>
        <v>-10260</v>
      </c>
      <c r="P1657" s="6">
        <f t="shared" si="404"/>
        <v>0</v>
      </c>
      <c r="Q1657" s="7">
        <f t="shared" si="411"/>
        <v>3048660.7500000009</v>
      </c>
      <c r="R1657" s="44" t="str">
        <f>VLOOKUP(F1657,'Set up'!$A$2:$E$70,5,FALSE)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397"/>
        <v>5</v>
      </c>
      <c r="C1658" s="5">
        <f t="shared" si="398"/>
        <v>2023</v>
      </c>
      <c r="D1658" s="5" t="s">
        <v>1539</v>
      </c>
      <c r="E1658" s="5" t="str">
        <f>VLOOKUP(F1658,'Set up'!$A$2:$C$70,2,FALSE)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up'!$A$2:$C$70,3,FALSE)</f>
        <v>Cash</v>
      </c>
      <c r="J1658" s="5">
        <f>VLOOKUP(F1658,'Set up'!$A$2:$D$70,4,FALSE)</f>
        <v>0</v>
      </c>
      <c r="K1658" s="4">
        <f t="shared" si="399"/>
        <v>45054</v>
      </c>
      <c r="L1658" s="5">
        <f t="shared" si="400"/>
        <v>5</v>
      </c>
      <c r="M1658" s="5">
        <f t="shared" si="401"/>
        <v>2023</v>
      </c>
      <c r="N1658" s="6">
        <v>5821.2000000000007</v>
      </c>
      <c r="O1658" s="6">
        <f t="shared" ref="O1658:O1659" si="415">-N1658</f>
        <v>-5821.2000000000007</v>
      </c>
      <c r="P1658" s="6">
        <f t="shared" si="404"/>
        <v>0</v>
      </c>
      <c r="Q1658" s="7">
        <f t="shared" si="411"/>
        <v>3054481.9500000011</v>
      </c>
      <c r="R1658" s="44" t="str">
        <f>VLOOKUP(F1658,'Set up'!$A$2:$E$70,5,FALSE)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397"/>
        <v>5</v>
      </c>
      <c r="C1659" s="5">
        <f t="shared" si="398"/>
        <v>2023</v>
      </c>
      <c r="D1659" s="5" t="s">
        <v>1539</v>
      </c>
      <c r="E1659" s="5" t="str">
        <f>VLOOKUP(F1659,'Set up'!$A$2:$C$70,2,FALSE)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up'!$A$2:$C$70,3,FALSE)</f>
        <v>Cash</v>
      </c>
      <c r="J1659" s="5">
        <f>VLOOKUP(F1659,'Set up'!$A$2:$D$70,4,FALSE)</f>
        <v>0</v>
      </c>
      <c r="K1659" s="4">
        <f t="shared" si="399"/>
        <v>45054</v>
      </c>
      <c r="L1659" s="5">
        <f t="shared" si="400"/>
        <v>5</v>
      </c>
      <c r="M1659" s="5">
        <f t="shared" si="401"/>
        <v>2023</v>
      </c>
      <c r="N1659" s="6">
        <v>760</v>
      </c>
      <c r="O1659" s="6">
        <f t="shared" si="415"/>
        <v>-760</v>
      </c>
      <c r="P1659" s="6">
        <f t="shared" si="404"/>
        <v>0</v>
      </c>
      <c r="Q1659" s="7">
        <f t="shared" si="411"/>
        <v>3055241.9500000011</v>
      </c>
      <c r="R1659" s="44" t="str">
        <f>VLOOKUP(F1659,'Set up'!$A$2:$E$70,5,FALSE)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397"/>
        <v>5</v>
      </c>
      <c r="C1660" s="5">
        <f t="shared" si="398"/>
        <v>2023</v>
      </c>
      <c r="D1660" s="5" t="s">
        <v>1539</v>
      </c>
      <c r="E1660" s="5" t="str">
        <f>VLOOKUP(F1660,'Set up'!$A$2:$C$70,2,FALSE)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up'!$A$2:$C$70,3,FALSE)</f>
        <v>Cash</v>
      </c>
      <c r="J1660" s="5">
        <f>VLOOKUP(F1660,'Set up'!$A$2:$D$70,4,FALSE)</f>
        <v>0</v>
      </c>
      <c r="K1660" s="4">
        <f t="shared" si="399"/>
        <v>45054</v>
      </c>
      <c r="L1660" s="5">
        <f t="shared" si="400"/>
        <v>5</v>
      </c>
      <c r="M1660" s="5">
        <f t="shared" si="401"/>
        <v>2023</v>
      </c>
      <c r="N1660" s="6">
        <v>2000</v>
      </c>
      <c r="O1660" s="6">
        <f>-1202.9-797.1</f>
        <v>-2000</v>
      </c>
      <c r="P1660" s="6">
        <f t="shared" si="404"/>
        <v>0</v>
      </c>
      <c r="Q1660" s="7">
        <f t="shared" si="411"/>
        <v>3057241.9500000011</v>
      </c>
      <c r="R1660" s="44" t="str">
        <f>VLOOKUP(F1660,'Set up'!$A$2:$E$70,5,FALSE)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397"/>
        <v>5</v>
      </c>
      <c r="C1661" s="5">
        <f t="shared" si="398"/>
        <v>2023</v>
      </c>
      <c r="D1661" s="5" t="s">
        <v>1540</v>
      </c>
      <c r="E1661" s="5" t="str">
        <f>VLOOKUP(F1661,'Set up'!$A$2:$C$70,2,FALSE)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up'!$A$2:$C$70,3,FALSE)</f>
        <v>Cash</v>
      </c>
      <c r="J1661" s="5">
        <f>VLOOKUP(F1661,'Set up'!$A$2:$D$70,4,FALSE)</f>
        <v>0</v>
      </c>
      <c r="K1661" s="4">
        <f t="shared" si="399"/>
        <v>45054</v>
      </c>
      <c r="L1661" s="5">
        <f t="shared" si="400"/>
        <v>5</v>
      </c>
      <c r="M1661" s="5">
        <f t="shared" si="401"/>
        <v>2023</v>
      </c>
      <c r="N1661" s="6">
        <v>5412</v>
      </c>
      <c r="O1661" s="6">
        <f t="shared" ref="O1661:O1668" si="416">-N1661</f>
        <v>-5412</v>
      </c>
      <c r="P1661" s="6">
        <f t="shared" si="404"/>
        <v>0</v>
      </c>
      <c r="Q1661" s="7">
        <f t="shared" si="411"/>
        <v>3062653.9500000011</v>
      </c>
      <c r="R1661" s="44" t="str">
        <f>VLOOKUP(F1661,'Set up'!$A$2:$E$70,5,FALSE)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397"/>
        <v>5</v>
      </c>
      <c r="C1662" s="5">
        <f t="shared" si="398"/>
        <v>2023</v>
      </c>
      <c r="D1662" s="5" t="s">
        <v>1540</v>
      </c>
      <c r="E1662" s="5" t="str">
        <f>VLOOKUP(F1662,'Set up'!$A$2:$C$70,2,FALSE)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up'!$A$2:$C$70,3,FALSE)</f>
        <v>Cash</v>
      </c>
      <c r="J1662" s="5">
        <f>VLOOKUP(F1662,'Set up'!$A$2:$D$70,4,FALSE)</f>
        <v>0</v>
      </c>
      <c r="K1662" s="4">
        <f t="shared" si="399"/>
        <v>45054</v>
      </c>
      <c r="L1662" s="5">
        <f t="shared" si="400"/>
        <v>5</v>
      </c>
      <c r="M1662" s="5">
        <f t="shared" si="401"/>
        <v>2023</v>
      </c>
      <c r="N1662" s="6">
        <v>1185</v>
      </c>
      <c r="O1662" s="6">
        <f t="shared" si="416"/>
        <v>-1185</v>
      </c>
      <c r="P1662" s="6">
        <f t="shared" si="404"/>
        <v>0</v>
      </c>
      <c r="Q1662" s="7">
        <f t="shared" si="411"/>
        <v>3063838.9500000011</v>
      </c>
      <c r="R1662" s="44" t="str">
        <f>VLOOKUP(F1662,'Set up'!$A$2:$E$70,5,FALSE)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397"/>
        <v>5</v>
      </c>
      <c r="C1663" s="5">
        <f t="shared" si="398"/>
        <v>2023</v>
      </c>
      <c r="D1663" s="5" t="s">
        <v>1540</v>
      </c>
      <c r="E1663" s="5" t="str">
        <f>VLOOKUP(F1663,'Set up'!$A$2:$C$70,2,FALSE)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up'!$A$2:$C$70,3,FALSE)</f>
        <v>Cash</v>
      </c>
      <c r="J1663" s="5">
        <f>VLOOKUP(F1663,'Set up'!$A$2:$D$70,4,FALSE)</f>
        <v>0</v>
      </c>
      <c r="K1663" s="4">
        <f t="shared" si="399"/>
        <v>45054</v>
      </c>
      <c r="L1663" s="5">
        <f t="shared" si="400"/>
        <v>5</v>
      </c>
      <c r="M1663" s="5">
        <f t="shared" si="401"/>
        <v>2023</v>
      </c>
      <c r="N1663" s="6">
        <v>640</v>
      </c>
      <c r="O1663" s="6">
        <f t="shared" si="416"/>
        <v>-640</v>
      </c>
      <c r="P1663" s="6">
        <f t="shared" si="404"/>
        <v>0</v>
      </c>
      <c r="Q1663" s="7">
        <f t="shared" si="411"/>
        <v>3064478.9500000011</v>
      </c>
      <c r="R1663" s="44" t="str">
        <f>VLOOKUP(F1663,'Set up'!$A$2:$E$70,5,FALSE)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397"/>
        <v>5</v>
      </c>
      <c r="C1664" s="5">
        <f t="shared" si="398"/>
        <v>2023</v>
      </c>
      <c r="D1664" s="5" t="s">
        <v>1540</v>
      </c>
      <c r="E1664" s="5" t="str">
        <f>VLOOKUP(F1664,'Set up'!$A$2:$C$70,2,FALSE)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up'!$A$2:$C$70,3,FALSE)</f>
        <v>Cash</v>
      </c>
      <c r="J1664" s="5">
        <f>VLOOKUP(F1664,'Set up'!$A$2:$D$70,4,FALSE)</f>
        <v>0</v>
      </c>
      <c r="K1664" s="4">
        <f t="shared" si="399"/>
        <v>45054</v>
      </c>
      <c r="L1664" s="5">
        <f t="shared" si="400"/>
        <v>5</v>
      </c>
      <c r="M1664" s="5">
        <f t="shared" si="401"/>
        <v>2023</v>
      </c>
      <c r="N1664" s="6">
        <v>187.5</v>
      </c>
      <c r="O1664" s="6">
        <f t="shared" si="416"/>
        <v>-187.5</v>
      </c>
      <c r="P1664" s="6">
        <f t="shared" si="404"/>
        <v>0</v>
      </c>
      <c r="Q1664" s="7">
        <f t="shared" si="411"/>
        <v>3064666.4500000011</v>
      </c>
      <c r="R1664" s="44" t="str">
        <f>VLOOKUP(F1664,'Set up'!$A$2:$E$70,5,FALSE)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397"/>
        <v>5</v>
      </c>
      <c r="C1665" s="5">
        <f t="shared" si="398"/>
        <v>2023</v>
      </c>
      <c r="D1665" s="5" t="s">
        <v>1540</v>
      </c>
      <c r="E1665" s="5" t="str">
        <f>VLOOKUP(F1665,'Set up'!$A$2:$C$70,2,FALSE)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up'!$A$2:$C$70,3,FALSE)</f>
        <v>Cash</v>
      </c>
      <c r="J1665" s="5">
        <f>VLOOKUP(F1665,'Set up'!$A$2:$D$70,4,FALSE)</f>
        <v>0</v>
      </c>
      <c r="K1665" s="4">
        <f t="shared" si="399"/>
        <v>45054</v>
      </c>
      <c r="L1665" s="5">
        <f t="shared" si="400"/>
        <v>5</v>
      </c>
      <c r="M1665" s="5">
        <f t="shared" si="401"/>
        <v>2023</v>
      </c>
      <c r="N1665" s="6">
        <v>1548</v>
      </c>
      <c r="O1665" s="6">
        <f t="shared" si="416"/>
        <v>-1548</v>
      </c>
      <c r="P1665" s="6">
        <f t="shared" si="404"/>
        <v>0</v>
      </c>
      <c r="Q1665" s="7">
        <f t="shared" si="411"/>
        <v>3066214.4500000011</v>
      </c>
      <c r="R1665" s="44" t="str">
        <f>VLOOKUP(F1665,'Set up'!$A$2:$E$70,5,FALSE)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397"/>
        <v>5</v>
      </c>
      <c r="C1666" s="5">
        <f t="shared" si="398"/>
        <v>2023</v>
      </c>
      <c r="D1666" s="5" t="s">
        <v>1540</v>
      </c>
      <c r="E1666" s="5" t="str">
        <f>VLOOKUP(F1666,'Set up'!$A$2:$C$70,2,FALSE)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up'!$A$2:$C$70,3,FALSE)</f>
        <v>Cash</v>
      </c>
      <c r="J1666" s="5">
        <f>VLOOKUP(F1666,'Set up'!$A$2:$D$70,4,FALSE)</f>
        <v>0</v>
      </c>
      <c r="K1666" s="4">
        <f t="shared" si="399"/>
        <v>45054</v>
      </c>
      <c r="L1666" s="5">
        <f t="shared" si="400"/>
        <v>5</v>
      </c>
      <c r="M1666" s="5">
        <f t="shared" si="401"/>
        <v>2023</v>
      </c>
      <c r="N1666" s="6">
        <v>190</v>
      </c>
      <c r="O1666" s="6">
        <f t="shared" si="416"/>
        <v>-190</v>
      </c>
      <c r="P1666" s="6">
        <f t="shared" si="404"/>
        <v>0</v>
      </c>
      <c r="Q1666" s="7">
        <f t="shared" si="411"/>
        <v>3066404.4500000011</v>
      </c>
      <c r="R1666" s="44" t="str">
        <f>VLOOKUP(F1666,'Set up'!$A$2:$E$70,5,FALSE)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ref="B1667:B1730" si="417">MONTH(A1667)</f>
        <v>5</v>
      </c>
      <c r="C1667" s="5">
        <f t="shared" ref="C1667:C1730" si="418">YEAR(A1667)</f>
        <v>2023</v>
      </c>
      <c r="D1667" s="5" t="s">
        <v>1540</v>
      </c>
      <c r="E1667" s="5" t="str">
        <f>VLOOKUP(F1667,'Set up'!$A$2:$C$70,2,FALSE)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up'!$A$2:$C$70,3,FALSE)</f>
        <v>Cash</v>
      </c>
      <c r="J1667" s="5">
        <f>VLOOKUP(F1667,'Set up'!$A$2:$D$70,4,FALSE)</f>
        <v>0</v>
      </c>
      <c r="K1667" s="4">
        <f t="shared" ref="K1667:K1730" si="419">A1667+J1667</f>
        <v>45054</v>
      </c>
      <c r="L1667" s="5">
        <f t="shared" ref="L1667:L1730" si="420">MONTH(K1667)</f>
        <v>5</v>
      </c>
      <c r="M1667" s="5">
        <f t="shared" ref="M1667:M1730" si="421">YEAR(K1667)</f>
        <v>2023</v>
      </c>
      <c r="N1667" s="6">
        <v>200</v>
      </c>
      <c r="O1667" s="6">
        <f t="shared" si="416"/>
        <v>-200</v>
      </c>
      <c r="P1667" s="6">
        <f t="shared" si="404"/>
        <v>0</v>
      </c>
      <c r="Q1667" s="7">
        <f t="shared" si="411"/>
        <v>3066604.4500000011</v>
      </c>
      <c r="R1667" s="44" t="str">
        <f>VLOOKUP(F1667,'Set up'!$A$2:$E$70,5,FALSE)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17"/>
        <v>5</v>
      </c>
      <c r="C1668" s="5">
        <f t="shared" si="418"/>
        <v>2023</v>
      </c>
      <c r="D1668" s="5" t="s">
        <v>1540</v>
      </c>
      <c r="E1668" s="5" t="str">
        <f>VLOOKUP(F1668,'Set up'!$A$2:$C$70,2,FALSE)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up'!$A$2:$C$70,3,FALSE)</f>
        <v>Cash</v>
      </c>
      <c r="J1668" s="5">
        <f>VLOOKUP(F1668,'Set up'!$A$2:$D$70,4,FALSE)</f>
        <v>0</v>
      </c>
      <c r="K1668" s="4">
        <f t="shared" si="419"/>
        <v>45054</v>
      </c>
      <c r="L1668" s="5">
        <f t="shared" si="420"/>
        <v>5</v>
      </c>
      <c r="M1668" s="5">
        <f t="shared" si="421"/>
        <v>2023</v>
      </c>
      <c r="N1668" s="6">
        <v>330</v>
      </c>
      <c r="O1668" s="6">
        <f t="shared" si="416"/>
        <v>-330</v>
      </c>
      <c r="P1668" s="6">
        <f t="shared" si="404"/>
        <v>0</v>
      </c>
      <c r="Q1668" s="7">
        <f t="shared" si="411"/>
        <v>3066934.4500000011</v>
      </c>
      <c r="R1668" s="44" t="str">
        <f>VLOOKUP(F1668,'Set up'!$A$2:$E$70,5,FALSE)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17"/>
        <v>5</v>
      </c>
      <c r="C1669" s="5">
        <f t="shared" si="418"/>
        <v>2023</v>
      </c>
      <c r="D1669" s="5" t="s">
        <v>1541</v>
      </c>
      <c r="E1669" s="5" t="str">
        <f>VLOOKUP(F1669,'Set up'!$A$2:$C$70,2,FALSE)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up'!$A$2:$C$70,3,FALSE)</f>
        <v>Cash</v>
      </c>
      <c r="J1669" s="5">
        <f>VLOOKUP(F1669,'Set up'!$A$2:$D$70,4,FALSE)</f>
        <v>0</v>
      </c>
      <c r="K1669" s="4">
        <f t="shared" si="419"/>
        <v>45058</v>
      </c>
      <c r="L1669" s="5">
        <f t="shared" si="420"/>
        <v>5</v>
      </c>
      <c r="M1669" s="5">
        <f t="shared" si="421"/>
        <v>2023</v>
      </c>
      <c r="N1669" s="6">
        <v>3652</v>
      </c>
      <c r="O1669" s="6">
        <f>-408.5-2000-1000-243.5</f>
        <v>-3652</v>
      </c>
      <c r="P1669" s="6">
        <f t="shared" si="404"/>
        <v>0</v>
      </c>
      <c r="Q1669" s="7">
        <f t="shared" si="411"/>
        <v>3070586.4500000011</v>
      </c>
      <c r="R1669" s="44" t="str">
        <f>VLOOKUP(F1669,'Set up'!$A$2:$E$70,5,FALSE)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17"/>
        <v>5</v>
      </c>
      <c r="C1670" s="5">
        <f t="shared" si="418"/>
        <v>2023</v>
      </c>
      <c r="D1670" s="5" t="s">
        <v>1541</v>
      </c>
      <c r="E1670" s="5" t="str">
        <f>VLOOKUP(F1670,'Set up'!$A$2:$C$70,2,FALSE)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up'!$A$2:$C$70,3,FALSE)</f>
        <v>Cash</v>
      </c>
      <c r="J1670" s="5">
        <f>VLOOKUP(F1670,'Set up'!$A$2:$D$70,4,FALSE)</f>
        <v>0</v>
      </c>
      <c r="K1670" s="4">
        <f t="shared" si="419"/>
        <v>45058</v>
      </c>
      <c r="L1670" s="5">
        <f t="shared" si="420"/>
        <v>5</v>
      </c>
      <c r="M1670" s="5">
        <f t="shared" si="421"/>
        <v>2023</v>
      </c>
      <c r="N1670" s="6">
        <v>421.2</v>
      </c>
      <c r="O1670" s="6">
        <f t="shared" ref="O1670:O1673" si="422">-N1670</f>
        <v>-421.2</v>
      </c>
      <c r="P1670" s="6">
        <f t="shared" si="404"/>
        <v>0</v>
      </c>
      <c r="Q1670" s="7">
        <f t="shared" si="411"/>
        <v>3071007.6500000013</v>
      </c>
      <c r="R1670" s="44" t="str">
        <f>VLOOKUP(F1670,'Set up'!$A$2:$E$70,5,FALSE)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17"/>
        <v>5</v>
      </c>
      <c r="C1671" s="5">
        <f t="shared" si="418"/>
        <v>2023</v>
      </c>
      <c r="D1671" s="5" t="s">
        <v>1541</v>
      </c>
      <c r="E1671" s="5" t="str">
        <f>VLOOKUP(F1671,'Set up'!$A$2:$C$70,2,FALSE)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up'!$A$2:$C$70,3,FALSE)</f>
        <v>Cash</v>
      </c>
      <c r="J1671" s="5">
        <f>VLOOKUP(F1671,'Set up'!$A$2:$D$70,4,FALSE)</f>
        <v>0</v>
      </c>
      <c r="K1671" s="4">
        <f t="shared" si="419"/>
        <v>45058</v>
      </c>
      <c r="L1671" s="5">
        <f t="shared" si="420"/>
        <v>5</v>
      </c>
      <c r="M1671" s="5">
        <f t="shared" si="421"/>
        <v>2023</v>
      </c>
      <c r="N1671" s="6">
        <v>187.5</v>
      </c>
      <c r="O1671" s="6">
        <f t="shared" si="422"/>
        <v>-187.5</v>
      </c>
      <c r="P1671" s="6">
        <f t="shared" si="404"/>
        <v>0</v>
      </c>
      <c r="Q1671" s="7">
        <f t="shared" si="411"/>
        <v>3071195.1500000013</v>
      </c>
      <c r="R1671" s="44" t="str">
        <f>VLOOKUP(F1671,'Set up'!$A$2:$E$70,5,FALSE)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17"/>
        <v>5</v>
      </c>
      <c r="C1672" s="5">
        <f t="shared" si="418"/>
        <v>2023</v>
      </c>
      <c r="D1672" s="5" t="s">
        <v>1541</v>
      </c>
      <c r="E1672" s="5" t="str">
        <f>VLOOKUP(F1672,'Set up'!$A$2:$C$70,2,FALSE)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up'!$A$2:$C$70,3,FALSE)</f>
        <v>Cash</v>
      </c>
      <c r="J1672" s="5">
        <f>VLOOKUP(F1672,'Set up'!$A$2:$D$70,4,FALSE)</f>
        <v>0</v>
      </c>
      <c r="K1672" s="4">
        <f t="shared" si="419"/>
        <v>45058</v>
      </c>
      <c r="L1672" s="5">
        <f t="shared" si="420"/>
        <v>5</v>
      </c>
      <c r="M1672" s="5">
        <f t="shared" si="421"/>
        <v>2023</v>
      </c>
      <c r="N1672" s="6">
        <v>420</v>
      </c>
      <c r="O1672" s="6">
        <f t="shared" si="422"/>
        <v>-420</v>
      </c>
      <c r="P1672" s="6">
        <f t="shared" si="404"/>
        <v>0</v>
      </c>
      <c r="Q1672" s="7">
        <f t="shared" si="411"/>
        <v>3071615.1500000013</v>
      </c>
      <c r="R1672" s="44" t="str">
        <f>VLOOKUP(F1672,'Set up'!$A$2:$E$70,5,FALSE)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17"/>
        <v>5</v>
      </c>
      <c r="C1673" s="5">
        <f t="shared" si="418"/>
        <v>2023</v>
      </c>
      <c r="D1673" s="5" t="s">
        <v>1541</v>
      </c>
      <c r="E1673" s="5" t="str">
        <f>VLOOKUP(F1673,'Set up'!$A$2:$C$70,2,FALSE)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up'!$A$2:$C$70,3,FALSE)</f>
        <v>Cash</v>
      </c>
      <c r="J1673" s="5">
        <f>VLOOKUP(F1673,'Set up'!$A$2:$D$70,4,FALSE)</f>
        <v>0</v>
      </c>
      <c r="K1673" s="4">
        <f t="shared" si="419"/>
        <v>45058</v>
      </c>
      <c r="L1673" s="5">
        <f t="shared" si="420"/>
        <v>5</v>
      </c>
      <c r="M1673" s="5">
        <f t="shared" si="421"/>
        <v>2023</v>
      </c>
      <c r="N1673" s="6">
        <v>105</v>
      </c>
      <c r="O1673" s="6">
        <f t="shared" si="422"/>
        <v>-105</v>
      </c>
      <c r="P1673" s="6">
        <f t="shared" si="404"/>
        <v>0</v>
      </c>
      <c r="Q1673" s="7">
        <f t="shared" si="411"/>
        <v>3071720.1500000013</v>
      </c>
      <c r="R1673" s="44" t="str">
        <f>VLOOKUP(F1673,'Set up'!$A$2:$E$70,5,FALSE)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17"/>
        <v>5</v>
      </c>
      <c r="C1674" s="5">
        <f t="shared" si="418"/>
        <v>2023</v>
      </c>
      <c r="D1674" s="5" t="s">
        <v>1542</v>
      </c>
      <c r="E1674" s="5" t="str">
        <f>VLOOKUP(F1674,'Set up'!$A$2:$C$70,2,FALSE)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up'!$A$2:$C$70,3,FALSE)</f>
        <v>120</v>
      </c>
      <c r="J1674" s="5">
        <f>VLOOKUP(F1674,'Set up'!$A$2:$D$70,4,FALSE)</f>
        <v>120</v>
      </c>
      <c r="K1674" s="4">
        <f t="shared" si="419"/>
        <v>45176</v>
      </c>
      <c r="L1674" s="5">
        <f t="shared" si="420"/>
        <v>9</v>
      </c>
      <c r="M1674" s="5">
        <f t="shared" si="421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11"/>
        <v>3081752.1500000013</v>
      </c>
      <c r="R1674" s="44" t="str">
        <f>VLOOKUP(F1674,'Set up'!$A$2:$E$70,5,FALSE)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17"/>
        <v>5</v>
      </c>
      <c r="C1675" s="5">
        <f t="shared" si="418"/>
        <v>2023</v>
      </c>
      <c r="D1675" s="5" t="s">
        <v>1542</v>
      </c>
      <c r="E1675" s="5" t="str">
        <f>VLOOKUP(F1675,'Set up'!$A$2:$C$70,2,FALSE)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up'!$A$2:$C$70,3,FALSE)</f>
        <v>120</v>
      </c>
      <c r="J1675" s="5">
        <f>VLOOKUP(F1675,'Set up'!$A$2:$D$70,4,FALSE)</f>
        <v>120</v>
      </c>
      <c r="K1675" s="4">
        <f t="shared" si="419"/>
        <v>45176</v>
      </c>
      <c r="L1675" s="5">
        <f t="shared" si="420"/>
        <v>9</v>
      </c>
      <c r="M1675" s="5">
        <f t="shared" si="421"/>
        <v>2023</v>
      </c>
      <c r="N1675" s="6">
        <v>1206</v>
      </c>
      <c r="O1675" s="6">
        <f>-N1675</f>
        <v>-1206</v>
      </c>
      <c r="P1675" s="6">
        <f t="shared" si="404"/>
        <v>0</v>
      </c>
      <c r="Q1675" s="7">
        <f t="shared" si="411"/>
        <v>3082958.1500000013</v>
      </c>
      <c r="R1675" s="44" t="str">
        <f>VLOOKUP(F1675,'Set up'!$A$2:$E$70,5,FALSE)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17"/>
        <v>5</v>
      </c>
      <c r="C1676" s="5">
        <f t="shared" si="418"/>
        <v>2023</v>
      </c>
      <c r="D1676" s="5" t="s">
        <v>1542</v>
      </c>
      <c r="E1676" s="5" t="str">
        <f>VLOOKUP(F1676,'Set up'!$A$2:$C$70,2,FALSE)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up'!$A$2:$C$70,3,FALSE)</f>
        <v>120</v>
      </c>
      <c r="J1676" s="5">
        <f>VLOOKUP(F1676,'Set up'!$A$2:$D$70,4,FALSE)</f>
        <v>120</v>
      </c>
      <c r="K1676" s="4">
        <f t="shared" si="419"/>
        <v>45176</v>
      </c>
      <c r="L1676" s="5">
        <f t="shared" si="420"/>
        <v>9</v>
      </c>
      <c r="M1676" s="5">
        <f t="shared" si="421"/>
        <v>2023</v>
      </c>
      <c r="N1676" s="6">
        <v>575</v>
      </c>
      <c r="O1676" s="6">
        <f>-N1676</f>
        <v>-575</v>
      </c>
      <c r="P1676" s="6">
        <f t="shared" si="404"/>
        <v>0</v>
      </c>
      <c r="Q1676" s="7">
        <f t="shared" si="411"/>
        <v>3083533.1500000013</v>
      </c>
      <c r="R1676" s="44" t="str">
        <f>VLOOKUP(F1676,'Set up'!$A$2:$E$70,5,FALSE)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17"/>
        <v>5</v>
      </c>
      <c r="C1677" s="5">
        <f t="shared" si="418"/>
        <v>2023</v>
      </c>
      <c r="D1677" s="5" t="s">
        <v>1544</v>
      </c>
      <c r="E1677" s="5" t="str">
        <f>VLOOKUP(F1677,'Set up'!$A$2:$C$70,2,FALSE)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up'!$A$2:$C$70,3,FALSE)</f>
        <v>30</v>
      </c>
      <c r="J1677" s="5">
        <f>VLOOKUP(F1677,'Set up'!$A$2:$D$70,4,FALSE)</f>
        <v>30</v>
      </c>
      <c r="K1677" s="4">
        <f t="shared" si="419"/>
        <v>45091</v>
      </c>
      <c r="L1677" s="5">
        <f t="shared" si="420"/>
        <v>6</v>
      </c>
      <c r="M1677" s="5">
        <f t="shared" si="421"/>
        <v>2023</v>
      </c>
      <c r="N1677" s="6">
        <v>7480</v>
      </c>
      <c r="O1677" s="6">
        <f t="shared" ref="O1677:O1683" si="423">-N1677</f>
        <v>-7480</v>
      </c>
      <c r="P1677" s="6">
        <f t="shared" si="404"/>
        <v>0</v>
      </c>
      <c r="Q1677" s="7">
        <f t="shared" si="411"/>
        <v>3091013.1500000013</v>
      </c>
      <c r="R1677" s="44" t="str">
        <f>VLOOKUP(F1677,'Set up'!$A$2:$E$70,5,FALSE)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17"/>
        <v>5</v>
      </c>
      <c r="C1678" s="5">
        <f t="shared" si="418"/>
        <v>2023</v>
      </c>
      <c r="D1678" s="5" t="s">
        <v>1544</v>
      </c>
      <c r="E1678" s="5" t="str">
        <f>VLOOKUP(F1678,'Set up'!$A$2:$C$70,2,FALSE)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up'!$A$2:$C$70,3,FALSE)</f>
        <v>30</v>
      </c>
      <c r="J1678" s="5">
        <f>VLOOKUP(F1678,'Set up'!$A$2:$D$70,4,FALSE)</f>
        <v>30</v>
      </c>
      <c r="K1678" s="4">
        <f t="shared" si="419"/>
        <v>45091</v>
      </c>
      <c r="L1678" s="5">
        <f t="shared" si="420"/>
        <v>6</v>
      </c>
      <c r="M1678" s="5">
        <f t="shared" si="421"/>
        <v>2023</v>
      </c>
      <c r="N1678" s="6">
        <v>2613</v>
      </c>
      <c r="O1678" s="6">
        <f t="shared" si="423"/>
        <v>-2613</v>
      </c>
      <c r="P1678" s="6">
        <f t="shared" si="404"/>
        <v>0</v>
      </c>
      <c r="Q1678" s="7">
        <f t="shared" si="411"/>
        <v>3093626.1500000013</v>
      </c>
      <c r="R1678" s="44" t="str">
        <f>VLOOKUP(F1678,'Set up'!$A$2:$E$70,5,FALSE)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17"/>
        <v>5</v>
      </c>
      <c r="C1679" s="5">
        <f t="shared" si="418"/>
        <v>2023</v>
      </c>
      <c r="D1679" s="5" t="s">
        <v>1544</v>
      </c>
      <c r="E1679" s="5" t="str">
        <f>VLOOKUP(F1679,'Set up'!$A$2:$C$70,2,FALSE)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up'!$A$2:$C$70,3,FALSE)</f>
        <v>30</v>
      </c>
      <c r="J1679" s="5">
        <f>VLOOKUP(F1679,'Set up'!$A$2:$D$70,4,FALSE)</f>
        <v>30</v>
      </c>
      <c r="K1679" s="4">
        <f t="shared" si="419"/>
        <v>45091</v>
      </c>
      <c r="L1679" s="5">
        <f t="shared" si="420"/>
        <v>6</v>
      </c>
      <c r="M1679" s="5">
        <f t="shared" si="421"/>
        <v>2023</v>
      </c>
      <c r="N1679" s="6">
        <v>144</v>
      </c>
      <c r="O1679" s="6">
        <f t="shared" si="423"/>
        <v>-144</v>
      </c>
      <c r="P1679" s="6">
        <f t="shared" si="404"/>
        <v>0</v>
      </c>
      <c r="Q1679" s="7">
        <f t="shared" si="411"/>
        <v>3093770.1500000013</v>
      </c>
      <c r="R1679" s="44" t="str">
        <f>VLOOKUP(F1679,'Set up'!$A$2:$E$70,5,FALSE)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17"/>
        <v>5</v>
      </c>
      <c r="C1680" s="5">
        <f t="shared" si="418"/>
        <v>2023</v>
      </c>
      <c r="D1680" s="5" t="s">
        <v>1544</v>
      </c>
      <c r="E1680" s="5" t="str">
        <f>VLOOKUP(F1680,'Set up'!$A$2:$C$70,2,FALSE)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up'!$A$2:$C$70,3,FALSE)</f>
        <v>30</v>
      </c>
      <c r="J1680" s="5">
        <f>VLOOKUP(F1680,'Set up'!$A$2:$D$70,4,FALSE)</f>
        <v>30</v>
      </c>
      <c r="K1680" s="4">
        <f t="shared" si="419"/>
        <v>45091</v>
      </c>
      <c r="L1680" s="5">
        <f t="shared" si="420"/>
        <v>6</v>
      </c>
      <c r="M1680" s="5">
        <f t="shared" si="421"/>
        <v>2023</v>
      </c>
      <c r="N1680" s="6">
        <v>285</v>
      </c>
      <c r="O1680" s="6">
        <f t="shared" si="423"/>
        <v>-285</v>
      </c>
      <c r="P1680" s="6">
        <f t="shared" si="404"/>
        <v>0</v>
      </c>
      <c r="Q1680" s="7">
        <f t="shared" si="411"/>
        <v>3094055.1500000013</v>
      </c>
      <c r="R1680" s="44" t="str">
        <f>VLOOKUP(F1680,'Set up'!$A$2:$E$70,5,FALSE)</f>
        <v>Chq</v>
      </c>
      <c r="S1680" s="1" t="s">
        <v>1691</v>
      </c>
    </row>
    <row r="1681" spans="1:21" x14ac:dyDescent="0.35">
      <c r="A1681" s="4">
        <v>45061</v>
      </c>
      <c r="B1681" s="5">
        <f t="shared" si="417"/>
        <v>5</v>
      </c>
      <c r="C1681" s="5">
        <f t="shared" si="418"/>
        <v>2023</v>
      </c>
      <c r="D1681" s="5" t="s">
        <v>1544</v>
      </c>
      <c r="E1681" s="5" t="str">
        <f>VLOOKUP(F1681,'Set up'!$A$2:$C$70,2,FALSE)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up'!$A$2:$C$70,3,FALSE)</f>
        <v>30</v>
      </c>
      <c r="J1681" s="5">
        <f>VLOOKUP(F1681,'Set up'!$A$2:$D$70,4,FALSE)</f>
        <v>30</v>
      </c>
      <c r="K1681" s="4">
        <f t="shared" si="419"/>
        <v>45091</v>
      </c>
      <c r="L1681" s="5">
        <f t="shared" si="420"/>
        <v>6</v>
      </c>
      <c r="M1681" s="5">
        <f t="shared" si="421"/>
        <v>2023</v>
      </c>
      <c r="N1681" s="6">
        <v>312.5</v>
      </c>
      <c r="O1681" s="6">
        <f t="shared" si="423"/>
        <v>-312.5</v>
      </c>
      <c r="P1681" s="6">
        <f t="shared" si="404"/>
        <v>0</v>
      </c>
      <c r="Q1681" s="7">
        <f t="shared" si="411"/>
        <v>3094367.6500000013</v>
      </c>
      <c r="R1681" s="44" t="str">
        <f>VLOOKUP(F1681,'Set up'!$A$2:$E$70,5,FALSE)</f>
        <v>Chq</v>
      </c>
      <c r="S1681" s="1" t="s">
        <v>1691</v>
      </c>
    </row>
    <row r="1682" spans="1:21" x14ac:dyDescent="0.35">
      <c r="A1682" s="4">
        <v>45061</v>
      </c>
      <c r="B1682" s="5">
        <f t="shared" si="417"/>
        <v>5</v>
      </c>
      <c r="C1682" s="5">
        <f t="shared" si="418"/>
        <v>2023</v>
      </c>
      <c r="D1682" s="5" t="s">
        <v>1544</v>
      </c>
      <c r="E1682" s="5" t="str">
        <f>VLOOKUP(F1682,'Set up'!$A$2:$C$70,2,FALSE)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up'!$A$2:$C$70,3,FALSE)</f>
        <v>30</v>
      </c>
      <c r="J1682" s="5">
        <f>VLOOKUP(F1682,'Set up'!$A$2:$D$70,4,FALSE)</f>
        <v>30</v>
      </c>
      <c r="K1682" s="4">
        <f t="shared" si="419"/>
        <v>45091</v>
      </c>
      <c r="L1682" s="5">
        <f t="shared" si="420"/>
        <v>6</v>
      </c>
      <c r="M1682" s="5">
        <f t="shared" si="421"/>
        <v>2023</v>
      </c>
      <c r="N1682" s="6">
        <v>520</v>
      </c>
      <c r="O1682" s="6">
        <f t="shared" si="423"/>
        <v>-520</v>
      </c>
      <c r="P1682" s="6">
        <f t="shared" si="404"/>
        <v>0</v>
      </c>
      <c r="Q1682" s="7">
        <f t="shared" si="411"/>
        <v>3094887.6500000013</v>
      </c>
      <c r="R1682" s="44" t="str">
        <f>VLOOKUP(F1682,'Set up'!$A$2:$E$70,5,FALSE)</f>
        <v>Chq</v>
      </c>
      <c r="S1682" s="1" t="s">
        <v>1691</v>
      </c>
    </row>
    <row r="1683" spans="1:21" x14ac:dyDescent="0.35">
      <c r="A1683" s="4">
        <v>45061</v>
      </c>
      <c r="B1683" s="5">
        <f t="shared" si="417"/>
        <v>5</v>
      </c>
      <c r="C1683" s="5">
        <f t="shared" si="418"/>
        <v>2023</v>
      </c>
      <c r="D1683" s="5" t="s">
        <v>1544</v>
      </c>
      <c r="E1683" s="5" t="str">
        <f>VLOOKUP(F1683,'Set up'!$A$2:$C$70,2,FALSE)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up'!$A$2:$C$70,3,FALSE)</f>
        <v>30</v>
      </c>
      <c r="J1683" s="5">
        <f>VLOOKUP(F1683,'Set up'!$A$2:$D$70,4,FALSE)</f>
        <v>30</v>
      </c>
      <c r="K1683" s="4">
        <f t="shared" si="419"/>
        <v>45091</v>
      </c>
      <c r="L1683" s="5">
        <f t="shared" si="420"/>
        <v>6</v>
      </c>
      <c r="M1683" s="5">
        <f t="shared" si="421"/>
        <v>2023</v>
      </c>
      <c r="N1683" s="6">
        <v>1860</v>
      </c>
      <c r="O1683" s="6">
        <f t="shared" si="423"/>
        <v>-1860</v>
      </c>
      <c r="P1683" s="6">
        <f t="shared" si="404"/>
        <v>0</v>
      </c>
      <c r="Q1683" s="7">
        <f t="shared" si="411"/>
        <v>3096747.6500000013</v>
      </c>
      <c r="R1683" s="44" t="str">
        <f>VLOOKUP(F1683,'Set up'!$A$2:$E$70,5,FALSE)</f>
        <v>Chq</v>
      </c>
      <c r="S1683" s="1" t="s">
        <v>1691</v>
      </c>
    </row>
    <row r="1684" spans="1:21" x14ac:dyDescent="0.35">
      <c r="A1684" s="4">
        <v>45063</v>
      </c>
      <c r="B1684" s="5">
        <f t="shared" si="417"/>
        <v>5</v>
      </c>
      <c r="C1684" s="5">
        <f t="shared" si="418"/>
        <v>2023</v>
      </c>
      <c r="D1684" s="5" t="s">
        <v>1547</v>
      </c>
      <c r="E1684" s="5" t="str">
        <f>VLOOKUP(F1684,'Set up'!$A$2:$C$70,2,FALSE)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up'!$A$2:$C$70,3,FALSE)</f>
        <v>45</v>
      </c>
      <c r="J1684" s="5">
        <f>VLOOKUP(F1684,'Set up'!$A$2:$D$70,4,FALSE)</f>
        <v>45</v>
      </c>
      <c r="K1684" s="4">
        <f t="shared" si="419"/>
        <v>45108</v>
      </c>
      <c r="L1684" s="5">
        <f t="shared" si="420"/>
        <v>7</v>
      </c>
      <c r="M1684" s="5">
        <f t="shared" si="421"/>
        <v>2023</v>
      </c>
      <c r="N1684" s="6">
        <v>3872</v>
      </c>
      <c r="O1684" s="6">
        <f>-1500-1500-872</f>
        <v>-3872</v>
      </c>
      <c r="P1684" s="6">
        <f t="shared" si="404"/>
        <v>0</v>
      </c>
      <c r="Q1684" s="7">
        <f t="shared" si="411"/>
        <v>3100619.6500000013</v>
      </c>
      <c r="R1684" s="44" t="str">
        <f>VLOOKUP(F1684,'Set up'!$A$2:$E$70,5,FALSE)</f>
        <v>PD Chq</v>
      </c>
      <c r="S1684" s="1" t="s">
        <v>1777</v>
      </c>
      <c r="U1684" s="1" t="s">
        <v>3603</v>
      </c>
    </row>
    <row r="1685" spans="1:21" x14ac:dyDescent="0.35">
      <c r="A1685" s="4">
        <v>45063</v>
      </c>
      <c r="B1685" s="5">
        <f t="shared" si="417"/>
        <v>5</v>
      </c>
      <c r="C1685" s="5">
        <f t="shared" si="418"/>
        <v>2023</v>
      </c>
      <c r="D1685" s="5" t="s">
        <v>1547</v>
      </c>
      <c r="E1685" s="5" t="str">
        <f>VLOOKUP(F1685,'Set up'!$A$2:$C$70,2,FALSE)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up'!$A$2:$C$70,3,FALSE)</f>
        <v>45</v>
      </c>
      <c r="J1685" s="5">
        <f>VLOOKUP(F1685,'Set up'!$A$2:$D$70,4,FALSE)</f>
        <v>45</v>
      </c>
      <c r="K1685" s="4">
        <f t="shared" si="419"/>
        <v>45108</v>
      </c>
      <c r="L1685" s="5">
        <f t="shared" si="420"/>
        <v>7</v>
      </c>
      <c r="M1685" s="5">
        <f t="shared" si="421"/>
        <v>2023</v>
      </c>
      <c r="N1685" s="6">
        <v>420</v>
      </c>
      <c r="O1685" s="6">
        <f>-N1685</f>
        <v>-420</v>
      </c>
      <c r="P1685" s="6">
        <f t="shared" ref="P1685:P1707" si="424">SUM(N1685+O1685)</f>
        <v>0</v>
      </c>
      <c r="Q1685" s="7">
        <f t="shared" si="411"/>
        <v>3101039.6500000013</v>
      </c>
      <c r="R1685" s="44" t="str">
        <f>VLOOKUP(F1685,'Set up'!$A$2:$E$70,5,FALSE)</f>
        <v>PD Chq</v>
      </c>
      <c r="S1685" s="1" t="s">
        <v>1778</v>
      </c>
      <c r="U1685" s="1" t="s">
        <v>3603</v>
      </c>
    </row>
    <row r="1686" spans="1:21" x14ac:dyDescent="0.35">
      <c r="A1686" s="4">
        <v>45063</v>
      </c>
      <c r="B1686" s="5">
        <f t="shared" si="417"/>
        <v>5</v>
      </c>
      <c r="C1686" s="5">
        <f t="shared" si="418"/>
        <v>2023</v>
      </c>
      <c r="D1686" s="5" t="s">
        <v>1548</v>
      </c>
      <c r="E1686" s="5" t="str">
        <f>VLOOKUP(F1686,'Set up'!$A$2:$C$70,2,FALSE)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up'!$A$2:$C$70,3,FALSE)</f>
        <v>Cash</v>
      </c>
      <c r="J1686" s="5">
        <f>VLOOKUP(F1686,'Set up'!$A$2:$D$70,4,FALSE)</f>
        <v>0</v>
      </c>
      <c r="K1686" s="4">
        <f t="shared" si="419"/>
        <v>45063</v>
      </c>
      <c r="L1686" s="5">
        <f t="shared" si="420"/>
        <v>5</v>
      </c>
      <c r="M1686" s="5">
        <f t="shared" si="421"/>
        <v>2023</v>
      </c>
      <c r="N1686" s="6">
        <v>280</v>
      </c>
      <c r="O1686" s="6">
        <f t="shared" ref="O1686:O1692" si="425">-N1686</f>
        <v>-280</v>
      </c>
      <c r="P1686" s="6">
        <f t="shared" si="424"/>
        <v>0</v>
      </c>
      <c r="Q1686" s="7">
        <f t="shared" si="411"/>
        <v>3101319.6500000013</v>
      </c>
      <c r="R1686" s="44" t="str">
        <f>VLOOKUP(F1686,'Set up'!$A$2:$E$70,5,FALSE)</f>
        <v>Trsf</v>
      </c>
      <c r="S1686" s="1" t="s">
        <v>1591</v>
      </c>
    </row>
    <row r="1687" spans="1:21" x14ac:dyDescent="0.35">
      <c r="A1687" s="4">
        <v>45063</v>
      </c>
      <c r="B1687" s="5">
        <f t="shared" si="417"/>
        <v>5</v>
      </c>
      <c r="C1687" s="5">
        <f t="shared" si="418"/>
        <v>2023</v>
      </c>
      <c r="D1687" s="5" t="s">
        <v>1548</v>
      </c>
      <c r="E1687" s="5" t="str">
        <f>VLOOKUP(F1687,'Set up'!$A$2:$C$70,2,FALSE)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up'!$A$2:$C$70,3,FALSE)</f>
        <v>Cash</v>
      </c>
      <c r="J1687" s="5">
        <f>VLOOKUP(F1687,'Set up'!$A$2:$D$70,4,FALSE)</f>
        <v>0</v>
      </c>
      <c r="K1687" s="4">
        <f t="shared" si="419"/>
        <v>45063</v>
      </c>
      <c r="L1687" s="5">
        <f t="shared" si="420"/>
        <v>5</v>
      </c>
      <c r="M1687" s="5">
        <f t="shared" si="421"/>
        <v>2023</v>
      </c>
      <c r="N1687" s="6">
        <v>258</v>
      </c>
      <c r="O1687" s="6">
        <f t="shared" si="425"/>
        <v>-258</v>
      </c>
      <c r="P1687" s="6">
        <f t="shared" si="424"/>
        <v>0</v>
      </c>
      <c r="Q1687" s="7">
        <f t="shared" si="411"/>
        <v>3101577.6500000013</v>
      </c>
      <c r="R1687" s="44" t="str">
        <f>VLOOKUP(F1687,'Set up'!$A$2:$E$70,5,FALSE)</f>
        <v>Trsf</v>
      </c>
      <c r="S1687" s="1" t="s">
        <v>1591</v>
      </c>
    </row>
    <row r="1688" spans="1:21" x14ac:dyDescent="0.35">
      <c r="A1688" s="4">
        <v>45063</v>
      </c>
      <c r="B1688" s="5">
        <f t="shared" si="417"/>
        <v>5</v>
      </c>
      <c r="C1688" s="5">
        <f t="shared" si="418"/>
        <v>2023</v>
      </c>
      <c r="D1688" s="5" t="s">
        <v>1548</v>
      </c>
      <c r="E1688" s="5" t="str">
        <f>VLOOKUP(F1688,'Set up'!$A$2:$C$70,2,FALSE)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up'!$A$2:$C$70,3,FALSE)</f>
        <v>Cash</v>
      </c>
      <c r="J1688" s="5">
        <f>VLOOKUP(F1688,'Set up'!$A$2:$D$70,4,FALSE)</f>
        <v>0</v>
      </c>
      <c r="K1688" s="4">
        <f t="shared" si="419"/>
        <v>45063</v>
      </c>
      <c r="L1688" s="5">
        <f t="shared" si="420"/>
        <v>5</v>
      </c>
      <c r="M1688" s="5">
        <f t="shared" si="421"/>
        <v>2023</v>
      </c>
      <c r="N1688" s="6">
        <v>105</v>
      </c>
      <c r="O1688" s="6">
        <f t="shared" si="425"/>
        <v>-105</v>
      </c>
      <c r="P1688" s="6">
        <f t="shared" si="424"/>
        <v>0</v>
      </c>
      <c r="Q1688" s="7">
        <f t="shared" si="411"/>
        <v>3101682.6500000013</v>
      </c>
      <c r="R1688" s="44" t="str">
        <f>VLOOKUP(F1688,'Set up'!$A$2:$E$70,5,FALSE)</f>
        <v>Trsf</v>
      </c>
      <c r="S1688" s="1" t="s">
        <v>1591</v>
      </c>
    </row>
    <row r="1689" spans="1:21" x14ac:dyDescent="0.35">
      <c r="A1689" s="4">
        <v>45063</v>
      </c>
      <c r="B1689" s="5">
        <f t="shared" si="417"/>
        <v>5</v>
      </c>
      <c r="C1689" s="5">
        <f t="shared" si="418"/>
        <v>2023</v>
      </c>
      <c r="D1689" s="5" t="s">
        <v>1548</v>
      </c>
      <c r="E1689" s="5" t="str">
        <f>VLOOKUP(F1689,'Set up'!$A$2:$C$70,2,FALSE)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up'!$A$2:$C$70,3,FALSE)</f>
        <v>Cash</v>
      </c>
      <c r="J1689" s="5">
        <f>VLOOKUP(F1689,'Set up'!$A$2:$D$70,4,FALSE)</f>
        <v>0</v>
      </c>
      <c r="K1689" s="4">
        <f t="shared" si="419"/>
        <v>45063</v>
      </c>
      <c r="L1689" s="5">
        <f t="shared" si="420"/>
        <v>5</v>
      </c>
      <c r="M1689" s="5">
        <f t="shared" si="421"/>
        <v>2023</v>
      </c>
      <c r="N1689" s="6">
        <v>55</v>
      </c>
      <c r="O1689" s="6">
        <f t="shared" si="425"/>
        <v>-55</v>
      </c>
      <c r="P1689" s="6">
        <f t="shared" si="424"/>
        <v>0</v>
      </c>
      <c r="Q1689" s="7">
        <f t="shared" si="411"/>
        <v>3101737.6500000013</v>
      </c>
      <c r="R1689" s="44" t="str">
        <f>VLOOKUP(F1689,'Set up'!$A$2:$E$70,5,FALSE)</f>
        <v>Trsf</v>
      </c>
      <c r="S1689" s="1" t="s">
        <v>1591</v>
      </c>
    </row>
    <row r="1690" spans="1:21" x14ac:dyDescent="0.35">
      <c r="A1690" s="4">
        <v>45063</v>
      </c>
      <c r="B1690" s="5">
        <f t="shared" si="417"/>
        <v>5</v>
      </c>
      <c r="C1690" s="5">
        <f t="shared" si="418"/>
        <v>2023</v>
      </c>
      <c r="D1690" s="5" t="s">
        <v>1550</v>
      </c>
      <c r="E1690" s="5" t="str">
        <f>VLOOKUP(F1690,'Set up'!$A$2:$C$70,2,FALSE)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up'!$A$2:$C$70,3,FALSE)</f>
        <v>Cash</v>
      </c>
      <c r="J1690" s="5">
        <f>VLOOKUP(F1690,'Set up'!$A$2:$D$70,4,FALSE)</f>
        <v>0</v>
      </c>
      <c r="K1690" s="4">
        <f t="shared" si="419"/>
        <v>45063</v>
      </c>
      <c r="L1690" s="5">
        <f t="shared" si="420"/>
        <v>5</v>
      </c>
      <c r="M1690" s="5">
        <f t="shared" si="421"/>
        <v>2023</v>
      </c>
      <c r="N1690" s="6">
        <v>1870</v>
      </c>
      <c r="O1690" s="6">
        <f t="shared" si="425"/>
        <v>-1870</v>
      </c>
      <c r="P1690" s="6">
        <f t="shared" si="424"/>
        <v>0</v>
      </c>
      <c r="Q1690" s="7">
        <f t="shared" si="411"/>
        <v>3103607.6500000013</v>
      </c>
      <c r="R1690" s="44" t="str">
        <f>VLOOKUP(F1690,'Set up'!$A$2:$E$70,5,FALSE)</f>
        <v>PD Chq</v>
      </c>
      <c r="S1690" s="1" t="s">
        <v>2250</v>
      </c>
    </row>
    <row r="1691" spans="1:21" x14ac:dyDescent="0.35">
      <c r="A1691" s="4">
        <v>45063</v>
      </c>
      <c r="B1691" s="5">
        <f t="shared" si="417"/>
        <v>5</v>
      </c>
      <c r="C1691" s="5">
        <f t="shared" si="418"/>
        <v>2023</v>
      </c>
      <c r="D1691" s="5" t="s">
        <v>1550</v>
      </c>
      <c r="E1691" s="5" t="str">
        <f>VLOOKUP(F1691,'Set up'!$A$2:$C$70,2,FALSE)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up'!$A$2:$C$70,3,FALSE)</f>
        <v>Cash</v>
      </c>
      <c r="J1691" s="5">
        <f>VLOOKUP(F1691,'Set up'!$A$2:$D$70,4,FALSE)</f>
        <v>0</v>
      </c>
      <c r="K1691" s="4">
        <f t="shared" si="419"/>
        <v>45063</v>
      </c>
      <c r="L1691" s="5">
        <f t="shared" si="420"/>
        <v>5</v>
      </c>
      <c r="M1691" s="5">
        <f t="shared" si="421"/>
        <v>2023</v>
      </c>
      <c r="N1691" s="6">
        <v>510</v>
      </c>
      <c r="O1691" s="6">
        <f t="shared" si="425"/>
        <v>-510</v>
      </c>
      <c r="P1691" s="6">
        <f t="shared" si="424"/>
        <v>0</v>
      </c>
      <c r="Q1691" s="7">
        <f t="shared" si="411"/>
        <v>3104117.6500000013</v>
      </c>
      <c r="R1691" s="44" t="str">
        <f>VLOOKUP(F1691,'Set up'!$A$2:$E$70,5,FALSE)</f>
        <v>PD Chq</v>
      </c>
      <c r="S1691" s="1" t="s">
        <v>2250</v>
      </c>
    </row>
    <row r="1692" spans="1:21" x14ac:dyDescent="0.35">
      <c r="A1692" s="4">
        <v>45063</v>
      </c>
      <c r="B1692" s="5">
        <f t="shared" si="417"/>
        <v>5</v>
      </c>
      <c r="C1692" s="5">
        <f t="shared" si="418"/>
        <v>2023</v>
      </c>
      <c r="D1692" s="5" t="s">
        <v>1550</v>
      </c>
      <c r="E1692" s="5" t="str">
        <f>VLOOKUP(F1692,'Set up'!$A$2:$C$70,2,FALSE)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up'!$A$2:$C$70,3,FALSE)</f>
        <v>Cash</v>
      </c>
      <c r="J1692" s="5">
        <f>VLOOKUP(F1692,'Set up'!$A$2:$D$70,4,FALSE)</f>
        <v>0</v>
      </c>
      <c r="K1692" s="4">
        <f t="shared" si="419"/>
        <v>45063</v>
      </c>
      <c r="L1692" s="5">
        <f t="shared" si="420"/>
        <v>5</v>
      </c>
      <c r="M1692" s="5">
        <f t="shared" si="421"/>
        <v>2023</v>
      </c>
      <c r="N1692" s="6">
        <v>95</v>
      </c>
      <c r="O1692" s="6">
        <f t="shared" si="425"/>
        <v>-95</v>
      </c>
      <c r="P1692" s="6">
        <f t="shared" si="424"/>
        <v>0</v>
      </c>
      <c r="Q1692" s="7">
        <f t="shared" si="411"/>
        <v>3104212.6500000013</v>
      </c>
      <c r="R1692" s="44" t="str">
        <f>VLOOKUP(F1692,'Set up'!$A$2:$E$70,5,FALSE)</f>
        <v>PD Chq</v>
      </c>
      <c r="S1692" s="1" t="s">
        <v>2250</v>
      </c>
    </row>
    <row r="1693" spans="1:21" x14ac:dyDescent="0.35">
      <c r="A1693" s="4">
        <v>45063</v>
      </c>
      <c r="B1693" s="5">
        <f t="shared" si="417"/>
        <v>5</v>
      </c>
      <c r="C1693" s="5">
        <f t="shared" si="418"/>
        <v>2023</v>
      </c>
      <c r="D1693" s="5" t="s">
        <v>1551</v>
      </c>
      <c r="E1693" s="5" t="str">
        <f>VLOOKUP(F1693,'Set up'!$A$2:$C$70,2,FALSE)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up'!$A$2:$C$70,3,FALSE)</f>
        <v>Cash</v>
      </c>
      <c r="J1693" s="5">
        <f>VLOOKUP(F1693,'Set up'!$A$2:$D$70,4,FALSE)</f>
        <v>0</v>
      </c>
      <c r="K1693" s="4">
        <f t="shared" si="419"/>
        <v>45063</v>
      </c>
      <c r="L1693" s="5">
        <f t="shared" si="420"/>
        <v>5</v>
      </c>
      <c r="M1693" s="5">
        <f t="shared" si="421"/>
        <v>2023</v>
      </c>
      <c r="N1693" s="6">
        <v>7304</v>
      </c>
      <c r="O1693" s="6">
        <f t="shared" ref="O1693:O1700" si="426">-N1693</f>
        <v>-7304</v>
      </c>
      <c r="P1693" s="6">
        <f t="shared" si="424"/>
        <v>0</v>
      </c>
      <c r="Q1693" s="7">
        <f t="shared" si="411"/>
        <v>3111516.6500000013</v>
      </c>
      <c r="R1693" s="44" t="str">
        <f>VLOOKUP(F1693,'Set up'!$A$2:$E$70,5,FALSE)</f>
        <v>Chq</v>
      </c>
      <c r="S1693" s="1" t="s">
        <v>1598</v>
      </c>
    </row>
    <row r="1694" spans="1:21" x14ac:dyDescent="0.35">
      <c r="A1694" s="4" t="s">
        <v>1552</v>
      </c>
      <c r="B1694" s="5">
        <f t="shared" si="417"/>
        <v>5</v>
      </c>
      <c r="C1694" s="5">
        <f t="shared" si="418"/>
        <v>2023</v>
      </c>
      <c r="D1694" s="5" t="s">
        <v>1551</v>
      </c>
      <c r="E1694" s="5" t="str">
        <f>VLOOKUP(F1694,'Set up'!$A$2:$C$70,2,FALSE)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up'!$A$2:$C$70,3,FALSE)</f>
        <v>Cash</v>
      </c>
      <c r="J1694" s="5">
        <f>VLOOKUP(F1694,'Set up'!$A$2:$D$70,4,FALSE)</f>
        <v>0</v>
      </c>
      <c r="K1694" s="4">
        <f t="shared" si="419"/>
        <v>45064</v>
      </c>
      <c r="L1694" s="5">
        <f t="shared" si="420"/>
        <v>5</v>
      </c>
      <c r="M1694" s="5">
        <f t="shared" si="421"/>
        <v>2023</v>
      </c>
      <c r="N1694" s="6">
        <v>2133</v>
      </c>
      <c r="O1694" s="6">
        <f t="shared" si="426"/>
        <v>-2133</v>
      </c>
      <c r="P1694" s="6">
        <f t="shared" si="424"/>
        <v>0</v>
      </c>
      <c r="Q1694" s="7">
        <f t="shared" si="411"/>
        <v>3113649.6500000013</v>
      </c>
      <c r="R1694" s="44" t="str">
        <f>VLOOKUP(F1694,'Set up'!$A$2:$E$70,5,FALSE)</f>
        <v>Chq</v>
      </c>
      <c r="S1694" s="1" t="s">
        <v>1599</v>
      </c>
    </row>
    <row r="1695" spans="1:21" x14ac:dyDescent="0.35">
      <c r="A1695" s="4" t="s">
        <v>1552</v>
      </c>
      <c r="B1695" s="5">
        <f t="shared" si="417"/>
        <v>5</v>
      </c>
      <c r="C1695" s="5">
        <f t="shared" si="418"/>
        <v>2023</v>
      </c>
      <c r="D1695" s="5" t="s">
        <v>1551</v>
      </c>
      <c r="E1695" s="5" t="str">
        <f>VLOOKUP(F1695,'Set up'!$A$2:$C$70,2,FALSE)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up'!$A$2:$C$70,3,FALSE)</f>
        <v>Cash</v>
      </c>
      <c r="J1695" s="5">
        <f>VLOOKUP(F1695,'Set up'!$A$2:$D$70,4,FALSE)</f>
        <v>0</v>
      </c>
      <c r="K1695" s="4">
        <f t="shared" si="419"/>
        <v>45064</v>
      </c>
      <c r="L1695" s="5">
        <f t="shared" si="420"/>
        <v>5</v>
      </c>
      <c r="M1695" s="5">
        <f t="shared" si="421"/>
        <v>2023</v>
      </c>
      <c r="N1695" s="6">
        <v>1279.8000000000002</v>
      </c>
      <c r="O1695" s="6">
        <f t="shared" si="426"/>
        <v>-1279.8000000000002</v>
      </c>
      <c r="P1695" s="6">
        <f t="shared" si="424"/>
        <v>0</v>
      </c>
      <c r="Q1695" s="7">
        <f t="shared" si="411"/>
        <v>3114929.4500000011</v>
      </c>
      <c r="R1695" s="44" t="str">
        <f>VLOOKUP(F1695,'Set up'!$A$2:$E$70,5,FALSE)</f>
        <v>Chq</v>
      </c>
      <c r="S1695" s="1" t="s">
        <v>1600</v>
      </c>
    </row>
    <row r="1696" spans="1:21" x14ac:dyDescent="0.35">
      <c r="A1696" s="4" t="s">
        <v>1552</v>
      </c>
      <c r="B1696" s="5">
        <f t="shared" si="417"/>
        <v>5</v>
      </c>
      <c r="C1696" s="5">
        <f t="shared" si="418"/>
        <v>2023</v>
      </c>
      <c r="D1696" s="5" t="s">
        <v>1551</v>
      </c>
      <c r="E1696" s="5" t="str">
        <f>VLOOKUP(F1696,'Set up'!$A$2:$C$70,2,FALSE)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up'!$A$2:$C$70,3,FALSE)</f>
        <v>Cash</v>
      </c>
      <c r="J1696" s="5">
        <f>VLOOKUP(F1696,'Set up'!$A$2:$D$70,4,FALSE)</f>
        <v>0</v>
      </c>
      <c r="K1696" s="4">
        <f t="shared" si="419"/>
        <v>45064</v>
      </c>
      <c r="L1696" s="5">
        <f t="shared" si="420"/>
        <v>5</v>
      </c>
      <c r="M1696" s="5">
        <f t="shared" si="421"/>
        <v>2023</v>
      </c>
      <c r="N1696" s="6">
        <v>1290</v>
      </c>
      <c r="O1696" s="6">
        <f t="shared" si="426"/>
        <v>-1290</v>
      </c>
      <c r="P1696" s="6">
        <f t="shared" si="424"/>
        <v>0</v>
      </c>
      <c r="Q1696" s="7">
        <f t="shared" si="411"/>
        <v>3116219.4500000011</v>
      </c>
      <c r="R1696" s="44" t="str">
        <f>VLOOKUP(F1696,'Set up'!$A$2:$E$70,5,FALSE)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17"/>
        <v>5</v>
      </c>
      <c r="C1697" s="5">
        <f t="shared" si="418"/>
        <v>2023</v>
      </c>
      <c r="D1697" s="5" t="s">
        <v>1551</v>
      </c>
      <c r="E1697" s="5" t="str">
        <f>VLOOKUP(F1697,'Set up'!$A$2:$C$70,2,FALSE)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up'!$A$2:$C$70,3,FALSE)</f>
        <v>Cash</v>
      </c>
      <c r="J1697" s="5">
        <f>VLOOKUP(F1697,'Set up'!$A$2:$D$70,4,FALSE)</f>
        <v>0</v>
      </c>
      <c r="K1697" s="4">
        <f t="shared" si="419"/>
        <v>45064</v>
      </c>
      <c r="L1697" s="5">
        <f t="shared" si="420"/>
        <v>5</v>
      </c>
      <c r="M1697" s="5">
        <f t="shared" si="421"/>
        <v>2023</v>
      </c>
      <c r="N1697" s="6">
        <v>150</v>
      </c>
      <c r="O1697" s="6">
        <f t="shared" si="426"/>
        <v>-150</v>
      </c>
      <c r="P1697" s="6">
        <f t="shared" si="424"/>
        <v>0</v>
      </c>
      <c r="Q1697" s="7">
        <f t="shared" si="411"/>
        <v>3116369.4500000011</v>
      </c>
      <c r="R1697" s="44" t="str">
        <f>VLOOKUP(F1697,'Set up'!$A$2:$E$70,5,FALSE)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si="417"/>
        <v>5</v>
      </c>
      <c r="C1698" s="5">
        <f t="shared" si="418"/>
        <v>2023</v>
      </c>
      <c r="D1698" s="5" t="s">
        <v>1551</v>
      </c>
      <c r="E1698" s="5" t="str">
        <f>VLOOKUP(F1698,'Set up'!$A$2:$C$70,2,FALSE)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up'!$A$2:$C$70,3,FALSE)</f>
        <v>Cash</v>
      </c>
      <c r="J1698" s="5">
        <f>VLOOKUP(F1698,'Set up'!$A$2:$D$70,4,FALSE)</f>
        <v>0</v>
      </c>
      <c r="K1698" s="4">
        <f t="shared" si="419"/>
        <v>45064</v>
      </c>
      <c r="L1698" s="5">
        <f t="shared" si="420"/>
        <v>5</v>
      </c>
      <c r="M1698" s="5">
        <f t="shared" si="421"/>
        <v>2023</v>
      </c>
      <c r="N1698" s="6">
        <v>1600</v>
      </c>
      <c r="O1698" s="6">
        <f t="shared" si="426"/>
        <v>-1600</v>
      </c>
      <c r="P1698" s="6">
        <f t="shared" si="424"/>
        <v>0</v>
      </c>
      <c r="Q1698" s="7">
        <f t="shared" ref="Q1698:Q1707" si="427">SUM(Q1697+N1698)</f>
        <v>3117969.4500000011</v>
      </c>
      <c r="R1698" s="44" t="str">
        <f>VLOOKUP(F1698,'Set up'!$A$2:$E$70,5,FALSE)</f>
        <v>Chq</v>
      </c>
      <c r="S1698" s="1" t="s">
        <v>1603</v>
      </c>
    </row>
    <row r="1699" spans="1:19" x14ac:dyDescent="0.35">
      <c r="A1699" s="4" t="s">
        <v>1552</v>
      </c>
      <c r="B1699" s="5">
        <f t="shared" si="417"/>
        <v>5</v>
      </c>
      <c r="C1699" s="5">
        <f t="shared" si="418"/>
        <v>2023</v>
      </c>
      <c r="D1699" s="5" t="s">
        <v>1551</v>
      </c>
      <c r="E1699" s="5" t="str">
        <f>VLOOKUP(F1699,'Set up'!$A$2:$C$70,2,FALSE)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up'!$A$2:$C$70,3,FALSE)</f>
        <v>Cash</v>
      </c>
      <c r="J1699" s="5">
        <f>VLOOKUP(F1699,'Set up'!$A$2:$D$70,4,FALSE)</f>
        <v>0</v>
      </c>
      <c r="K1699" s="4">
        <f t="shared" si="419"/>
        <v>45064</v>
      </c>
      <c r="L1699" s="5">
        <f t="shared" si="420"/>
        <v>5</v>
      </c>
      <c r="M1699" s="5">
        <f t="shared" si="421"/>
        <v>2023</v>
      </c>
      <c r="N1699" s="6">
        <v>1290</v>
      </c>
      <c r="O1699" s="6">
        <f>-963.6-326.4</f>
        <v>-1290</v>
      </c>
      <c r="P1699" s="6">
        <f t="shared" si="424"/>
        <v>0</v>
      </c>
      <c r="Q1699" s="7">
        <f t="shared" si="427"/>
        <v>3119259.4500000011</v>
      </c>
      <c r="R1699" s="44" t="str">
        <f>VLOOKUP(F1699,'Set up'!$A$2:$E$70,5,FALSE)</f>
        <v>Chq</v>
      </c>
      <c r="S1699" s="1" t="s">
        <v>1604</v>
      </c>
    </row>
    <row r="1700" spans="1:19" x14ac:dyDescent="0.35">
      <c r="A1700" s="4" t="s">
        <v>1552</v>
      </c>
      <c r="B1700" s="5">
        <f t="shared" si="417"/>
        <v>5</v>
      </c>
      <c r="C1700" s="5">
        <f t="shared" si="418"/>
        <v>2023</v>
      </c>
      <c r="D1700" s="5" t="s">
        <v>1551</v>
      </c>
      <c r="E1700" s="5" t="str">
        <f>VLOOKUP(F1700,'Set up'!$A$2:$C$70,2,FALSE)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up'!$A$2:$C$70,3,FALSE)</f>
        <v>Cash</v>
      </c>
      <c r="J1700" s="5">
        <f>VLOOKUP(F1700,'Set up'!$A$2:$D$70,4,FALSE)</f>
        <v>0</v>
      </c>
      <c r="K1700" s="4">
        <f t="shared" si="419"/>
        <v>45064</v>
      </c>
      <c r="L1700" s="5">
        <f t="shared" si="420"/>
        <v>5</v>
      </c>
      <c r="M1700" s="5">
        <f t="shared" si="421"/>
        <v>2023</v>
      </c>
      <c r="N1700" s="6">
        <v>660</v>
      </c>
      <c r="O1700" s="6">
        <f t="shared" si="426"/>
        <v>-660</v>
      </c>
      <c r="P1700" s="6">
        <f t="shared" si="424"/>
        <v>0</v>
      </c>
      <c r="Q1700" s="7">
        <f t="shared" si="427"/>
        <v>3119919.4500000011</v>
      </c>
      <c r="R1700" s="44" t="str">
        <f>VLOOKUP(F1700,'Set up'!$A$2:$E$70,5,FALSE)</f>
        <v>Chq</v>
      </c>
      <c r="S1700" s="1" t="s">
        <v>1605</v>
      </c>
    </row>
    <row r="1701" spans="1:19" x14ac:dyDescent="0.35">
      <c r="A1701" s="4" t="s">
        <v>1552</v>
      </c>
      <c r="B1701" s="5">
        <f t="shared" si="417"/>
        <v>5</v>
      </c>
      <c r="C1701" s="5">
        <f t="shared" si="418"/>
        <v>2023</v>
      </c>
      <c r="D1701" s="5" t="s">
        <v>1553</v>
      </c>
      <c r="E1701" s="5" t="str">
        <f>VLOOKUP(F1701,'Set up'!$A$2:$C$70,2,FALSE)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up'!$A$2:$C$70,3,FALSE)</f>
        <v>Cash</v>
      </c>
      <c r="J1701" s="5">
        <f>VLOOKUP(F1701,'Set up'!$A$2:$D$70,4,FALSE)</f>
        <v>0</v>
      </c>
      <c r="K1701" s="4">
        <f t="shared" si="419"/>
        <v>45064</v>
      </c>
      <c r="L1701" s="5">
        <f t="shared" si="420"/>
        <v>5</v>
      </c>
      <c r="M1701" s="5">
        <f t="shared" si="421"/>
        <v>2023</v>
      </c>
      <c r="N1701" s="6">
        <v>1112</v>
      </c>
      <c r="O1701" s="6">
        <f t="shared" ref="O1701:O1704" si="428">-N1701</f>
        <v>-1112</v>
      </c>
      <c r="P1701" s="6">
        <f t="shared" si="424"/>
        <v>0</v>
      </c>
      <c r="Q1701" s="7">
        <f t="shared" si="427"/>
        <v>3121031.4500000011</v>
      </c>
      <c r="R1701" s="44" t="str">
        <f>VLOOKUP(F1701,'Set up'!$A$2:$E$70,5,FALSE)</f>
        <v>Trsf</v>
      </c>
      <c r="S1701" s="1" t="s">
        <v>1583</v>
      </c>
    </row>
    <row r="1702" spans="1:19" x14ac:dyDescent="0.35">
      <c r="A1702" s="4" t="s">
        <v>1552</v>
      </c>
      <c r="B1702" s="5">
        <f t="shared" si="417"/>
        <v>5</v>
      </c>
      <c r="C1702" s="5">
        <f t="shared" si="418"/>
        <v>2023</v>
      </c>
      <c r="D1702" s="5" t="s">
        <v>1553</v>
      </c>
      <c r="E1702" s="5" t="str">
        <f>VLOOKUP(F1702,'Set up'!$A$2:$C$70,2,FALSE)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up'!$A$2:$C$70,3,FALSE)</f>
        <v>Cash</v>
      </c>
      <c r="J1702" s="5">
        <f>VLOOKUP(F1702,'Set up'!$A$2:$D$70,4,FALSE)</f>
        <v>0</v>
      </c>
      <c r="K1702" s="4">
        <f t="shared" si="419"/>
        <v>45064</v>
      </c>
      <c r="L1702" s="5">
        <f t="shared" si="420"/>
        <v>5</v>
      </c>
      <c r="M1702" s="5">
        <f t="shared" si="421"/>
        <v>2023</v>
      </c>
      <c r="N1702" s="6">
        <v>62.5</v>
      </c>
      <c r="O1702" s="6">
        <f t="shared" si="428"/>
        <v>-62.5</v>
      </c>
      <c r="P1702" s="6">
        <f t="shared" si="424"/>
        <v>0</v>
      </c>
      <c r="Q1702" s="7">
        <f t="shared" si="427"/>
        <v>3121093.9500000011</v>
      </c>
      <c r="R1702" s="44" t="str">
        <f>VLOOKUP(F1702,'Set up'!$A$2:$E$70,5,FALSE)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417"/>
        <v>5</v>
      </c>
      <c r="C1703" s="5">
        <f t="shared" si="418"/>
        <v>2023</v>
      </c>
      <c r="D1703" s="5" t="s">
        <v>1554</v>
      </c>
      <c r="E1703" s="5" t="str">
        <f>VLOOKUP(F1703,'Set up'!$A$2:$C$70,2,FALSE)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up'!$A$2:$C$70,3,FALSE)</f>
        <v>Cash</v>
      </c>
      <c r="J1703" s="5">
        <f>VLOOKUP(F1703,'Set up'!$A$2:$D$70,4,FALSE)</f>
        <v>0</v>
      </c>
      <c r="K1703" s="4">
        <f t="shared" si="419"/>
        <v>45066</v>
      </c>
      <c r="L1703" s="5">
        <f t="shared" si="420"/>
        <v>5</v>
      </c>
      <c r="M1703" s="5">
        <f t="shared" si="421"/>
        <v>2023</v>
      </c>
      <c r="N1703" s="6">
        <v>1912.5</v>
      </c>
      <c r="O1703" s="6">
        <f t="shared" si="428"/>
        <v>-1912.5</v>
      </c>
      <c r="P1703" s="6">
        <f t="shared" si="424"/>
        <v>0</v>
      </c>
      <c r="Q1703" s="7">
        <f t="shared" si="427"/>
        <v>3123006.4500000011</v>
      </c>
      <c r="R1703" s="44" t="str">
        <f>VLOOKUP(F1703,'Set up'!$A$2:$E$70,5,FALSE)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417"/>
        <v>5</v>
      </c>
      <c r="C1704" s="5">
        <f t="shared" si="418"/>
        <v>2023</v>
      </c>
      <c r="D1704" s="5" t="s">
        <v>1555</v>
      </c>
      <c r="E1704" s="5" t="str">
        <f>VLOOKUP(F1704,'Set up'!$A$2:$C$70,2,FALSE)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up'!$A$2:$C$70,3,FALSE)</f>
        <v>Cash</v>
      </c>
      <c r="J1704" s="5">
        <f>VLOOKUP(F1704,'Set up'!$A$2:$D$70,4,FALSE)</f>
        <v>0</v>
      </c>
      <c r="K1704" s="4">
        <f t="shared" si="419"/>
        <v>45066</v>
      </c>
      <c r="L1704" s="5">
        <f t="shared" si="420"/>
        <v>5</v>
      </c>
      <c r="M1704" s="5">
        <f t="shared" si="421"/>
        <v>2023</v>
      </c>
      <c r="N1704" s="6">
        <v>187.5</v>
      </c>
      <c r="O1704" s="6">
        <f t="shared" si="428"/>
        <v>-187.5</v>
      </c>
      <c r="P1704" s="6">
        <f t="shared" si="424"/>
        <v>0</v>
      </c>
      <c r="Q1704" s="7">
        <f t="shared" si="427"/>
        <v>3123193.9500000011</v>
      </c>
      <c r="R1704" s="44" t="str">
        <f>VLOOKUP(F1704,'Set up'!$A$2:$E$70,5,FALSE)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417"/>
        <v>5</v>
      </c>
      <c r="C1705" s="5">
        <f t="shared" si="418"/>
        <v>2023</v>
      </c>
      <c r="D1705" s="5" t="s">
        <v>1556</v>
      </c>
      <c r="E1705" s="5" t="str">
        <f>VLOOKUP(F1705,'Set up'!$A$2:$C$70,2,FALSE)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up'!$A$2:$C$70,3,FALSE)</f>
        <v>Cash</v>
      </c>
      <c r="J1705" s="5">
        <f>VLOOKUP(F1705,'Set up'!$A$2:$D$70,4,FALSE)</f>
        <v>0</v>
      </c>
      <c r="K1705" s="4">
        <f t="shared" si="419"/>
        <v>45066</v>
      </c>
      <c r="L1705" s="5">
        <f t="shared" si="420"/>
        <v>5</v>
      </c>
      <c r="M1705" s="5">
        <f t="shared" si="421"/>
        <v>2023</v>
      </c>
      <c r="N1705" s="6">
        <v>5412</v>
      </c>
      <c r="O1705" s="6">
        <f>-5215.4-196.6</f>
        <v>-5412</v>
      </c>
      <c r="P1705" s="6">
        <f t="shared" si="424"/>
        <v>0</v>
      </c>
      <c r="Q1705" s="7">
        <f t="shared" si="427"/>
        <v>3128605.9500000011</v>
      </c>
      <c r="R1705" s="44" t="str">
        <f>VLOOKUP(F1705,'Set up'!$A$2:$E$70,5,FALSE)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417"/>
        <v>5</v>
      </c>
      <c r="C1706" s="5">
        <f t="shared" si="418"/>
        <v>2023</v>
      </c>
      <c r="D1706" s="5" t="s">
        <v>1556</v>
      </c>
      <c r="E1706" s="5" t="str">
        <f>VLOOKUP(F1706,'Set up'!$A$2:$C$70,2,FALSE)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up'!$A$2:$C$70,3,FALSE)</f>
        <v>Cash</v>
      </c>
      <c r="J1706" s="5">
        <f>VLOOKUP(F1706,'Set up'!$A$2:$D$70,4,FALSE)</f>
        <v>0</v>
      </c>
      <c r="K1706" s="4">
        <f t="shared" si="419"/>
        <v>45066</v>
      </c>
      <c r="L1706" s="5">
        <f t="shared" si="420"/>
        <v>5</v>
      </c>
      <c r="M1706" s="5">
        <f t="shared" si="421"/>
        <v>2023</v>
      </c>
      <c r="N1706" s="6">
        <v>2508</v>
      </c>
      <c r="O1706" s="6">
        <f t="shared" ref="O1706:O1708" si="429">-N1706</f>
        <v>-2508</v>
      </c>
      <c r="P1706" s="6">
        <f t="shared" si="424"/>
        <v>0</v>
      </c>
      <c r="Q1706" s="7">
        <f t="shared" si="427"/>
        <v>3131113.9500000011</v>
      </c>
      <c r="R1706" s="44" t="str">
        <f>VLOOKUP(F1706,'Set up'!$A$2:$E$70,5,FALSE)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si="417"/>
        <v>5</v>
      </c>
      <c r="C1707" s="5">
        <f t="shared" si="418"/>
        <v>2023</v>
      </c>
      <c r="D1707" s="5" t="s">
        <v>1556</v>
      </c>
      <c r="E1707" s="5" t="str">
        <f>VLOOKUP(F1707,'Set up'!$A$2:$C$70,2,FALSE)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up'!$A$2:$C$70,3,FALSE)</f>
        <v>Cash</v>
      </c>
      <c r="J1707" s="5">
        <f>VLOOKUP(F1707,'Set up'!$A$2:$D$70,4,FALSE)</f>
        <v>0</v>
      </c>
      <c r="K1707" s="4">
        <f t="shared" si="419"/>
        <v>45066</v>
      </c>
      <c r="L1707" s="5">
        <f t="shared" si="420"/>
        <v>5</v>
      </c>
      <c r="M1707" s="5">
        <f t="shared" si="421"/>
        <v>2023</v>
      </c>
      <c r="N1707" s="6">
        <v>793.80000000000007</v>
      </c>
      <c r="O1707" s="6">
        <f t="shared" si="429"/>
        <v>-793.80000000000007</v>
      </c>
      <c r="P1707" s="6">
        <f t="shared" si="424"/>
        <v>0</v>
      </c>
      <c r="Q1707" s="7">
        <f t="shared" si="427"/>
        <v>3131907.7500000009</v>
      </c>
      <c r="R1707" s="44" t="str">
        <f>VLOOKUP(F1707,'Set up'!$A$2:$E$70,5,FALSE)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417"/>
        <v>5</v>
      </c>
      <c r="C1708" s="5">
        <f t="shared" si="418"/>
        <v>2023</v>
      </c>
      <c r="D1708" s="5" t="s">
        <v>1556</v>
      </c>
      <c r="E1708" s="5" t="str">
        <f>VLOOKUP(F1708,'Set up'!$A$2:$C$70,2,FALSE)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up'!$A$2:$C$70,3,FALSE)</f>
        <v>Cash</v>
      </c>
      <c r="J1708" s="5">
        <f>VLOOKUP(F1708,'Set up'!$A$2:$D$70,4,FALSE)</f>
        <v>0</v>
      </c>
      <c r="K1708" s="4">
        <f t="shared" si="419"/>
        <v>45066</v>
      </c>
      <c r="L1708" s="5">
        <f t="shared" si="420"/>
        <v>5</v>
      </c>
      <c r="M1708" s="5">
        <f t="shared" si="421"/>
        <v>2023</v>
      </c>
      <c r="N1708" s="6">
        <v>2000</v>
      </c>
      <c r="O1708" s="6">
        <f t="shared" si="429"/>
        <v>-2000</v>
      </c>
      <c r="P1708" s="6">
        <f t="shared" ref="P1708:P1731" si="430">SUM(N1708+O1708)</f>
        <v>0</v>
      </c>
      <c r="Q1708" s="7">
        <f t="shared" ref="Q1708:Q1728" si="431">SUM(Q1707+N1708)</f>
        <v>3133907.7500000009</v>
      </c>
      <c r="R1708" s="44" t="str">
        <f>VLOOKUP(F1708,'Set up'!$A$2:$E$70,5,FALSE)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417"/>
        <v>5</v>
      </c>
      <c r="C1709" s="5">
        <f t="shared" si="418"/>
        <v>2023</v>
      </c>
      <c r="D1709" s="5" t="s">
        <v>1557</v>
      </c>
      <c r="E1709" s="5" t="str">
        <f>VLOOKUP(F1709,'Set up'!$A$2:$C$70,2,FALSE)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up'!$A$2:$C$70,3,FALSE)</f>
        <v>Cash</v>
      </c>
      <c r="J1709" s="5">
        <f>VLOOKUP(F1709,'Set up'!$A$2:$D$70,4,FALSE)</f>
        <v>0</v>
      </c>
      <c r="K1709" s="4">
        <f t="shared" si="419"/>
        <v>45066</v>
      </c>
      <c r="L1709" s="5">
        <f t="shared" si="420"/>
        <v>5</v>
      </c>
      <c r="M1709" s="5">
        <f t="shared" si="421"/>
        <v>2023</v>
      </c>
      <c r="N1709" s="6">
        <v>1804</v>
      </c>
      <c r="O1709" s="6">
        <f t="shared" ref="O1709:O1711" si="432">-N1709</f>
        <v>-1804</v>
      </c>
      <c r="P1709" s="6">
        <f t="shared" si="430"/>
        <v>0</v>
      </c>
      <c r="Q1709" s="7">
        <f t="shared" si="431"/>
        <v>3135711.7500000009</v>
      </c>
      <c r="R1709" s="44" t="str">
        <f>VLOOKUP(F1709,'Set up'!$A$2:$E$70,5,FALSE)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417"/>
        <v>5</v>
      </c>
      <c r="C1710" s="5">
        <f t="shared" si="418"/>
        <v>2023</v>
      </c>
      <c r="D1710" s="5" t="s">
        <v>1557</v>
      </c>
      <c r="E1710" s="5" t="str">
        <f>VLOOKUP(F1710,'Set up'!$A$2:$C$70,2,FALSE)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up'!$A$2:$C$70,3,FALSE)</f>
        <v>Cash</v>
      </c>
      <c r="J1710" s="5">
        <f>VLOOKUP(F1710,'Set up'!$A$2:$D$70,4,FALSE)</f>
        <v>0</v>
      </c>
      <c r="K1710" s="4">
        <f t="shared" si="419"/>
        <v>45071</v>
      </c>
      <c r="L1710" s="5">
        <f t="shared" si="420"/>
        <v>5</v>
      </c>
      <c r="M1710" s="5">
        <f t="shared" si="421"/>
        <v>2023</v>
      </c>
      <c r="N1710" s="6">
        <v>948</v>
      </c>
      <c r="O1710" s="6">
        <f t="shared" si="432"/>
        <v>-948</v>
      </c>
      <c r="P1710" s="6">
        <f t="shared" si="430"/>
        <v>0</v>
      </c>
      <c r="Q1710" s="7">
        <f t="shared" si="431"/>
        <v>3136659.7500000009</v>
      </c>
      <c r="R1710" s="44" t="str">
        <f>VLOOKUP(F1710,'Set up'!$A$2:$E$70,5,FALSE)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417"/>
        <v>5</v>
      </c>
      <c r="C1711" s="5">
        <f t="shared" si="418"/>
        <v>2023</v>
      </c>
      <c r="D1711" s="5" t="s">
        <v>1557</v>
      </c>
      <c r="E1711" s="5" t="str">
        <f>VLOOKUP(F1711,'Set up'!$A$2:$C$70,2,FALSE)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up'!$A$2:$C$70,3,FALSE)</f>
        <v>Cash</v>
      </c>
      <c r="J1711" s="5">
        <f>VLOOKUP(F1711,'Set up'!$A$2:$D$70,4,FALSE)</f>
        <v>0</v>
      </c>
      <c r="K1711" s="4">
        <f t="shared" si="419"/>
        <v>45071</v>
      </c>
      <c r="L1711" s="5">
        <f t="shared" si="420"/>
        <v>5</v>
      </c>
      <c r="M1711" s="5">
        <f t="shared" si="421"/>
        <v>2023</v>
      </c>
      <c r="N1711" s="6">
        <v>516</v>
      </c>
      <c r="O1711" s="6">
        <f t="shared" si="432"/>
        <v>-516</v>
      </c>
      <c r="P1711" s="6">
        <f t="shared" si="430"/>
        <v>0</v>
      </c>
      <c r="Q1711" s="7">
        <f t="shared" si="431"/>
        <v>3137175.7500000009</v>
      </c>
      <c r="R1711" s="44" t="str">
        <f>VLOOKUP(F1711,'Set up'!$A$2:$E$70,5,FALSE)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417"/>
        <v>5</v>
      </c>
      <c r="C1712" s="5">
        <f t="shared" si="418"/>
        <v>2023</v>
      </c>
      <c r="D1712" s="5" t="s">
        <v>1557</v>
      </c>
      <c r="E1712" s="5" t="str">
        <f>VLOOKUP(F1712,'Set up'!$A$2:$C$70,2,FALSE)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up'!$A$2:$C$70,3,FALSE)</f>
        <v>Cash</v>
      </c>
      <c r="J1712" s="5">
        <f>VLOOKUP(F1712,'Set up'!$A$2:$D$70,4,FALSE)</f>
        <v>0</v>
      </c>
      <c r="K1712" s="4">
        <f t="shared" si="419"/>
        <v>45071</v>
      </c>
      <c r="L1712" s="5">
        <f t="shared" si="420"/>
        <v>5</v>
      </c>
      <c r="M1712" s="5">
        <f t="shared" si="421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431"/>
        <v>3137495.7500000009</v>
      </c>
      <c r="R1712" s="44" t="str">
        <f>VLOOKUP(F1712,'Set up'!$A$2:$E$70,5,FALSE)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417"/>
        <v>5</v>
      </c>
      <c r="C1713" s="5">
        <f t="shared" si="418"/>
        <v>2023</v>
      </c>
      <c r="D1713" s="5" t="s">
        <v>1558</v>
      </c>
      <c r="E1713" s="5" t="str">
        <f>VLOOKUP(F1713,'Set up'!$A$2:$C$70,2,FALSE)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up'!$A$2:$C$70,3,FALSE)</f>
        <v>Cash</v>
      </c>
      <c r="J1713" s="5">
        <f>VLOOKUP(F1713,'Set up'!$A$2:$D$70,4,FALSE)</f>
        <v>0</v>
      </c>
      <c r="K1713" s="4">
        <f t="shared" si="419"/>
        <v>45071</v>
      </c>
      <c r="L1713" s="5">
        <f t="shared" si="420"/>
        <v>5</v>
      </c>
      <c r="M1713" s="5">
        <f t="shared" si="421"/>
        <v>2023</v>
      </c>
      <c r="N1713" s="6">
        <v>350</v>
      </c>
      <c r="O1713" s="6">
        <f t="shared" ref="O1713" si="433">-N1713</f>
        <v>-350</v>
      </c>
      <c r="P1713" s="6">
        <f t="shared" si="430"/>
        <v>0</v>
      </c>
      <c r="Q1713" s="7">
        <f t="shared" si="431"/>
        <v>3137845.7500000009</v>
      </c>
      <c r="R1713" s="44" t="str">
        <f>VLOOKUP(F1713,'Set up'!$A$2:$E$70,5,FALSE)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417"/>
        <v>5</v>
      </c>
      <c r="C1714" s="5">
        <f t="shared" si="418"/>
        <v>2023</v>
      </c>
      <c r="D1714" s="5" t="s">
        <v>1559</v>
      </c>
      <c r="E1714" s="5" t="str">
        <f>VLOOKUP(F1714,'Set up'!$A$2:$C$70,2,FALSE)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up'!$A$2:$C$70,3,FALSE)</f>
        <v>Cash</v>
      </c>
      <c r="J1714" s="5">
        <f>VLOOKUP(F1714,'Set up'!$A$2:$D$70,4,FALSE)</f>
        <v>0</v>
      </c>
      <c r="K1714" s="4">
        <f t="shared" si="419"/>
        <v>45072</v>
      </c>
      <c r="L1714" s="5">
        <f t="shared" si="420"/>
        <v>5</v>
      </c>
      <c r="M1714" s="5">
        <f t="shared" si="421"/>
        <v>2023</v>
      </c>
      <c r="N1714" s="6">
        <v>1804</v>
      </c>
      <c r="O1714" s="6">
        <f>-N1714</f>
        <v>-1804</v>
      </c>
      <c r="P1714" s="6">
        <f t="shared" si="430"/>
        <v>0</v>
      </c>
      <c r="Q1714" s="7">
        <f t="shared" si="431"/>
        <v>3139649.7500000009</v>
      </c>
      <c r="R1714" s="44" t="str">
        <f>VLOOKUP(F1714,'Set up'!$A$2:$E$70,5,FALSE)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417"/>
        <v>5</v>
      </c>
      <c r="C1715" s="5">
        <f t="shared" si="418"/>
        <v>2023</v>
      </c>
      <c r="D1715" s="5" t="s">
        <v>1559</v>
      </c>
      <c r="E1715" s="5" t="str">
        <f>VLOOKUP(F1715,'Set up'!$A$2:$C$70,2,FALSE)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up'!$A$2:$C$70,3,FALSE)</f>
        <v>Cash</v>
      </c>
      <c r="J1715" s="5">
        <f>VLOOKUP(F1715,'Set up'!$A$2:$D$70,4,FALSE)</f>
        <v>0</v>
      </c>
      <c r="K1715" s="4">
        <f t="shared" si="419"/>
        <v>45072</v>
      </c>
      <c r="L1715" s="5">
        <f t="shared" si="420"/>
        <v>5</v>
      </c>
      <c r="M1715" s="5">
        <f t="shared" si="421"/>
        <v>2023</v>
      </c>
      <c r="N1715" s="6">
        <v>684</v>
      </c>
      <c r="O1715" s="6">
        <f>-N1715</f>
        <v>-684</v>
      </c>
      <c r="P1715" s="6">
        <f t="shared" si="430"/>
        <v>0</v>
      </c>
      <c r="Q1715" s="7">
        <f t="shared" si="431"/>
        <v>3140333.7500000009</v>
      </c>
      <c r="R1715" s="44" t="str">
        <f>VLOOKUP(F1715,'Set up'!$A$2:$E$70,5,FALSE)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417"/>
        <v>5</v>
      </c>
      <c r="C1716" s="5">
        <f t="shared" si="418"/>
        <v>2023</v>
      </c>
      <c r="D1716" s="5" t="s">
        <v>1559</v>
      </c>
      <c r="E1716" s="5" t="str">
        <f>VLOOKUP(F1716,'Set up'!$A$2:$C$70,2,FALSE)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up'!$A$2:$C$70,3,FALSE)</f>
        <v>Cash</v>
      </c>
      <c r="J1716" s="5">
        <f>VLOOKUP(F1716,'Set up'!$A$2:$D$70,4,FALSE)</f>
        <v>0</v>
      </c>
      <c r="K1716" s="4">
        <f t="shared" si="419"/>
        <v>45072</v>
      </c>
      <c r="L1716" s="5">
        <f t="shared" si="420"/>
        <v>5</v>
      </c>
      <c r="M1716" s="5">
        <f t="shared" si="421"/>
        <v>2023</v>
      </c>
      <c r="N1716" s="6">
        <v>264.60000000000002</v>
      </c>
      <c r="O1716" s="6">
        <f>-N1716</f>
        <v>-264.60000000000002</v>
      </c>
      <c r="P1716" s="6">
        <f t="shared" si="430"/>
        <v>0</v>
      </c>
      <c r="Q1716" s="7">
        <f t="shared" si="431"/>
        <v>3140598.350000001</v>
      </c>
      <c r="R1716" s="44" t="str">
        <f>VLOOKUP(F1716,'Set up'!$A$2:$E$70,5,FALSE)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417"/>
        <v>5</v>
      </c>
      <c r="C1717" s="5">
        <f t="shared" si="418"/>
        <v>2023</v>
      </c>
      <c r="D1717" s="5" t="s">
        <v>1559</v>
      </c>
      <c r="E1717" s="5" t="str">
        <f>VLOOKUP(F1717,'Set up'!$A$2:$C$70,2,FALSE)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up'!$A$2:$C$70,3,FALSE)</f>
        <v>Cash</v>
      </c>
      <c r="J1717" s="5">
        <f>VLOOKUP(F1717,'Set up'!$A$2:$D$70,4,FALSE)</f>
        <v>0</v>
      </c>
      <c r="K1717" s="4">
        <f t="shared" si="419"/>
        <v>45072</v>
      </c>
      <c r="L1717" s="5">
        <f t="shared" si="420"/>
        <v>5</v>
      </c>
      <c r="M1717" s="5">
        <f t="shared" si="421"/>
        <v>2023</v>
      </c>
      <c r="N1717" s="6">
        <v>62.5</v>
      </c>
      <c r="O1717" s="6">
        <f>-N1717</f>
        <v>-62.5</v>
      </c>
      <c r="P1717" s="6">
        <f t="shared" si="430"/>
        <v>0</v>
      </c>
      <c r="Q1717" s="7">
        <f t="shared" si="431"/>
        <v>3140660.850000001</v>
      </c>
      <c r="R1717" s="44" t="str">
        <f>VLOOKUP(F1717,'Set up'!$A$2:$E$70,5,FALSE)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417"/>
        <v>5</v>
      </c>
      <c r="C1718" s="5">
        <f t="shared" si="418"/>
        <v>2023</v>
      </c>
      <c r="D1718" s="5" t="s">
        <v>1560</v>
      </c>
      <c r="E1718" s="5" t="str">
        <f>VLOOKUP(F1718,'Set up'!$A$2:$C$70,2,FALSE)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up'!$A$2:$C$70,3,FALSE)</f>
        <v>60</v>
      </c>
      <c r="J1718" s="5">
        <f>VLOOKUP(F1718,'Set up'!$A$2:$D$70,4,FALSE)</f>
        <v>60</v>
      </c>
      <c r="K1718" s="4">
        <f t="shared" si="419"/>
        <v>45132</v>
      </c>
      <c r="L1718" s="5">
        <f t="shared" si="420"/>
        <v>7</v>
      </c>
      <c r="M1718" s="5">
        <f t="shared" si="421"/>
        <v>2023</v>
      </c>
      <c r="N1718" s="6">
        <v>3388</v>
      </c>
      <c r="O1718" s="6">
        <f t="shared" ref="O1718:O1720" si="434">-N1718</f>
        <v>-3388</v>
      </c>
      <c r="P1718" s="6">
        <f t="shared" si="430"/>
        <v>0</v>
      </c>
      <c r="Q1718" s="7">
        <f t="shared" si="431"/>
        <v>3144048.850000001</v>
      </c>
      <c r="R1718" s="44" t="str">
        <f>VLOOKUP(F1718,'Set up'!$A$2:$E$70,5,FALSE)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417"/>
        <v>5</v>
      </c>
      <c r="C1719" s="5">
        <f t="shared" si="418"/>
        <v>2023</v>
      </c>
      <c r="D1719" s="5" t="s">
        <v>1560</v>
      </c>
      <c r="E1719" s="5" t="str">
        <f>VLOOKUP(F1719,'Set up'!$A$2:$C$70,2,FALSE)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up'!$A$2:$C$70,3,FALSE)</f>
        <v>60</v>
      </c>
      <c r="J1719" s="5">
        <f>VLOOKUP(F1719,'Set up'!$A$2:$D$70,4,FALSE)</f>
        <v>60</v>
      </c>
      <c r="K1719" s="4">
        <f t="shared" si="419"/>
        <v>45132</v>
      </c>
      <c r="L1719" s="5">
        <f t="shared" si="420"/>
        <v>7</v>
      </c>
      <c r="M1719" s="5">
        <f t="shared" si="421"/>
        <v>2023</v>
      </c>
      <c r="N1719" s="6">
        <v>745.2</v>
      </c>
      <c r="O1719" s="6">
        <f t="shared" si="434"/>
        <v>-745.2</v>
      </c>
      <c r="P1719" s="6">
        <f t="shared" si="430"/>
        <v>0</v>
      </c>
      <c r="Q1719" s="7">
        <f t="shared" si="431"/>
        <v>3144794.0500000012</v>
      </c>
      <c r="R1719" s="44" t="str">
        <f>VLOOKUP(F1719,'Set up'!$A$2:$E$70,5,FALSE)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417"/>
        <v>5</v>
      </c>
      <c r="C1720" s="5">
        <f t="shared" si="418"/>
        <v>2023</v>
      </c>
      <c r="D1720" s="5" t="s">
        <v>1560</v>
      </c>
      <c r="E1720" s="5" t="str">
        <f>VLOOKUP(F1720,'Set up'!$A$2:$C$70,2,FALSE)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up'!$A$2:$C$70,3,FALSE)</f>
        <v>60</v>
      </c>
      <c r="J1720" s="5">
        <f>VLOOKUP(F1720,'Set up'!$A$2:$D$70,4,FALSE)</f>
        <v>60</v>
      </c>
      <c r="K1720" s="4">
        <f t="shared" si="419"/>
        <v>45132</v>
      </c>
      <c r="L1720" s="5">
        <f t="shared" si="420"/>
        <v>7</v>
      </c>
      <c r="M1720" s="5">
        <f t="shared" si="421"/>
        <v>2023</v>
      </c>
      <c r="N1720" s="6">
        <v>488</v>
      </c>
      <c r="O1720" s="6">
        <f t="shared" si="434"/>
        <v>-488</v>
      </c>
      <c r="P1720" s="6">
        <f t="shared" si="430"/>
        <v>0</v>
      </c>
      <c r="Q1720" s="7">
        <f t="shared" si="431"/>
        <v>3145282.0500000012</v>
      </c>
      <c r="R1720" s="44" t="str">
        <f>VLOOKUP(F1720,'Set up'!$A$2:$E$70,5,FALSE)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417"/>
        <v>5</v>
      </c>
      <c r="C1721" s="5">
        <f t="shared" si="418"/>
        <v>2023</v>
      </c>
      <c r="D1721" s="5" t="s">
        <v>1561</v>
      </c>
      <c r="E1721" s="5" t="str">
        <f>VLOOKUP(F1721,'Set up'!$A$2:$C$70,2,FALSE)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up'!$A$2:$C$70,3,FALSE)</f>
        <v>Cash</v>
      </c>
      <c r="J1721" s="5">
        <f>VLOOKUP(F1721,'Set up'!$A$2:$D$70,4,FALSE)</f>
        <v>0</v>
      </c>
      <c r="K1721" s="4">
        <f t="shared" si="419"/>
        <v>45072</v>
      </c>
      <c r="L1721" s="5">
        <f t="shared" si="420"/>
        <v>5</v>
      </c>
      <c r="M1721" s="5">
        <f t="shared" si="421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431"/>
        <v>3147086.0500000012</v>
      </c>
      <c r="R1721" s="44" t="str">
        <f>VLOOKUP(F1721,'Set up'!$A$2:$E$70,5,FALSE)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417"/>
        <v>5</v>
      </c>
      <c r="C1722" s="5">
        <f t="shared" si="418"/>
        <v>2023</v>
      </c>
      <c r="D1722" s="5" t="s">
        <v>1561</v>
      </c>
      <c r="E1722" s="5" t="str">
        <f>VLOOKUP(F1722,'Set up'!$A$2:$C$70,2,FALSE)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up'!$A$2:$C$70,3,FALSE)</f>
        <v>Cash</v>
      </c>
      <c r="J1722" s="5">
        <f>VLOOKUP(F1722,'Set up'!$A$2:$D$70,4,FALSE)</f>
        <v>0</v>
      </c>
      <c r="K1722" s="4">
        <f t="shared" si="419"/>
        <v>45076</v>
      </c>
      <c r="L1722" s="5">
        <f t="shared" si="420"/>
        <v>5</v>
      </c>
      <c r="M1722" s="5">
        <f t="shared" si="421"/>
        <v>2023</v>
      </c>
      <c r="N1722" s="6">
        <v>948</v>
      </c>
      <c r="O1722" s="6">
        <f>-N1722</f>
        <v>-948</v>
      </c>
      <c r="P1722" s="6">
        <f t="shared" si="430"/>
        <v>0</v>
      </c>
      <c r="Q1722" s="7">
        <f t="shared" si="431"/>
        <v>3148034.0500000012</v>
      </c>
      <c r="R1722" s="44" t="str">
        <f>VLOOKUP(F1722,'Set up'!$A$2:$E$70,5,FALSE)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417"/>
        <v>5</v>
      </c>
      <c r="C1723" s="5">
        <f t="shared" si="418"/>
        <v>2023</v>
      </c>
      <c r="D1723" s="5" t="s">
        <v>1561</v>
      </c>
      <c r="E1723" s="5" t="str">
        <f>VLOOKUP(F1723,'Set up'!$A$2:$C$70,2,FALSE)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up'!$A$2:$C$70,3,FALSE)</f>
        <v>Cash</v>
      </c>
      <c r="J1723" s="5">
        <f>VLOOKUP(F1723,'Set up'!$A$2:$D$70,4,FALSE)</f>
        <v>0</v>
      </c>
      <c r="K1723" s="4">
        <f t="shared" si="419"/>
        <v>45076</v>
      </c>
      <c r="L1723" s="5">
        <f t="shared" si="420"/>
        <v>5</v>
      </c>
      <c r="M1723" s="5">
        <f t="shared" si="421"/>
        <v>2023</v>
      </c>
      <c r="N1723" s="6">
        <v>160</v>
      </c>
      <c r="O1723" s="6">
        <f>-N1723</f>
        <v>-160</v>
      </c>
      <c r="P1723" s="6">
        <f t="shared" si="430"/>
        <v>0</v>
      </c>
      <c r="Q1723" s="7">
        <f t="shared" si="431"/>
        <v>3148194.0500000012</v>
      </c>
      <c r="R1723" s="44" t="str">
        <f>VLOOKUP(F1723,'Set up'!$A$2:$E$70,5,FALSE)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417"/>
        <v>5</v>
      </c>
      <c r="C1724" s="5">
        <f t="shared" si="418"/>
        <v>2023</v>
      </c>
      <c r="D1724" s="5" t="s">
        <v>1562</v>
      </c>
      <c r="E1724" s="5" t="str">
        <f>VLOOKUP(F1724,'Set up'!$A$2:$C$70,2,FALSE)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up'!$A$2:$C$70,3,FALSE)</f>
        <v>Cash</v>
      </c>
      <c r="J1724" s="5">
        <f>VLOOKUP(F1724,'Set up'!$A$2:$D$70,4,FALSE)</f>
        <v>0</v>
      </c>
      <c r="K1724" s="4">
        <f t="shared" si="419"/>
        <v>45076</v>
      </c>
      <c r="L1724" s="5">
        <f t="shared" si="420"/>
        <v>5</v>
      </c>
      <c r="M1724" s="5">
        <f t="shared" si="421"/>
        <v>2023</v>
      </c>
      <c r="N1724" s="6">
        <v>1870</v>
      </c>
      <c r="O1724" s="6">
        <f t="shared" ref="O1724:O1728" si="435">-N1724</f>
        <v>-1870</v>
      </c>
      <c r="P1724" s="6">
        <f t="shared" si="430"/>
        <v>0</v>
      </c>
      <c r="Q1724" s="7">
        <f t="shared" si="431"/>
        <v>3150064.0500000012</v>
      </c>
      <c r="R1724" s="44" t="str">
        <f>VLOOKUP(F1724,'Set up'!$A$2:$E$70,5,FALSE)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417"/>
        <v>5</v>
      </c>
      <c r="C1725" s="5">
        <f t="shared" si="418"/>
        <v>2023</v>
      </c>
      <c r="D1725" s="5" t="s">
        <v>1562</v>
      </c>
      <c r="E1725" s="5" t="str">
        <f>VLOOKUP(F1725,'Set up'!$A$2:$C$70,2,FALSE)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up'!$A$2:$C$70,3,FALSE)</f>
        <v>Cash</v>
      </c>
      <c r="J1725" s="5">
        <f>VLOOKUP(F1725,'Set up'!$A$2:$D$70,4,FALSE)</f>
        <v>0</v>
      </c>
      <c r="K1725" s="4">
        <f t="shared" si="419"/>
        <v>45076</v>
      </c>
      <c r="L1725" s="5">
        <f t="shared" si="420"/>
        <v>5</v>
      </c>
      <c r="M1725" s="5">
        <f t="shared" si="421"/>
        <v>2023</v>
      </c>
      <c r="N1725" s="6">
        <v>325</v>
      </c>
      <c r="O1725" s="6">
        <f t="shared" si="435"/>
        <v>-325</v>
      </c>
      <c r="P1725" s="6">
        <f t="shared" si="430"/>
        <v>0</v>
      </c>
      <c r="Q1725" s="7">
        <f t="shared" si="431"/>
        <v>3150389.0500000012</v>
      </c>
      <c r="R1725" s="44" t="str">
        <f>VLOOKUP(F1725,'Set up'!$A$2:$E$70,5,FALSE)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417"/>
        <v>5</v>
      </c>
      <c r="C1726" s="5">
        <f t="shared" si="418"/>
        <v>2023</v>
      </c>
      <c r="D1726" s="5" t="s">
        <v>1565</v>
      </c>
      <c r="E1726" s="5" t="str">
        <f>VLOOKUP(F1726,'Set up'!$A$2:$C$70,2,FALSE)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up'!$A$2:$C$70,3,FALSE)</f>
        <v>Cash</v>
      </c>
      <c r="J1726" s="5">
        <f>VLOOKUP(F1726,'Set up'!$A$2:$D$70,4,FALSE)</f>
        <v>0</v>
      </c>
      <c r="K1726" s="4">
        <f t="shared" si="419"/>
        <v>45077</v>
      </c>
      <c r="L1726" s="5">
        <f t="shared" si="420"/>
        <v>5</v>
      </c>
      <c r="M1726" s="5">
        <f t="shared" si="421"/>
        <v>2023</v>
      </c>
      <c r="N1726" s="6">
        <v>3608</v>
      </c>
      <c r="O1726" s="6">
        <f t="shared" si="435"/>
        <v>-3608</v>
      </c>
      <c r="P1726" s="6">
        <f t="shared" si="430"/>
        <v>0</v>
      </c>
      <c r="Q1726" s="7">
        <f t="shared" si="431"/>
        <v>3153997.0500000012</v>
      </c>
      <c r="R1726" s="44" t="str">
        <f>VLOOKUP(F1726,'Set up'!$A$2:$E$70,5,FALSE)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417"/>
        <v>5</v>
      </c>
      <c r="C1727" s="5">
        <f t="shared" si="418"/>
        <v>2023</v>
      </c>
      <c r="D1727" s="5" t="s">
        <v>1565</v>
      </c>
      <c r="E1727" s="5" t="str">
        <f>VLOOKUP(F1727,'Set up'!$A$2:$C$70,2,FALSE)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up'!$A$2:$C$70,3,FALSE)</f>
        <v>Cash</v>
      </c>
      <c r="J1727" s="5">
        <f>VLOOKUP(F1727,'Set up'!$A$2:$D$70,4,FALSE)</f>
        <v>0</v>
      </c>
      <c r="K1727" s="4">
        <f t="shared" si="419"/>
        <v>45077</v>
      </c>
      <c r="L1727" s="5">
        <f t="shared" si="420"/>
        <v>5</v>
      </c>
      <c r="M1727" s="5">
        <f t="shared" si="421"/>
        <v>2023</v>
      </c>
      <c r="N1727" s="6">
        <v>456</v>
      </c>
      <c r="O1727" s="6">
        <f t="shared" si="435"/>
        <v>-456</v>
      </c>
      <c r="P1727" s="6">
        <f t="shared" si="430"/>
        <v>0</v>
      </c>
      <c r="Q1727" s="7">
        <f t="shared" si="431"/>
        <v>3154453.0500000012</v>
      </c>
      <c r="R1727" s="44" t="str">
        <f>VLOOKUP(F1727,'Set up'!$A$2:$E$70,5,FALSE)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417"/>
        <v>5</v>
      </c>
      <c r="C1728" s="5">
        <f t="shared" si="418"/>
        <v>2023</v>
      </c>
      <c r="D1728" s="5" t="s">
        <v>1565</v>
      </c>
      <c r="E1728" s="5" t="str">
        <f>VLOOKUP(F1728,'Set up'!$A$2:$C$70,2,FALSE)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up'!$A$2:$C$70,3,FALSE)</f>
        <v>Cash</v>
      </c>
      <c r="J1728" s="5">
        <f>VLOOKUP(F1728,'Set up'!$A$2:$D$70,4,FALSE)</f>
        <v>0</v>
      </c>
      <c r="K1728" s="4">
        <f t="shared" si="419"/>
        <v>45077</v>
      </c>
      <c r="L1728" s="5">
        <f t="shared" si="420"/>
        <v>5</v>
      </c>
      <c r="M1728" s="5">
        <f t="shared" si="421"/>
        <v>2023</v>
      </c>
      <c r="N1728" s="6">
        <v>504</v>
      </c>
      <c r="O1728" s="6">
        <f t="shared" si="435"/>
        <v>-504</v>
      </c>
      <c r="P1728" s="6">
        <f t="shared" si="430"/>
        <v>0</v>
      </c>
      <c r="Q1728" s="7">
        <f t="shared" si="431"/>
        <v>3154957.0500000012</v>
      </c>
      <c r="R1728" s="44" t="str">
        <f>VLOOKUP(F1728,'Set up'!$A$2:$E$70,5,FALSE)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417"/>
        <v>6</v>
      </c>
      <c r="C1729" s="5">
        <f t="shared" si="418"/>
        <v>2023</v>
      </c>
      <c r="D1729" s="5" t="s">
        <v>1606</v>
      </c>
      <c r="E1729" s="5" t="str">
        <f>VLOOKUP(F1729,'Set up'!$A$2:$C$70,2,FALSE)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up'!$A$2:$C$70,3,FALSE)</f>
        <v>Cash</v>
      </c>
      <c r="J1729" s="5">
        <f>VLOOKUP(F1729,'Set up'!$A$2:$D$70,4,FALSE)</f>
        <v>0</v>
      </c>
      <c r="K1729" s="4">
        <f t="shared" si="419"/>
        <v>45078</v>
      </c>
      <c r="L1729" s="5">
        <f t="shared" si="420"/>
        <v>6</v>
      </c>
      <c r="M1729" s="5">
        <f t="shared" si="421"/>
        <v>2023</v>
      </c>
      <c r="N1729" s="96">
        <v>350</v>
      </c>
      <c r="O1729" s="6">
        <f t="shared" ref="O1729" si="436">-N1729</f>
        <v>-350</v>
      </c>
      <c r="P1729" s="6">
        <f t="shared" si="430"/>
        <v>0</v>
      </c>
      <c r="Q1729" s="7">
        <f t="shared" ref="Q1729:Q1731" si="437">SUM(Q1728+N1729)</f>
        <v>3155307.0500000012</v>
      </c>
      <c r="R1729" s="44" t="str">
        <f>VLOOKUP(F1729,'Set up'!$A$2:$E$70,5,FALSE)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417"/>
        <v>6</v>
      </c>
      <c r="C1730" s="5">
        <f t="shared" si="418"/>
        <v>2023</v>
      </c>
      <c r="D1730" s="5" t="s">
        <v>1609</v>
      </c>
      <c r="E1730" s="5" t="str">
        <f>VLOOKUP(F1730,'Set up'!$A$2:$C$70,2,FALSE)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up'!$A$2:$C$70,3,FALSE)</f>
        <v>Cash</v>
      </c>
      <c r="J1730" s="5">
        <f>VLOOKUP(F1730,'Set up'!$A$2:$D$70,4,FALSE)</f>
        <v>0</v>
      </c>
      <c r="K1730" s="4">
        <f t="shared" si="419"/>
        <v>45080</v>
      </c>
      <c r="L1730" s="5">
        <f t="shared" si="420"/>
        <v>6</v>
      </c>
      <c r="M1730" s="5">
        <f t="shared" si="421"/>
        <v>2023</v>
      </c>
      <c r="N1730" s="6">
        <v>3740</v>
      </c>
      <c r="O1730" s="6">
        <f t="shared" ref="O1730:O1731" si="438">-N1730</f>
        <v>-3740</v>
      </c>
      <c r="P1730" s="6">
        <f t="shared" si="430"/>
        <v>0</v>
      </c>
      <c r="Q1730" s="7">
        <f t="shared" si="437"/>
        <v>3159047.0500000012</v>
      </c>
      <c r="R1730" s="44" t="str">
        <f>VLOOKUP(F1730,'Set up'!$A$2:$E$70,5,FALSE)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ref="B1731:B1794" si="439">MONTH(A1731)</f>
        <v>6</v>
      </c>
      <c r="C1731" s="5">
        <f t="shared" ref="C1731:C1794" si="440">YEAR(A1731)</f>
        <v>2023</v>
      </c>
      <c r="D1731" s="5" t="s">
        <v>1609</v>
      </c>
      <c r="E1731" s="5" t="str">
        <f>VLOOKUP(F1731,'Set up'!$A$2:$C$70,2,FALSE)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up'!$A$2:$C$70,3,FALSE)</f>
        <v>Cash</v>
      </c>
      <c r="J1731" s="5">
        <f>VLOOKUP(F1731,'Set up'!$A$2:$D$70,4,FALSE)</f>
        <v>0</v>
      </c>
      <c r="K1731" s="4">
        <f t="shared" ref="K1731:K1794" si="441">A1731+J1731</f>
        <v>45080</v>
      </c>
      <c r="L1731" s="5">
        <f t="shared" ref="L1731:L1794" si="442">MONTH(K1731)</f>
        <v>6</v>
      </c>
      <c r="M1731" s="5">
        <f t="shared" ref="M1731:M1794" si="443">YEAR(K1731)</f>
        <v>2023</v>
      </c>
      <c r="N1731" s="6">
        <v>1005</v>
      </c>
      <c r="O1731" s="6">
        <f t="shared" si="438"/>
        <v>-1005</v>
      </c>
      <c r="P1731" s="6">
        <f t="shared" si="430"/>
        <v>0</v>
      </c>
      <c r="Q1731" s="7">
        <f t="shared" si="437"/>
        <v>3160052.0500000012</v>
      </c>
      <c r="R1731" s="44" t="str">
        <f>VLOOKUP(F1731,'Set up'!$A$2:$E$70,5,FALSE)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439"/>
        <v>6</v>
      </c>
      <c r="C1732" s="5">
        <f t="shared" si="440"/>
        <v>2023</v>
      </c>
      <c r="D1732" s="5" t="s">
        <v>1610</v>
      </c>
      <c r="E1732" s="5" t="str">
        <f>VLOOKUP(F1732,'Set up'!$A$2:$C$70,2,FALSE)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up'!$A$2:$C$70,3,FALSE)</f>
        <v>Cash</v>
      </c>
      <c r="J1732" s="5">
        <f>VLOOKUP(F1732,'Set up'!$A$2:$D$70,4,FALSE)</f>
        <v>0</v>
      </c>
      <c r="K1732" s="4">
        <f t="shared" si="441"/>
        <v>45080</v>
      </c>
      <c r="L1732" s="5">
        <f t="shared" si="442"/>
        <v>6</v>
      </c>
      <c r="M1732" s="5">
        <f t="shared" si="443"/>
        <v>2023</v>
      </c>
      <c r="N1732" s="6">
        <v>3652</v>
      </c>
      <c r="O1732" s="6">
        <f>-922.8-500-1350-879.2</f>
        <v>-3652</v>
      </c>
      <c r="P1732" s="6">
        <f t="shared" ref="P1732:P1751" si="444">SUM(N1732+O1732)</f>
        <v>0</v>
      </c>
      <c r="Q1732" s="7">
        <f t="shared" ref="Q1732:Q1751" si="445">SUM(Q1731+N1732)</f>
        <v>3163704.0500000012</v>
      </c>
      <c r="R1732" s="44" t="str">
        <f>VLOOKUP(F1732,'Set up'!$A$2:$E$70,5,FALSE)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439"/>
        <v>6</v>
      </c>
      <c r="C1733" s="5">
        <f t="shared" si="440"/>
        <v>2023</v>
      </c>
      <c r="D1733" s="5" t="s">
        <v>1610</v>
      </c>
      <c r="E1733" s="5" t="str">
        <f>VLOOKUP(F1733,'Set up'!$A$2:$C$70,2,FALSE)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up'!$A$2:$C$70,3,FALSE)</f>
        <v>Cash</v>
      </c>
      <c r="J1733" s="5">
        <f>VLOOKUP(F1733,'Set up'!$A$2:$D$70,4,FALSE)</f>
        <v>0</v>
      </c>
      <c r="K1733" s="4">
        <f t="shared" si="441"/>
        <v>45080</v>
      </c>
      <c r="L1733" s="5">
        <f t="shared" si="442"/>
        <v>6</v>
      </c>
      <c r="M1733" s="5">
        <f t="shared" si="443"/>
        <v>2023</v>
      </c>
      <c r="N1733" s="6">
        <v>1045.2</v>
      </c>
      <c r="O1733" s="6">
        <f t="shared" ref="O1733" si="446">-N1733</f>
        <v>-1045.2</v>
      </c>
      <c r="P1733" s="6">
        <f t="shared" si="444"/>
        <v>0</v>
      </c>
      <c r="Q1733" s="7">
        <f t="shared" si="445"/>
        <v>3164749.2500000014</v>
      </c>
      <c r="R1733" s="44" t="str">
        <f>VLOOKUP(F1733,'Set up'!$A$2:$E$70,5,FALSE)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439"/>
        <v>6</v>
      </c>
      <c r="C1734" s="5">
        <f t="shared" si="440"/>
        <v>2023</v>
      </c>
      <c r="D1734" s="5" t="s">
        <v>1610</v>
      </c>
      <c r="E1734" s="5" t="str">
        <f>VLOOKUP(F1734,'Set up'!$A$2:$C$70,2,FALSE)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up'!$A$2:$C$70,3,FALSE)</f>
        <v>Cash</v>
      </c>
      <c r="J1734" s="5">
        <f>VLOOKUP(F1734,'Set up'!$A$2:$D$70,4,FALSE)</f>
        <v>0</v>
      </c>
      <c r="K1734" s="4">
        <f t="shared" si="441"/>
        <v>45080</v>
      </c>
      <c r="L1734" s="5">
        <f t="shared" si="442"/>
        <v>6</v>
      </c>
      <c r="M1734" s="5">
        <f t="shared" si="443"/>
        <v>2023</v>
      </c>
      <c r="N1734" s="6">
        <v>187.5</v>
      </c>
      <c r="O1734" s="6">
        <f>-75.6-111.9</f>
        <v>-187.5</v>
      </c>
      <c r="P1734" s="6">
        <f t="shared" si="444"/>
        <v>0</v>
      </c>
      <c r="Q1734" s="7">
        <f t="shared" si="445"/>
        <v>3164936.7500000014</v>
      </c>
      <c r="R1734" s="44" t="str">
        <f>VLOOKUP(F1734,'Set up'!$A$2:$E$70,5,FALSE)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439"/>
        <v>6</v>
      </c>
      <c r="C1735" s="5">
        <f t="shared" si="440"/>
        <v>2023</v>
      </c>
      <c r="D1735" s="5" t="s">
        <v>1610</v>
      </c>
      <c r="E1735" s="5" t="str">
        <f>VLOOKUP(F1735,'Set up'!$A$2:$C$70,2,FALSE)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up'!$A$2:$C$70,3,FALSE)</f>
        <v>Cash</v>
      </c>
      <c r="J1735" s="5">
        <f>VLOOKUP(F1735,'Set up'!$A$2:$D$70,4,FALSE)</f>
        <v>0</v>
      </c>
      <c r="K1735" s="4">
        <f t="shared" si="441"/>
        <v>45080</v>
      </c>
      <c r="L1735" s="5">
        <f t="shared" si="442"/>
        <v>6</v>
      </c>
      <c r="M1735" s="5">
        <f t="shared" si="443"/>
        <v>2023</v>
      </c>
      <c r="N1735" s="6">
        <v>780</v>
      </c>
      <c r="O1735" s="6">
        <f t="shared" ref="O1735:O1736" si="447">-N1735</f>
        <v>-780</v>
      </c>
      <c r="P1735" s="6">
        <f t="shared" si="444"/>
        <v>0</v>
      </c>
      <c r="Q1735" s="7">
        <f t="shared" si="445"/>
        <v>3165716.7500000014</v>
      </c>
      <c r="R1735" s="44" t="str">
        <f>VLOOKUP(F1735,'Set up'!$A$2:$E$70,5,FALSE)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439"/>
        <v>6</v>
      </c>
      <c r="C1736" s="5">
        <f t="shared" si="440"/>
        <v>2023</v>
      </c>
      <c r="D1736" s="5" t="s">
        <v>1610</v>
      </c>
      <c r="E1736" s="5" t="str">
        <f>VLOOKUP(F1736,'Set up'!$A$2:$C$70,2,FALSE)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up'!$A$2:$C$70,3,FALSE)</f>
        <v>Cash</v>
      </c>
      <c r="J1736" s="5">
        <f>VLOOKUP(F1736,'Set up'!$A$2:$D$70,4,FALSE)</f>
        <v>0</v>
      </c>
      <c r="K1736" s="4">
        <f t="shared" si="441"/>
        <v>45080</v>
      </c>
      <c r="L1736" s="5">
        <f t="shared" si="442"/>
        <v>6</v>
      </c>
      <c r="M1736" s="5">
        <f t="shared" si="443"/>
        <v>2023</v>
      </c>
      <c r="N1736" s="6">
        <v>210</v>
      </c>
      <c r="O1736" s="6">
        <f t="shared" si="447"/>
        <v>-210</v>
      </c>
      <c r="P1736" s="6">
        <f t="shared" si="444"/>
        <v>0</v>
      </c>
      <c r="Q1736" s="7">
        <f t="shared" si="445"/>
        <v>3165926.7500000014</v>
      </c>
      <c r="R1736" s="44" t="str">
        <f>VLOOKUP(F1736,'Set up'!$A$2:$E$70,5,FALSE)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439"/>
        <v>6</v>
      </c>
      <c r="C1737" s="5">
        <f t="shared" si="440"/>
        <v>2023</v>
      </c>
      <c r="D1737" s="5" t="s">
        <v>1613</v>
      </c>
      <c r="E1737" s="5" t="str">
        <f>VLOOKUP(F1737,'Set up'!$A$2:$C$70,2,FALSE)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up'!$A$2:$C$70,3,FALSE)</f>
        <v>Cash</v>
      </c>
      <c r="J1737" s="5">
        <f>VLOOKUP(F1737,'Set up'!$A$2:$D$70,4,FALSE)</f>
        <v>0</v>
      </c>
      <c r="K1737" s="4">
        <f t="shared" si="441"/>
        <v>45084</v>
      </c>
      <c r="L1737" s="5">
        <f t="shared" si="442"/>
        <v>6</v>
      </c>
      <c r="M1737" s="5">
        <f t="shared" si="443"/>
        <v>2023</v>
      </c>
      <c r="N1737" s="6">
        <v>1804</v>
      </c>
      <c r="O1737" s="6">
        <f t="shared" ref="O1737:O1742" si="448">-N1737</f>
        <v>-1804</v>
      </c>
      <c r="P1737" s="6">
        <f t="shared" si="444"/>
        <v>0</v>
      </c>
      <c r="Q1737" s="7">
        <f t="shared" si="445"/>
        <v>3167730.7500000014</v>
      </c>
      <c r="R1737" s="44" t="str">
        <f>VLOOKUP(F1737,'Set up'!$A$2:$E$70,5,FALSE)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439"/>
        <v>6</v>
      </c>
      <c r="C1738" s="5">
        <f t="shared" si="440"/>
        <v>2023</v>
      </c>
      <c r="D1738" s="5" t="s">
        <v>1613</v>
      </c>
      <c r="E1738" s="5" t="str">
        <f>VLOOKUP(F1738,'Set up'!$A$2:$C$70,2,FALSE)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up'!$A$2:$C$70,3,FALSE)</f>
        <v>Cash</v>
      </c>
      <c r="J1738" s="5">
        <f>VLOOKUP(F1738,'Set up'!$A$2:$D$70,4,FALSE)</f>
        <v>0</v>
      </c>
      <c r="K1738" s="4">
        <f t="shared" si="441"/>
        <v>45084</v>
      </c>
      <c r="L1738" s="5">
        <f t="shared" si="442"/>
        <v>6</v>
      </c>
      <c r="M1738" s="5">
        <f t="shared" si="443"/>
        <v>2023</v>
      </c>
      <c r="N1738" s="6">
        <v>360</v>
      </c>
      <c r="O1738" s="6">
        <f t="shared" si="448"/>
        <v>-360</v>
      </c>
      <c r="P1738" s="6">
        <f t="shared" si="444"/>
        <v>0</v>
      </c>
      <c r="Q1738" s="7">
        <f t="shared" si="445"/>
        <v>3168090.7500000014</v>
      </c>
      <c r="R1738" s="44" t="str">
        <f>VLOOKUP(F1738,'Set up'!$A$2:$E$70,5,FALSE)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439"/>
        <v>6</v>
      </c>
      <c r="C1739" s="5">
        <f t="shared" si="440"/>
        <v>2023</v>
      </c>
      <c r="D1739" s="5" t="s">
        <v>1613</v>
      </c>
      <c r="E1739" s="5" t="str">
        <f>VLOOKUP(F1739,'Set up'!$A$2:$C$70,2,FALSE)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up'!$A$2:$C$70,3,FALSE)</f>
        <v>Cash</v>
      </c>
      <c r="J1739" s="5">
        <f>VLOOKUP(F1739,'Set up'!$A$2:$D$70,4,FALSE)</f>
        <v>0</v>
      </c>
      <c r="K1739" s="4">
        <f t="shared" si="441"/>
        <v>45084</v>
      </c>
      <c r="L1739" s="5">
        <f t="shared" si="442"/>
        <v>6</v>
      </c>
      <c r="M1739" s="5">
        <f t="shared" si="443"/>
        <v>2023</v>
      </c>
      <c r="N1739" s="6">
        <v>1140</v>
      </c>
      <c r="O1739" s="6">
        <f t="shared" si="448"/>
        <v>-1140</v>
      </c>
      <c r="P1739" s="6">
        <f t="shared" si="444"/>
        <v>0</v>
      </c>
      <c r="Q1739" s="7">
        <f t="shared" si="445"/>
        <v>3169230.7500000014</v>
      </c>
      <c r="R1739" s="44" t="str">
        <f>VLOOKUP(F1739,'Set up'!$A$2:$E$70,5,FALSE)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439"/>
        <v>6</v>
      </c>
      <c r="C1740" s="5">
        <f t="shared" si="440"/>
        <v>2023</v>
      </c>
      <c r="D1740" s="5" t="s">
        <v>1613</v>
      </c>
      <c r="E1740" s="5" t="str">
        <f>VLOOKUP(F1740,'Set up'!$A$2:$C$70,2,FALSE)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up'!$A$2:$C$70,3,FALSE)</f>
        <v>Cash</v>
      </c>
      <c r="J1740" s="5">
        <f>VLOOKUP(F1740,'Set up'!$A$2:$D$70,4,FALSE)</f>
        <v>0</v>
      </c>
      <c r="K1740" s="4">
        <f t="shared" si="441"/>
        <v>45084</v>
      </c>
      <c r="L1740" s="5">
        <f t="shared" si="442"/>
        <v>6</v>
      </c>
      <c r="M1740" s="5">
        <f t="shared" si="443"/>
        <v>2023</v>
      </c>
      <c r="N1740" s="6">
        <v>62.5</v>
      </c>
      <c r="O1740" s="6">
        <f t="shared" si="448"/>
        <v>-62.5</v>
      </c>
      <c r="P1740" s="6">
        <f t="shared" si="444"/>
        <v>0</v>
      </c>
      <c r="Q1740" s="7">
        <f t="shared" si="445"/>
        <v>3169293.2500000014</v>
      </c>
      <c r="R1740" s="44" t="str">
        <f>VLOOKUP(F1740,'Set up'!$A$2:$E$70,5,FALSE)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439"/>
        <v>6</v>
      </c>
      <c r="C1741" s="5">
        <f t="shared" si="440"/>
        <v>2023</v>
      </c>
      <c r="D1741" s="5" t="s">
        <v>1613</v>
      </c>
      <c r="E1741" s="5" t="str">
        <f>VLOOKUP(F1741,'Set up'!$A$2:$C$70,2,FALSE)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up'!$A$2:$C$70,3,FALSE)</f>
        <v>Cash</v>
      </c>
      <c r="J1741" s="5">
        <f>VLOOKUP(F1741,'Set up'!$A$2:$D$70,4,FALSE)</f>
        <v>0</v>
      </c>
      <c r="K1741" s="4">
        <f t="shared" si="441"/>
        <v>45084</v>
      </c>
      <c r="L1741" s="5">
        <f t="shared" si="442"/>
        <v>6</v>
      </c>
      <c r="M1741" s="5">
        <f t="shared" si="443"/>
        <v>2023</v>
      </c>
      <c r="N1741" s="6">
        <v>80</v>
      </c>
      <c r="O1741" s="6">
        <f t="shared" si="448"/>
        <v>-80</v>
      </c>
      <c r="P1741" s="6">
        <f t="shared" si="444"/>
        <v>0</v>
      </c>
      <c r="Q1741" s="7">
        <f t="shared" si="445"/>
        <v>3169373.2500000014</v>
      </c>
      <c r="R1741" s="44" t="str">
        <f>VLOOKUP(F1741,'Set up'!$A$2:$E$70,5,FALSE)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439"/>
        <v>6</v>
      </c>
      <c r="C1742" s="5">
        <f t="shared" si="440"/>
        <v>2023</v>
      </c>
      <c r="D1742" s="5" t="s">
        <v>1613</v>
      </c>
      <c r="E1742" s="5" t="str">
        <f>VLOOKUP(F1742,'Set up'!$A$2:$C$70,2,FALSE)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up'!$A$2:$C$70,3,FALSE)</f>
        <v>Cash</v>
      </c>
      <c r="J1742" s="5">
        <f>VLOOKUP(F1742,'Set up'!$A$2:$D$70,4,FALSE)</f>
        <v>0</v>
      </c>
      <c r="K1742" s="4">
        <f t="shared" si="441"/>
        <v>45084</v>
      </c>
      <c r="L1742" s="5">
        <f t="shared" si="442"/>
        <v>6</v>
      </c>
      <c r="M1742" s="5">
        <f t="shared" si="443"/>
        <v>2023</v>
      </c>
      <c r="N1742" s="6">
        <v>380</v>
      </c>
      <c r="O1742" s="6">
        <f t="shared" si="448"/>
        <v>-380</v>
      </c>
      <c r="P1742" s="6">
        <f t="shared" si="444"/>
        <v>0</v>
      </c>
      <c r="Q1742" s="7">
        <f t="shared" si="445"/>
        <v>3169753.2500000014</v>
      </c>
      <c r="R1742" s="44" t="str">
        <f>VLOOKUP(F1742,'Set up'!$A$2:$E$70,5,FALSE)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439"/>
        <v>6</v>
      </c>
      <c r="C1743" s="5">
        <f t="shared" si="440"/>
        <v>2023</v>
      </c>
      <c r="D1743" s="88" t="s">
        <v>1616</v>
      </c>
      <c r="E1743" s="5" t="str">
        <f>VLOOKUP(F1743,'Set up'!$A$2:$C$70,2,FALSE)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up'!$A$2:$C$70,3,FALSE)</f>
        <v>120</v>
      </c>
      <c r="J1743" s="5">
        <f>VLOOKUP(F1743,'Set up'!$A$2:$D$70,4,FALSE)</f>
        <v>120</v>
      </c>
      <c r="K1743" s="4">
        <f t="shared" si="441"/>
        <v>45203</v>
      </c>
      <c r="L1743" s="5">
        <f t="shared" si="442"/>
        <v>10</v>
      </c>
      <c r="M1743" s="5">
        <f t="shared" si="443"/>
        <v>2023</v>
      </c>
      <c r="N1743" s="6">
        <v>10032</v>
      </c>
      <c r="O1743" s="6">
        <f>-N1743</f>
        <v>-10032</v>
      </c>
      <c r="P1743" s="6">
        <f t="shared" si="444"/>
        <v>0</v>
      </c>
      <c r="Q1743" s="7">
        <f t="shared" si="445"/>
        <v>3179785.2500000014</v>
      </c>
      <c r="R1743" s="44" t="str">
        <f>VLOOKUP(F1743,'Set up'!$A$2:$E$70,5,FALSE)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439"/>
        <v>6</v>
      </c>
      <c r="C1744" s="5">
        <f t="shared" si="440"/>
        <v>2023</v>
      </c>
      <c r="D1744" s="88" t="s">
        <v>1616</v>
      </c>
      <c r="E1744" s="5" t="str">
        <f>VLOOKUP(F1744,'Set up'!$A$2:$C$70,2,FALSE)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up'!$A$2:$C$70,3,FALSE)</f>
        <v>120</v>
      </c>
      <c r="J1744" s="5">
        <f>VLOOKUP(F1744,'Set up'!$A$2:$D$70,4,FALSE)</f>
        <v>120</v>
      </c>
      <c r="K1744" s="4">
        <f t="shared" si="441"/>
        <v>45203</v>
      </c>
      <c r="L1744" s="5">
        <f t="shared" si="442"/>
        <v>10</v>
      </c>
      <c r="M1744" s="5">
        <f t="shared" si="443"/>
        <v>2023</v>
      </c>
      <c r="N1744" s="6">
        <v>2010</v>
      </c>
      <c r="O1744" s="6">
        <f>-N1744</f>
        <v>-2010</v>
      </c>
      <c r="P1744" s="6">
        <f t="shared" si="444"/>
        <v>0</v>
      </c>
      <c r="Q1744" s="7">
        <f t="shared" si="445"/>
        <v>3181795.2500000014</v>
      </c>
      <c r="R1744" s="44" t="str">
        <f>VLOOKUP(F1744,'Set up'!$A$2:$E$70,5,FALSE)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439"/>
        <v>6</v>
      </c>
      <c r="C1745" s="5">
        <f t="shared" si="440"/>
        <v>2023</v>
      </c>
      <c r="D1745" s="88" t="s">
        <v>1616</v>
      </c>
      <c r="E1745" s="5" t="str">
        <f>VLOOKUP(F1745,'Set up'!$A$2:$C$70,2,FALSE)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up'!$A$2:$C$70,3,FALSE)</f>
        <v>120</v>
      </c>
      <c r="J1745" s="5">
        <f>VLOOKUP(F1745,'Set up'!$A$2:$D$70,4,FALSE)</f>
        <v>120</v>
      </c>
      <c r="K1745" s="4">
        <f t="shared" si="441"/>
        <v>45203</v>
      </c>
      <c r="L1745" s="5">
        <f t="shared" si="442"/>
        <v>10</v>
      </c>
      <c r="M1745" s="5">
        <f t="shared" si="443"/>
        <v>2023</v>
      </c>
      <c r="N1745" s="6">
        <v>575</v>
      </c>
      <c r="O1745" s="6">
        <f>-N1745</f>
        <v>-575</v>
      </c>
      <c r="P1745" s="6">
        <f t="shared" si="444"/>
        <v>0</v>
      </c>
      <c r="Q1745" s="7">
        <f t="shared" si="445"/>
        <v>3182370.2500000014</v>
      </c>
      <c r="R1745" s="44" t="str">
        <f>VLOOKUP(F1745,'Set up'!$A$2:$E$70,5,FALSE)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439"/>
        <v>6</v>
      </c>
      <c r="C1746" s="5">
        <f t="shared" si="440"/>
        <v>2023</v>
      </c>
      <c r="D1746" s="88" t="s">
        <v>1616</v>
      </c>
      <c r="E1746" s="5" t="str">
        <f>VLOOKUP(F1746,'Set up'!$A$2:$C$70,2,FALSE)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up'!$A$2:$C$70,3,FALSE)</f>
        <v>120</v>
      </c>
      <c r="J1746" s="5">
        <f>VLOOKUP(F1746,'Set up'!$A$2:$D$70,4,FALSE)</f>
        <v>120</v>
      </c>
      <c r="K1746" s="4">
        <f t="shared" si="441"/>
        <v>45203</v>
      </c>
      <c r="L1746" s="5">
        <f t="shared" si="442"/>
        <v>10</v>
      </c>
      <c r="M1746" s="5">
        <f t="shared" si="443"/>
        <v>2023</v>
      </c>
      <c r="N1746" s="6">
        <v>420</v>
      </c>
      <c r="O1746" s="6">
        <f>-N1746</f>
        <v>-420</v>
      </c>
      <c r="P1746" s="6">
        <f t="shared" si="444"/>
        <v>0</v>
      </c>
      <c r="Q1746" s="7">
        <f t="shared" si="445"/>
        <v>3182790.2500000014</v>
      </c>
      <c r="R1746" s="44" t="str">
        <f>VLOOKUP(F1746,'Set up'!$A$2:$E$70,5,FALSE)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439"/>
        <v>6</v>
      </c>
      <c r="C1747" s="5">
        <f t="shared" si="440"/>
        <v>2023</v>
      </c>
      <c r="D1747" s="88" t="s">
        <v>1616</v>
      </c>
      <c r="E1747" s="5" t="str">
        <f>VLOOKUP(F1747,'Set up'!$A$2:$C$70,2,FALSE)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up'!$A$2:$C$70,3,FALSE)</f>
        <v>120</v>
      </c>
      <c r="J1747" s="5">
        <f>VLOOKUP(F1747,'Set up'!$A$2:$D$70,4,FALSE)</f>
        <v>120</v>
      </c>
      <c r="K1747" s="4">
        <f t="shared" si="441"/>
        <v>45203</v>
      </c>
      <c r="L1747" s="5">
        <f t="shared" si="442"/>
        <v>10</v>
      </c>
      <c r="M1747" s="5">
        <f t="shared" si="443"/>
        <v>2023</v>
      </c>
      <c r="N1747" s="6">
        <v>420</v>
      </c>
      <c r="O1747" s="6">
        <f>-N1747</f>
        <v>-420</v>
      </c>
      <c r="P1747" s="6">
        <f t="shared" si="444"/>
        <v>0</v>
      </c>
      <c r="Q1747" s="7">
        <f t="shared" si="445"/>
        <v>3183210.2500000014</v>
      </c>
      <c r="R1747" s="44" t="str">
        <f>VLOOKUP(F1747,'Set up'!$A$2:$E$70,5,FALSE)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439"/>
        <v>6</v>
      </c>
      <c r="C1748" s="5">
        <f t="shared" si="440"/>
        <v>2023</v>
      </c>
      <c r="D1748" s="105" t="s">
        <v>1617</v>
      </c>
      <c r="E1748" s="5" t="str">
        <f>VLOOKUP(F1748,'Set up'!$A$2:$C$70,2,FALSE)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up'!$A$2:$C$70,3,FALSE)</f>
        <v>Cash</v>
      </c>
      <c r="J1748" s="5">
        <f>VLOOKUP(F1748,'Set up'!$A$2:$D$70,4,FALSE)</f>
        <v>0</v>
      </c>
      <c r="K1748" s="4">
        <f t="shared" si="441"/>
        <v>45084</v>
      </c>
      <c r="L1748" s="5">
        <f t="shared" si="442"/>
        <v>6</v>
      </c>
      <c r="M1748" s="5">
        <f t="shared" si="443"/>
        <v>2023</v>
      </c>
      <c r="N1748" s="6">
        <v>3608</v>
      </c>
      <c r="O1748" s="6">
        <f t="shared" ref="O1748:O1755" si="449">-N1748</f>
        <v>-3608</v>
      </c>
      <c r="P1748" s="6">
        <f t="shared" si="444"/>
        <v>0</v>
      </c>
      <c r="Q1748" s="7">
        <f t="shared" si="445"/>
        <v>3186818.2500000014</v>
      </c>
      <c r="R1748" s="44" t="str">
        <f>VLOOKUP(F1748,'Set up'!$A$2:$E$70,5,FALSE)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439"/>
        <v>6</v>
      </c>
      <c r="C1749" s="5">
        <f t="shared" si="440"/>
        <v>2023</v>
      </c>
      <c r="D1749" s="105" t="s">
        <v>1617</v>
      </c>
      <c r="E1749" s="5" t="str">
        <f>VLOOKUP(F1749,'Set up'!$A$2:$C$70,2,FALSE)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up'!$A$2:$C$70,3,FALSE)</f>
        <v>Cash</v>
      </c>
      <c r="J1749" s="5">
        <f>VLOOKUP(F1749,'Set up'!$A$2:$D$70,4,FALSE)</f>
        <v>0</v>
      </c>
      <c r="K1749" s="4">
        <f t="shared" si="441"/>
        <v>45084</v>
      </c>
      <c r="L1749" s="5">
        <f t="shared" si="442"/>
        <v>6</v>
      </c>
      <c r="M1749" s="5">
        <f t="shared" si="443"/>
        <v>2023</v>
      </c>
      <c r="N1749" s="6">
        <v>948</v>
      </c>
      <c r="O1749" s="6">
        <f t="shared" si="449"/>
        <v>-948</v>
      </c>
      <c r="P1749" s="6">
        <f t="shared" si="444"/>
        <v>0</v>
      </c>
      <c r="Q1749" s="7">
        <f t="shared" si="445"/>
        <v>3187766.2500000014</v>
      </c>
      <c r="R1749" s="44" t="str">
        <f>VLOOKUP(F1749,'Set up'!$A$2:$E$70,5,FALSE)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439"/>
        <v>6</v>
      </c>
      <c r="C1750" s="5">
        <f t="shared" si="440"/>
        <v>2023</v>
      </c>
      <c r="D1750" s="105" t="s">
        <v>1617</v>
      </c>
      <c r="E1750" s="5" t="str">
        <f>VLOOKUP(F1750,'Set up'!$A$2:$C$70,2,FALSE)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up'!$A$2:$C$70,3,FALSE)</f>
        <v>Cash</v>
      </c>
      <c r="J1750" s="5">
        <f>VLOOKUP(F1750,'Set up'!$A$2:$D$70,4,FALSE)</f>
        <v>0</v>
      </c>
      <c r="K1750" s="4">
        <f t="shared" si="441"/>
        <v>45084</v>
      </c>
      <c r="L1750" s="5">
        <f t="shared" si="442"/>
        <v>6</v>
      </c>
      <c r="M1750" s="5">
        <f t="shared" si="443"/>
        <v>2023</v>
      </c>
      <c r="N1750" s="6">
        <v>516</v>
      </c>
      <c r="O1750" s="6">
        <f t="shared" si="449"/>
        <v>-516</v>
      </c>
      <c r="P1750" s="6">
        <f t="shared" si="444"/>
        <v>0</v>
      </c>
      <c r="Q1750" s="7">
        <f t="shared" si="445"/>
        <v>3188282.2500000014</v>
      </c>
      <c r="R1750" s="44" t="str">
        <f>VLOOKUP(F1750,'Set up'!$A$2:$E$70,5,FALSE)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si="439"/>
        <v>6</v>
      </c>
      <c r="C1751" s="5">
        <f t="shared" si="440"/>
        <v>2023</v>
      </c>
      <c r="D1751" s="105" t="s">
        <v>1617</v>
      </c>
      <c r="E1751" s="5" t="str">
        <f>VLOOKUP(F1751,'Set up'!$A$2:$C$70,2,FALSE)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up'!$A$2:$C$70,3,FALSE)</f>
        <v>Cash</v>
      </c>
      <c r="J1751" s="5">
        <f>VLOOKUP(F1751,'Set up'!$A$2:$D$70,4,FALSE)</f>
        <v>0</v>
      </c>
      <c r="K1751" s="4">
        <f t="shared" si="441"/>
        <v>45084</v>
      </c>
      <c r="L1751" s="5">
        <f t="shared" si="442"/>
        <v>6</v>
      </c>
      <c r="M1751" s="5">
        <f t="shared" si="443"/>
        <v>2023</v>
      </c>
      <c r="N1751" s="6">
        <v>320</v>
      </c>
      <c r="O1751" s="6">
        <f t="shared" si="449"/>
        <v>-320</v>
      </c>
      <c r="P1751" s="6">
        <f t="shared" si="444"/>
        <v>0</v>
      </c>
      <c r="Q1751" s="7">
        <f t="shared" si="445"/>
        <v>3188602.2500000014</v>
      </c>
      <c r="R1751" s="44" t="str">
        <f>VLOOKUP(F1751,'Set up'!$A$2:$E$70,5,FALSE)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si="439"/>
        <v>6</v>
      </c>
      <c r="C1752" s="5">
        <f t="shared" si="440"/>
        <v>2023</v>
      </c>
      <c r="D1752" s="105" t="s">
        <v>1618</v>
      </c>
      <c r="E1752" s="5" t="str">
        <f>VLOOKUP(F1752,'Set up'!$A$2:$C$70,2,FALSE)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up'!$A$2:$C$70,3,FALSE)</f>
        <v>Cash</v>
      </c>
      <c r="J1752" s="5">
        <f>VLOOKUP(F1752,'Set up'!$A$2:$D$70,4,FALSE)</f>
        <v>0</v>
      </c>
      <c r="K1752" s="4">
        <f t="shared" si="441"/>
        <v>45085</v>
      </c>
      <c r="L1752" s="5">
        <f t="shared" si="442"/>
        <v>6</v>
      </c>
      <c r="M1752" s="5">
        <f t="shared" si="443"/>
        <v>2023</v>
      </c>
      <c r="N1752" s="6">
        <v>1804</v>
      </c>
      <c r="O1752" s="6">
        <f t="shared" si="449"/>
        <v>-1804</v>
      </c>
      <c r="P1752" s="6">
        <f t="shared" ref="P1752:P1782" si="450">SUM(N1752+O1752)</f>
        <v>0</v>
      </c>
      <c r="Q1752" s="7">
        <f t="shared" ref="Q1752:Q1782" si="451">SUM(Q1751+N1752)</f>
        <v>3190406.2500000014</v>
      </c>
      <c r="R1752" s="44" t="str">
        <f>VLOOKUP(F1752,'Set up'!$A$2:$E$70,5,FALSE)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439"/>
        <v>6</v>
      </c>
      <c r="C1753" s="5">
        <f t="shared" si="440"/>
        <v>2023</v>
      </c>
      <c r="D1753" s="105" t="s">
        <v>1618</v>
      </c>
      <c r="E1753" s="5" t="str">
        <f>VLOOKUP(F1753,'Set up'!$A$2:$C$70,2,FALSE)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up'!$A$2:$C$70,3,FALSE)</f>
        <v>Cash</v>
      </c>
      <c r="J1753" s="5">
        <f>VLOOKUP(F1753,'Set up'!$A$2:$D$70,4,FALSE)</f>
        <v>0</v>
      </c>
      <c r="K1753" s="4">
        <f t="shared" si="441"/>
        <v>45085</v>
      </c>
      <c r="L1753" s="5">
        <f t="shared" si="442"/>
        <v>6</v>
      </c>
      <c r="M1753" s="5">
        <f t="shared" si="443"/>
        <v>2023</v>
      </c>
      <c r="N1753" s="6">
        <v>912</v>
      </c>
      <c r="O1753" s="6">
        <f t="shared" si="449"/>
        <v>-912</v>
      </c>
      <c r="P1753" s="6">
        <f t="shared" si="450"/>
        <v>0</v>
      </c>
      <c r="Q1753" s="7">
        <f t="shared" si="451"/>
        <v>3191318.2500000014</v>
      </c>
      <c r="R1753" s="44" t="str">
        <f>VLOOKUP(F1753,'Set up'!$A$2:$E$70,5,FALSE)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439"/>
        <v>6</v>
      </c>
      <c r="C1754" s="5">
        <f t="shared" si="440"/>
        <v>2023</v>
      </c>
      <c r="D1754" s="105" t="s">
        <v>1618</v>
      </c>
      <c r="E1754" s="5" t="str">
        <f>VLOOKUP(F1754,'Set up'!$A$2:$C$70,2,FALSE)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up'!$A$2:$C$70,3,FALSE)</f>
        <v>Cash</v>
      </c>
      <c r="J1754" s="5">
        <f>VLOOKUP(F1754,'Set up'!$A$2:$D$70,4,FALSE)</f>
        <v>0</v>
      </c>
      <c r="K1754" s="4">
        <f t="shared" si="441"/>
        <v>45085</v>
      </c>
      <c r="L1754" s="5">
        <f t="shared" si="442"/>
        <v>6</v>
      </c>
      <c r="M1754" s="5">
        <f t="shared" si="443"/>
        <v>2023</v>
      </c>
      <c r="N1754" s="6">
        <v>62.5</v>
      </c>
      <c r="O1754" s="6">
        <f t="shared" si="449"/>
        <v>-62.5</v>
      </c>
      <c r="P1754" s="6">
        <f t="shared" si="450"/>
        <v>0</v>
      </c>
      <c r="Q1754" s="7">
        <f t="shared" si="451"/>
        <v>3191380.7500000014</v>
      </c>
      <c r="R1754" s="44" t="str">
        <f>VLOOKUP(F1754,'Set up'!$A$2:$E$70,5,FALSE)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439"/>
        <v>6</v>
      </c>
      <c r="C1755" s="5">
        <f t="shared" si="440"/>
        <v>2023</v>
      </c>
      <c r="D1755" s="105" t="s">
        <v>1618</v>
      </c>
      <c r="E1755" s="5" t="str">
        <f>VLOOKUP(F1755,'Set up'!$A$2:$C$70,2,FALSE)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up'!$A$2:$C$70,3,FALSE)</f>
        <v>Cash</v>
      </c>
      <c r="J1755" s="5">
        <f>VLOOKUP(F1755,'Set up'!$A$2:$D$70,4,FALSE)</f>
        <v>0</v>
      </c>
      <c r="K1755" s="4">
        <f t="shared" si="441"/>
        <v>45085</v>
      </c>
      <c r="L1755" s="5">
        <f t="shared" si="442"/>
        <v>6</v>
      </c>
      <c r="M1755" s="5">
        <f t="shared" si="443"/>
        <v>2023</v>
      </c>
      <c r="N1755" s="6">
        <v>190</v>
      </c>
      <c r="O1755" s="6">
        <f t="shared" si="449"/>
        <v>-190</v>
      </c>
      <c r="P1755" s="6">
        <f t="shared" si="450"/>
        <v>0</v>
      </c>
      <c r="Q1755" s="7">
        <f t="shared" si="451"/>
        <v>3191570.7500000014</v>
      </c>
      <c r="R1755" s="44" t="str">
        <f>VLOOKUP(F1755,'Set up'!$A$2:$E$70,5,FALSE)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439"/>
        <v>6</v>
      </c>
      <c r="C1756" s="5">
        <f t="shared" si="440"/>
        <v>2023</v>
      </c>
      <c r="D1756" s="88" t="s">
        <v>1622</v>
      </c>
      <c r="E1756" s="5" t="str">
        <f>VLOOKUP(F1756,'Set up'!$A$2:$C$70,2,FALSE)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up'!$A$2:$C$70,3,FALSE)</f>
        <v>Cash</v>
      </c>
      <c r="J1756" s="5">
        <f>VLOOKUP(F1756,'Set up'!$A$2:$D$70,4,FALSE)</f>
        <v>0</v>
      </c>
      <c r="K1756" s="4">
        <f t="shared" si="441"/>
        <v>45086</v>
      </c>
      <c r="L1756" s="5">
        <f t="shared" si="442"/>
        <v>6</v>
      </c>
      <c r="M1756" s="5">
        <f t="shared" si="443"/>
        <v>2023</v>
      </c>
      <c r="N1756" s="6">
        <v>1870</v>
      </c>
      <c r="O1756" s="6">
        <f t="shared" ref="O1756:O1768" si="452">-N1756</f>
        <v>-1870</v>
      </c>
      <c r="P1756" s="6">
        <f t="shared" si="450"/>
        <v>0</v>
      </c>
      <c r="Q1756" s="7">
        <f t="shared" si="451"/>
        <v>3193440.7500000014</v>
      </c>
      <c r="R1756" s="44" t="str">
        <f>VLOOKUP(F1756,'Set up'!$A$2:$E$70,5,FALSE)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439"/>
        <v>6</v>
      </c>
      <c r="C1757" s="5">
        <f t="shared" si="440"/>
        <v>2023</v>
      </c>
      <c r="D1757" s="88" t="s">
        <v>1622</v>
      </c>
      <c r="E1757" s="5" t="str">
        <f>VLOOKUP(F1757,'Set up'!$A$2:$C$70,2,FALSE)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up'!$A$2:$C$70,3,FALSE)</f>
        <v>Cash</v>
      </c>
      <c r="J1757" s="5">
        <f>VLOOKUP(F1757,'Set up'!$A$2:$D$70,4,FALSE)</f>
        <v>0</v>
      </c>
      <c r="K1757" s="4">
        <f t="shared" si="441"/>
        <v>45086</v>
      </c>
      <c r="L1757" s="5">
        <f t="shared" si="442"/>
        <v>6</v>
      </c>
      <c r="M1757" s="5">
        <f t="shared" si="443"/>
        <v>2023</v>
      </c>
      <c r="N1757" s="6">
        <v>450</v>
      </c>
      <c r="O1757" s="6">
        <f t="shared" si="452"/>
        <v>-450</v>
      </c>
      <c r="P1757" s="6">
        <f t="shared" si="450"/>
        <v>0</v>
      </c>
      <c r="Q1757" s="7">
        <f t="shared" si="451"/>
        <v>3193890.7500000014</v>
      </c>
      <c r="R1757" s="44" t="str">
        <f>VLOOKUP(F1757,'Set up'!$A$2:$E$70,5,FALSE)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439"/>
        <v>6</v>
      </c>
      <c r="C1758" s="5">
        <f t="shared" si="440"/>
        <v>2023</v>
      </c>
      <c r="D1758" s="88" t="s">
        <v>1622</v>
      </c>
      <c r="E1758" s="5" t="str">
        <f>VLOOKUP(F1758,'Set up'!$A$2:$C$70,2,FALSE)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up'!$A$2:$C$70,3,FALSE)</f>
        <v>Cash</v>
      </c>
      <c r="J1758" s="5">
        <f>VLOOKUP(F1758,'Set up'!$A$2:$D$70,4,FALSE)</f>
        <v>0</v>
      </c>
      <c r="K1758" s="4">
        <f t="shared" si="441"/>
        <v>45086</v>
      </c>
      <c r="L1758" s="5">
        <f t="shared" si="442"/>
        <v>6</v>
      </c>
      <c r="M1758" s="5">
        <f t="shared" si="443"/>
        <v>2023</v>
      </c>
      <c r="N1758" s="6">
        <v>225</v>
      </c>
      <c r="O1758" s="6">
        <f t="shared" si="452"/>
        <v>-225</v>
      </c>
      <c r="P1758" s="6">
        <f t="shared" si="450"/>
        <v>0</v>
      </c>
      <c r="Q1758" s="7">
        <f t="shared" si="451"/>
        <v>3194115.7500000014</v>
      </c>
      <c r="R1758" s="44" t="str">
        <f>VLOOKUP(F1758,'Set up'!$A$2:$E$70,5,FALSE)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439"/>
        <v>6</v>
      </c>
      <c r="C1759" s="5">
        <f t="shared" si="440"/>
        <v>2023</v>
      </c>
      <c r="D1759" s="88" t="s">
        <v>1622</v>
      </c>
      <c r="E1759" s="5" t="str">
        <f>VLOOKUP(F1759,'Set up'!$A$2:$C$70,2,FALSE)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up'!$A$2:$C$70,3,FALSE)</f>
        <v>Cash</v>
      </c>
      <c r="J1759" s="5">
        <f>VLOOKUP(F1759,'Set up'!$A$2:$D$70,4,FALSE)</f>
        <v>0</v>
      </c>
      <c r="K1759" s="4">
        <f t="shared" si="441"/>
        <v>45086</v>
      </c>
      <c r="L1759" s="5">
        <f t="shared" si="442"/>
        <v>6</v>
      </c>
      <c r="M1759" s="5">
        <f t="shared" si="443"/>
        <v>2023</v>
      </c>
      <c r="N1759" s="6">
        <v>247.8</v>
      </c>
      <c r="O1759" s="91">
        <f>-247.8</f>
        <v>-247.8</v>
      </c>
      <c r="P1759" s="91">
        <f t="shared" si="450"/>
        <v>0</v>
      </c>
      <c r="Q1759" s="7">
        <f t="shared" si="451"/>
        <v>3194363.5500000012</v>
      </c>
      <c r="R1759" s="44" t="str">
        <f>VLOOKUP(F1759,'Set up'!$A$2:$E$70,5,FALSE)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439"/>
        <v>6</v>
      </c>
      <c r="C1760" s="5">
        <f t="shared" si="440"/>
        <v>2023</v>
      </c>
      <c r="D1760" s="88" t="s">
        <v>1623</v>
      </c>
      <c r="E1760" s="5" t="str">
        <f>VLOOKUP(F1760,'Set up'!$A$2:$C$70,2,FALSE)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up'!$A$2:$C$70,3,FALSE)</f>
        <v>Cash</v>
      </c>
      <c r="J1760" s="5">
        <f>VLOOKUP(F1760,'Set up'!$A$2:$D$70,4,FALSE)</f>
        <v>0</v>
      </c>
      <c r="K1760" s="4">
        <f t="shared" si="441"/>
        <v>45089</v>
      </c>
      <c r="L1760" s="5">
        <f t="shared" si="442"/>
        <v>6</v>
      </c>
      <c r="M1760" s="5">
        <f t="shared" si="443"/>
        <v>2023</v>
      </c>
      <c r="N1760" s="6">
        <v>1870</v>
      </c>
      <c r="O1760" s="6">
        <f t="shared" si="452"/>
        <v>-1870</v>
      </c>
      <c r="P1760" s="6">
        <f t="shared" si="450"/>
        <v>0</v>
      </c>
      <c r="Q1760" s="7">
        <f t="shared" si="451"/>
        <v>3196233.5500000012</v>
      </c>
      <c r="R1760" s="44" t="str">
        <f>VLOOKUP(F1760,'Set up'!$A$2:$E$70,5,FALSE)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439"/>
        <v>6</v>
      </c>
      <c r="C1761" s="5">
        <f t="shared" si="440"/>
        <v>2023</v>
      </c>
      <c r="D1761" s="88" t="s">
        <v>1623</v>
      </c>
      <c r="E1761" s="5" t="str">
        <f>VLOOKUP(F1761,'Set up'!$A$2:$C$70,2,FALSE)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up'!$A$2:$C$70,3,FALSE)</f>
        <v>Cash</v>
      </c>
      <c r="J1761" s="5">
        <f>VLOOKUP(F1761,'Set up'!$A$2:$D$70,4,FALSE)</f>
        <v>0</v>
      </c>
      <c r="K1761" s="4">
        <f t="shared" si="441"/>
        <v>45089</v>
      </c>
      <c r="L1761" s="5">
        <f t="shared" si="442"/>
        <v>6</v>
      </c>
      <c r="M1761" s="5">
        <f t="shared" si="443"/>
        <v>2023</v>
      </c>
      <c r="N1761" s="6">
        <v>450</v>
      </c>
      <c r="O1761" s="6">
        <f t="shared" si="452"/>
        <v>-450</v>
      </c>
      <c r="P1761" s="6">
        <f t="shared" si="450"/>
        <v>0</v>
      </c>
      <c r="Q1761" s="7">
        <f t="shared" si="451"/>
        <v>3196683.5500000012</v>
      </c>
      <c r="R1761" s="44" t="str">
        <f>VLOOKUP(F1761,'Set up'!$A$2:$E$70,5,FALSE)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439"/>
        <v>6</v>
      </c>
      <c r="C1762" s="5">
        <f t="shared" si="440"/>
        <v>2023</v>
      </c>
      <c r="D1762" s="88" t="s">
        <v>1623</v>
      </c>
      <c r="E1762" s="5" t="str">
        <f>VLOOKUP(F1762,'Set up'!$A$2:$C$70,2,FALSE)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up'!$A$2:$C$70,3,FALSE)</f>
        <v>Cash</v>
      </c>
      <c r="J1762" s="5">
        <f>VLOOKUP(F1762,'Set up'!$A$2:$D$70,4,FALSE)</f>
        <v>0</v>
      </c>
      <c r="K1762" s="4">
        <f t="shared" si="441"/>
        <v>45089</v>
      </c>
      <c r="L1762" s="5">
        <f t="shared" si="442"/>
        <v>6</v>
      </c>
      <c r="M1762" s="5">
        <f t="shared" si="443"/>
        <v>2023</v>
      </c>
      <c r="N1762" s="6">
        <v>225</v>
      </c>
      <c r="O1762" s="6">
        <f t="shared" si="452"/>
        <v>-225</v>
      </c>
      <c r="P1762" s="6">
        <f t="shared" si="450"/>
        <v>0</v>
      </c>
      <c r="Q1762" s="7">
        <f t="shared" si="451"/>
        <v>3196908.5500000012</v>
      </c>
      <c r="R1762" s="44" t="str">
        <f>VLOOKUP(F1762,'Set up'!$A$2:$E$70,5,FALSE)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439"/>
        <v>6</v>
      </c>
      <c r="C1763" s="5">
        <f t="shared" si="440"/>
        <v>2023</v>
      </c>
      <c r="D1763" s="88" t="s">
        <v>1623</v>
      </c>
      <c r="E1763" s="5" t="str">
        <f>VLOOKUP(F1763,'Set up'!$A$2:$C$70,2,FALSE)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up'!$A$2:$C$70,3,FALSE)</f>
        <v>Cash</v>
      </c>
      <c r="J1763" s="5">
        <f>VLOOKUP(F1763,'Set up'!$A$2:$D$70,4,FALSE)</f>
        <v>0</v>
      </c>
      <c r="K1763" s="4">
        <f t="shared" si="441"/>
        <v>45089</v>
      </c>
      <c r="L1763" s="5">
        <f t="shared" si="442"/>
        <v>6</v>
      </c>
      <c r="M1763" s="5">
        <f t="shared" si="443"/>
        <v>2023</v>
      </c>
      <c r="N1763" s="6">
        <v>236</v>
      </c>
      <c r="O1763" s="6">
        <f t="shared" si="452"/>
        <v>-236</v>
      </c>
      <c r="P1763" s="6">
        <f t="shared" si="450"/>
        <v>0</v>
      </c>
      <c r="Q1763" s="7">
        <f t="shared" si="451"/>
        <v>3197144.5500000012</v>
      </c>
      <c r="R1763" s="44" t="str">
        <f>VLOOKUP(F1763,'Set up'!$A$2:$E$70,5,FALSE)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439"/>
        <v>6</v>
      </c>
      <c r="C1764" s="5">
        <f t="shared" si="440"/>
        <v>2023</v>
      </c>
      <c r="D1764" s="88" t="s">
        <v>1623</v>
      </c>
      <c r="E1764" s="5" t="str">
        <f>VLOOKUP(F1764,'Set up'!$A$2:$C$70,2,FALSE)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up'!$A$2:$C$70,3,FALSE)</f>
        <v>Cash</v>
      </c>
      <c r="J1764" s="5">
        <f>VLOOKUP(F1764,'Set up'!$A$2:$D$70,4,FALSE)</f>
        <v>0</v>
      </c>
      <c r="K1764" s="4">
        <f t="shared" si="441"/>
        <v>45089</v>
      </c>
      <c r="L1764" s="5">
        <f t="shared" si="442"/>
        <v>6</v>
      </c>
      <c r="M1764" s="5">
        <f t="shared" si="443"/>
        <v>2023</v>
      </c>
      <c r="N1764" s="6">
        <v>1390</v>
      </c>
      <c r="O1764" s="6">
        <f t="shared" si="452"/>
        <v>-1390</v>
      </c>
      <c r="P1764" s="6">
        <f t="shared" si="450"/>
        <v>0</v>
      </c>
      <c r="Q1764" s="7">
        <f t="shared" si="451"/>
        <v>3198534.5500000012</v>
      </c>
      <c r="R1764" s="44" t="str">
        <f>VLOOKUP(F1764,'Set up'!$A$2:$E$70,5,FALSE)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439"/>
        <v>6</v>
      </c>
      <c r="C1765" s="5">
        <f t="shared" si="440"/>
        <v>2023</v>
      </c>
      <c r="D1765" s="88" t="s">
        <v>1623</v>
      </c>
      <c r="E1765" s="5" t="str">
        <f>VLOOKUP(F1765,'Set up'!$A$2:$C$70,2,FALSE)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up'!$A$2:$C$70,3,FALSE)</f>
        <v>Cash</v>
      </c>
      <c r="J1765" s="5">
        <f>VLOOKUP(F1765,'Set up'!$A$2:$D$70,4,FALSE)</f>
        <v>0</v>
      </c>
      <c r="K1765" s="4">
        <f t="shared" si="441"/>
        <v>45089</v>
      </c>
      <c r="L1765" s="5">
        <f t="shared" si="442"/>
        <v>6</v>
      </c>
      <c r="M1765" s="5">
        <f t="shared" si="443"/>
        <v>2023</v>
      </c>
      <c r="N1765" s="6">
        <v>187.5</v>
      </c>
      <c r="O1765" s="6">
        <f t="shared" si="452"/>
        <v>-187.5</v>
      </c>
      <c r="P1765" s="6">
        <f t="shared" si="450"/>
        <v>0</v>
      </c>
      <c r="Q1765" s="7">
        <f t="shared" si="451"/>
        <v>3198722.0500000012</v>
      </c>
      <c r="R1765" s="44" t="str">
        <f>VLOOKUP(F1765,'Set up'!$A$2:$E$70,5,FALSE)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439"/>
        <v>6</v>
      </c>
      <c r="C1766" s="5">
        <f t="shared" si="440"/>
        <v>2023</v>
      </c>
      <c r="D1766" s="88" t="s">
        <v>1623</v>
      </c>
      <c r="E1766" s="5" t="str">
        <f>VLOOKUP(F1766,'Set up'!$A$2:$C$70,2,FALSE)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up'!$A$2:$C$70,3,FALSE)</f>
        <v>Cash</v>
      </c>
      <c r="J1766" s="5">
        <f>VLOOKUP(F1766,'Set up'!$A$2:$D$70,4,FALSE)</f>
        <v>0</v>
      </c>
      <c r="K1766" s="4">
        <f t="shared" si="441"/>
        <v>45089</v>
      </c>
      <c r="L1766" s="5">
        <f t="shared" si="442"/>
        <v>6</v>
      </c>
      <c r="M1766" s="5">
        <f t="shared" si="443"/>
        <v>2023</v>
      </c>
      <c r="N1766" s="6">
        <v>95</v>
      </c>
      <c r="O1766" s="6">
        <f t="shared" si="452"/>
        <v>-95</v>
      </c>
      <c r="P1766" s="6">
        <f t="shared" si="450"/>
        <v>0</v>
      </c>
      <c r="Q1766" s="7">
        <f t="shared" si="451"/>
        <v>3198817.0500000012</v>
      </c>
      <c r="R1766" s="44" t="str">
        <f>VLOOKUP(F1766,'Set up'!$A$2:$E$70,5,FALSE)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439"/>
        <v>6</v>
      </c>
      <c r="C1767" s="5">
        <f t="shared" si="440"/>
        <v>2023</v>
      </c>
      <c r="D1767" s="5" t="s">
        <v>1626</v>
      </c>
      <c r="E1767" s="5" t="str">
        <f>VLOOKUP(F1767,'Set up'!$A$2:$C$70,2,FALSE)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up'!$A$2:$C$70,3,FALSE)</f>
        <v>Cash</v>
      </c>
      <c r="J1767" s="5">
        <f>VLOOKUP(F1767,'Set up'!$A$2:$D$70,4,FALSE)</f>
        <v>0</v>
      </c>
      <c r="K1767" s="4">
        <f t="shared" si="441"/>
        <v>45091</v>
      </c>
      <c r="L1767" s="5">
        <f t="shared" si="442"/>
        <v>6</v>
      </c>
      <c r="M1767" s="5">
        <f t="shared" si="443"/>
        <v>2023</v>
      </c>
      <c r="N1767" s="6">
        <v>150</v>
      </c>
      <c r="O1767" s="6">
        <f t="shared" si="452"/>
        <v>-150</v>
      </c>
      <c r="P1767" s="6">
        <f t="shared" si="450"/>
        <v>0</v>
      </c>
      <c r="Q1767" s="7">
        <f t="shared" si="451"/>
        <v>3198967.0500000012</v>
      </c>
      <c r="R1767" s="44" t="str">
        <f>VLOOKUP(F1767,'Set up'!$A$2:$E$70,5,FALSE)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439"/>
        <v>6</v>
      </c>
      <c r="C1768" s="5">
        <f t="shared" si="440"/>
        <v>2023</v>
      </c>
      <c r="D1768" s="5" t="s">
        <v>1626</v>
      </c>
      <c r="E1768" s="5" t="str">
        <f>VLOOKUP(F1768,'Set up'!$A$2:$C$70,2,FALSE)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up'!$A$2:$C$70,3,FALSE)</f>
        <v>Cash</v>
      </c>
      <c r="J1768" s="5">
        <f>VLOOKUP(F1768,'Set up'!$A$2:$D$70,4,FALSE)</f>
        <v>0</v>
      </c>
      <c r="K1768" s="4">
        <f t="shared" si="441"/>
        <v>45091</v>
      </c>
      <c r="L1768" s="5">
        <f t="shared" si="442"/>
        <v>6</v>
      </c>
      <c r="M1768" s="5">
        <f t="shared" si="443"/>
        <v>2023</v>
      </c>
      <c r="N1768" s="6">
        <v>260</v>
      </c>
      <c r="O1768" s="6">
        <f t="shared" si="452"/>
        <v>-260</v>
      </c>
      <c r="P1768" s="6">
        <f t="shared" si="450"/>
        <v>0</v>
      </c>
      <c r="Q1768" s="7">
        <f t="shared" si="451"/>
        <v>3199227.0500000012</v>
      </c>
      <c r="R1768" s="44" t="str">
        <f>VLOOKUP(F1768,'Set up'!$A$2:$E$70,5,FALSE)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439"/>
        <v>6</v>
      </c>
      <c r="C1769" s="5">
        <f t="shared" si="440"/>
        <v>2023</v>
      </c>
      <c r="D1769" s="5" t="s">
        <v>1628</v>
      </c>
      <c r="E1769" s="5" t="str">
        <f>VLOOKUP(F1769,'Set up'!$A$2:$C$70,2,FALSE)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up'!$A$2:$C$70,3,FALSE)</f>
        <v>Cash</v>
      </c>
      <c r="J1769" s="5">
        <f>VLOOKUP(F1769,'Set up'!$A$2:$D$70,4,FALSE)</f>
        <v>0</v>
      </c>
      <c r="K1769" s="4">
        <f t="shared" si="441"/>
        <v>45092</v>
      </c>
      <c r="L1769" s="5">
        <f t="shared" si="442"/>
        <v>6</v>
      </c>
      <c r="M1769" s="5">
        <f t="shared" si="443"/>
        <v>2023</v>
      </c>
      <c r="N1769" s="6">
        <v>3608</v>
      </c>
      <c r="O1769" s="6">
        <f>-N1769</f>
        <v>-3608</v>
      </c>
      <c r="P1769" s="6">
        <f t="shared" si="450"/>
        <v>0</v>
      </c>
      <c r="Q1769" s="7">
        <f t="shared" si="451"/>
        <v>3202835.0500000012</v>
      </c>
      <c r="R1769" s="44" t="str">
        <f>VLOOKUP(F1769,'Set up'!$A$2:$E$70,5,FALSE)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439"/>
        <v>6</v>
      </c>
      <c r="C1770" s="5">
        <f t="shared" si="440"/>
        <v>2023</v>
      </c>
      <c r="D1770" s="5" t="s">
        <v>1628</v>
      </c>
      <c r="E1770" s="5" t="str">
        <f>VLOOKUP(F1770,'Set up'!$A$2:$C$70,2,FALSE)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up'!$A$2:$C$70,3,FALSE)</f>
        <v>Cash</v>
      </c>
      <c r="J1770" s="5">
        <f>VLOOKUP(F1770,'Set up'!$A$2:$D$70,4,FALSE)</f>
        <v>0</v>
      </c>
      <c r="K1770" s="4">
        <f t="shared" si="441"/>
        <v>45092</v>
      </c>
      <c r="L1770" s="5">
        <f t="shared" si="442"/>
        <v>6</v>
      </c>
      <c r="M1770" s="5">
        <f t="shared" si="443"/>
        <v>2023</v>
      </c>
      <c r="N1770" s="6">
        <v>474</v>
      </c>
      <c r="O1770" s="6">
        <f>-N1770</f>
        <v>-474</v>
      </c>
      <c r="P1770" s="6">
        <f t="shared" si="450"/>
        <v>0</v>
      </c>
      <c r="Q1770" s="7">
        <f t="shared" si="451"/>
        <v>3203309.0500000012</v>
      </c>
      <c r="R1770" s="44" t="str">
        <f>VLOOKUP(F1770,'Set up'!$A$2:$E$70,5,FALSE)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439"/>
        <v>6</v>
      </c>
      <c r="C1771" s="5">
        <f t="shared" si="440"/>
        <v>2023</v>
      </c>
      <c r="D1771" s="5" t="s">
        <v>1628</v>
      </c>
      <c r="E1771" s="5" t="str">
        <f>VLOOKUP(F1771,'Set up'!$A$2:$C$70,2,FALSE)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up'!$A$2:$C$70,3,FALSE)</f>
        <v>Cash</v>
      </c>
      <c r="J1771" s="5">
        <f>VLOOKUP(F1771,'Set up'!$A$2:$D$70,4,FALSE)</f>
        <v>0</v>
      </c>
      <c r="K1771" s="4">
        <f t="shared" si="441"/>
        <v>45092</v>
      </c>
      <c r="L1771" s="5">
        <f t="shared" si="442"/>
        <v>6</v>
      </c>
      <c r="M1771" s="5">
        <f t="shared" si="443"/>
        <v>2023</v>
      </c>
      <c r="N1771" s="6">
        <v>516</v>
      </c>
      <c r="O1771" s="6">
        <f>-N1771</f>
        <v>-516</v>
      </c>
      <c r="P1771" s="6">
        <f t="shared" si="450"/>
        <v>0</v>
      </c>
      <c r="Q1771" s="7">
        <f t="shared" si="451"/>
        <v>3203825.0500000012</v>
      </c>
      <c r="R1771" s="44" t="str">
        <f>VLOOKUP(F1771,'Set up'!$A$2:$E$70,5,FALSE)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439"/>
        <v>6</v>
      </c>
      <c r="C1772" s="5">
        <f t="shared" si="440"/>
        <v>2023</v>
      </c>
      <c r="D1772" s="5" t="s">
        <v>1628</v>
      </c>
      <c r="E1772" s="5" t="str">
        <f>VLOOKUP(F1772,'Set up'!$A$2:$C$70,2,FALSE)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up'!$A$2:$C$70,3,FALSE)</f>
        <v>Cash</v>
      </c>
      <c r="J1772" s="5">
        <f>VLOOKUP(F1772,'Set up'!$A$2:$D$70,4,FALSE)</f>
        <v>0</v>
      </c>
      <c r="K1772" s="4">
        <f t="shared" si="441"/>
        <v>45092</v>
      </c>
      <c r="L1772" s="5">
        <f t="shared" si="442"/>
        <v>6</v>
      </c>
      <c r="M1772" s="5">
        <f t="shared" si="443"/>
        <v>2023</v>
      </c>
      <c r="N1772" s="6">
        <v>320</v>
      </c>
      <c r="O1772" s="6">
        <f>-N1772</f>
        <v>-320</v>
      </c>
      <c r="P1772" s="6">
        <f t="shared" si="450"/>
        <v>0</v>
      </c>
      <c r="Q1772" s="7">
        <f t="shared" si="451"/>
        <v>3204145.0500000012</v>
      </c>
      <c r="R1772" s="44" t="str">
        <f>VLOOKUP(F1772,'Set up'!$A$2:$E$70,5,FALSE)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439"/>
        <v>6</v>
      </c>
      <c r="C1773" s="5">
        <f t="shared" si="440"/>
        <v>2023</v>
      </c>
      <c r="D1773" s="5" t="s">
        <v>1629</v>
      </c>
      <c r="E1773" s="5" t="str">
        <f>VLOOKUP(F1773,'Set up'!$A$2:$C$70,2,FALSE)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up'!$A$2:$C$70,3,FALSE)</f>
        <v>Cash</v>
      </c>
      <c r="J1773" s="5">
        <f>VLOOKUP(F1773,'Set up'!$A$2:$D$70,4,FALSE)</f>
        <v>0</v>
      </c>
      <c r="K1773" s="4">
        <f t="shared" si="441"/>
        <v>45092</v>
      </c>
      <c r="L1773" s="5">
        <f t="shared" si="442"/>
        <v>6</v>
      </c>
      <c r="M1773" s="5">
        <f t="shared" si="443"/>
        <v>2023</v>
      </c>
      <c r="N1773" s="6">
        <v>350</v>
      </c>
      <c r="O1773" s="6">
        <f t="shared" ref="O1773:O1776" si="453">-N1773</f>
        <v>-350</v>
      </c>
      <c r="P1773" s="6">
        <f t="shared" si="450"/>
        <v>0</v>
      </c>
      <c r="Q1773" s="7">
        <f t="shared" si="451"/>
        <v>3204495.0500000012</v>
      </c>
      <c r="R1773" s="44" t="str">
        <f>VLOOKUP(F1773,'Set up'!$A$2:$E$70,5,FALSE)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439"/>
        <v>6</v>
      </c>
      <c r="C1774" s="5">
        <f t="shared" si="440"/>
        <v>2023</v>
      </c>
      <c r="D1774" s="5" t="s">
        <v>1629</v>
      </c>
      <c r="E1774" s="5" t="str">
        <f>VLOOKUP(F1774,'Set up'!$A$2:$C$70,2,FALSE)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up'!$A$2:$C$70,3,FALSE)</f>
        <v>Cash</v>
      </c>
      <c r="J1774" s="5">
        <f>VLOOKUP(F1774,'Set up'!$A$2:$D$70,4,FALSE)</f>
        <v>0</v>
      </c>
      <c r="K1774" s="4">
        <f t="shared" si="441"/>
        <v>45092</v>
      </c>
      <c r="L1774" s="5">
        <f t="shared" si="442"/>
        <v>6</v>
      </c>
      <c r="M1774" s="5">
        <f t="shared" si="443"/>
        <v>2023</v>
      </c>
      <c r="N1774" s="6">
        <v>105</v>
      </c>
      <c r="O1774" s="6">
        <f t="shared" si="453"/>
        <v>-105</v>
      </c>
      <c r="P1774" s="6">
        <f t="shared" si="450"/>
        <v>0</v>
      </c>
      <c r="Q1774" s="7">
        <f t="shared" si="451"/>
        <v>3204600.0500000012</v>
      </c>
      <c r="R1774" s="44" t="str">
        <f>VLOOKUP(F1774,'Set up'!$A$2:$E$70,5,FALSE)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439"/>
        <v>6</v>
      </c>
      <c r="C1775" s="5">
        <f t="shared" si="440"/>
        <v>2023</v>
      </c>
      <c r="D1775" s="5" t="s">
        <v>1629</v>
      </c>
      <c r="E1775" s="5" t="str">
        <f>VLOOKUP(F1775,'Set up'!$A$2:$C$70,2,FALSE)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up'!$A$2:$C$70,3,FALSE)</f>
        <v>Cash</v>
      </c>
      <c r="J1775" s="5">
        <f>VLOOKUP(F1775,'Set up'!$A$2:$D$70,4,FALSE)</f>
        <v>0</v>
      </c>
      <c r="K1775" s="4">
        <f t="shared" si="441"/>
        <v>45092</v>
      </c>
      <c r="L1775" s="5">
        <f t="shared" si="442"/>
        <v>6</v>
      </c>
      <c r="M1775" s="5">
        <f t="shared" si="443"/>
        <v>2023</v>
      </c>
      <c r="N1775" s="6">
        <v>55</v>
      </c>
      <c r="O1775" s="6">
        <f t="shared" si="453"/>
        <v>-55</v>
      </c>
      <c r="P1775" s="6">
        <f t="shared" si="450"/>
        <v>0</v>
      </c>
      <c r="Q1775" s="7">
        <f t="shared" si="451"/>
        <v>3204655.0500000012</v>
      </c>
      <c r="R1775" s="44" t="str">
        <f>VLOOKUP(F1775,'Set up'!$A$2:$E$70,5,FALSE)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439"/>
        <v>6</v>
      </c>
      <c r="C1776" s="5">
        <f t="shared" si="440"/>
        <v>2023</v>
      </c>
      <c r="D1776" s="5" t="s">
        <v>1629</v>
      </c>
      <c r="E1776" s="5" t="str">
        <f>VLOOKUP(F1776,'Set up'!$A$2:$C$70,2,FALSE)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up'!$A$2:$C$70,3,FALSE)</f>
        <v>Cash</v>
      </c>
      <c r="J1776" s="5">
        <f>VLOOKUP(F1776,'Set up'!$A$2:$D$70,4,FALSE)</f>
        <v>0</v>
      </c>
      <c r="K1776" s="4">
        <f t="shared" si="441"/>
        <v>45092</v>
      </c>
      <c r="L1776" s="5">
        <f t="shared" si="442"/>
        <v>6</v>
      </c>
      <c r="M1776" s="5">
        <f t="shared" si="443"/>
        <v>2023</v>
      </c>
      <c r="N1776" s="6">
        <v>80</v>
      </c>
      <c r="O1776" s="6">
        <f t="shared" si="453"/>
        <v>-80</v>
      </c>
      <c r="P1776" s="6">
        <f t="shared" si="450"/>
        <v>0</v>
      </c>
      <c r="Q1776" s="7">
        <f t="shared" si="451"/>
        <v>3204735.0500000012</v>
      </c>
      <c r="R1776" s="44" t="str">
        <f>VLOOKUP(F1776,'Set up'!$A$2:$E$70,5,FALSE)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439"/>
        <v>6</v>
      </c>
      <c r="C1777" s="5">
        <f t="shared" si="440"/>
        <v>2023</v>
      </c>
      <c r="D1777" s="5" t="s">
        <v>1632</v>
      </c>
      <c r="E1777" s="5" t="str">
        <f>VLOOKUP(F1777,'Set up'!$A$2:$C$70,2,FALSE)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up'!$A$2:$C$70,3,FALSE)</f>
        <v>Cash</v>
      </c>
      <c r="J1777" s="5">
        <f>VLOOKUP(F1777,'Set up'!$A$2:$D$70,4,FALSE)</f>
        <v>0</v>
      </c>
      <c r="K1777" s="4">
        <f t="shared" si="441"/>
        <v>45092</v>
      </c>
      <c r="L1777" s="5">
        <f t="shared" si="442"/>
        <v>6</v>
      </c>
      <c r="M1777" s="5">
        <f t="shared" si="443"/>
        <v>2023</v>
      </c>
      <c r="N1777" s="6">
        <v>1870</v>
      </c>
      <c r="O1777" s="6">
        <f t="shared" ref="O1777:O1781" si="454">-N1777</f>
        <v>-1870</v>
      </c>
      <c r="P1777" s="6">
        <f t="shared" si="450"/>
        <v>0</v>
      </c>
      <c r="Q1777" s="7">
        <f t="shared" si="451"/>
        <v>3206605.0500000012</v>
      </c>
      <c r="R1777" s="44" t="str">
        <f>VLOOKUP(F1777,'Set up'!$A$2:$E$70,5,FALSE)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439"/>
        <v>6</v>
      </c>
      <c r="C1778" s="5">
        <f t="shared" si="440"/>
        <v>2023</v>
      </c>
      <c r="D1778" s="5" t="s">
        <v>1632</v>
      </c>
      <c r="E1778" s="5" t="str">
        <f>VLOOKUP(F1778,'Set up'!$A$2:$C$70,2,FALSE)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up'!$A$2:$C$70,3,FALSE)</f>
        <v>Cash</v>
      </c>
      <c r="J1778" s="5">
        <f>VLOOKUP(F1778,'Set up'!$A$2:$D$70,4,FALSE)</f>
        <v>0</v>
      </c>
      <c r="K1778" s="4">
        <f t="shared" si="441"/>
        <v>45092</v>
      </c>
      <c r="L1778" s="5">
        <f t="shared" si="442"/>
        <v>6</v>
      </c>
      <c r="M1778" s="5">
        <f t="shared" si="443"/>
        <v>2023</v>
      </c>
      <c r="N1778" s="6">
        <v>450</v>
      </c>
      <c r="O1778" s="6">
        <f t="shared" si="454"/>
        <v>-450</v>
      </c>
      <c r="P1778" s="6">
        <f t="shared" si="450"/>
        <v>0</v>
      </c>
      <c r="Q1778" s="7">
        <f t="shared" si="451"/>
        <v>3207055.0500000012</v>
      </c>
      <c r="R1778" s="44" t="str">
        <f>VLOOKUP(F1778,'Set up'!$A$2:$E$70,5,FALSE)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439"/>
        <v>6</v>
      </c>
      <c r="C1779" s="5">
        <f t="shared" si="440"/>
        <v>2023</v>
      </c>
      <c r="D1779" s="5" t="s">
        <v>1632</v>
      </c>
      <c r="E1779" s="5" t="str">
        <f>VLOOKUP(F1779,'Set up'!$A$2:$C$70,2,FALSE)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up'!$A$2:$C$70,3,FALSE)</f>
        <v>Cash</v>
      </c>
      <c r="J1779" s="5">
        <f>VLOOKUP(F1779,'Set up'!$A$2:$D$70,4,FALSE)</f>
        <v>0</v>
      </c>
      <c r="K1779" s="4">
        <f t="shared" si="441"/>
        <v>45092</v>
      </c>
      <c r="L1779" s="5">
        <f t="shared" si="442"/>
        <v>6</v>
      </c>
      <c r="M1779" s="5">
        <f t="shared" si="443"/>
        <v>2023</v>
      </c>
      <c r="N1779" s="6">
        <v>236</v>
      </c>
      <c r="O1779" s="6">
        <f t="shared" si="454"/>
        <v>-236</v>
      </c>
      <c r="P1779" s="6">
        <f t="shared" si="450"/>
        <v>0</v>
      </c>
      <c r="Q1779" s="7">
        <f t="shared" si="451"/>
        <v>3207291.0500000012</v>
      </c>
      <c r="R1779" s="44" t="str">
        <f>VLOOKUP(F1779,'Set up'!$A$2:$E$70,5,FALSE)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439"/>
        <v>6</v>
      </c>
      <c r="C1780" s="5">
        <f t="shared" si="440"/>
        <v>2023</v>
      </c>
      <c r="D1780" s="5" t="s">
        <v>1632</v>
      </c>
      <c r="E1780" s="5" t="str">
        <f>VLOOKUP(F1780,'Set up'!$A$2:$C$70,2,FALSE)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up'!$A$2:$C$70,3,FALSE)</f>
        <v>Cash</v>
      </c>
      <c r="J1780" s="5">
        <f>VLOOKUP(F1780,'Set up'!$A$2:$D$70,4,FALSE)</f>
        <v>0</v>
      </c>
      <c r="K1780" s="4">
        <f t="shared" si="441"/>
        <v>45092</v>
      </c>
      <c r="L1780" s="5">
        <f t="shared" si="442"/>
        <v>6</v>
      </c>
      <c r="M1780" s="5">
        <f t="shared" si="443"/>
        <v>2023</v>
      </c>
      <c r="N1780" s="6">
        <v>1390</v>
      </c>
      <c r="O1780" s="6">
        <f t="shared" si="454"/>
        <v>-1390</v>
      </c>
      <c r="P1780" s="6">
        <f t="shared" si="450"/>
        <v>0</v>
      </c>
      <c r="Q1780" s="7">
        <f t="shared" si="451"/>
        <v>3208681.0500000012</v>
      </c>
      <c r="R1780" s="44" t="str">
        <f>VLOOKUP(F1780,'Set up'!$A$2:$E$70,5,FALSE)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439"/>
        <v>6</v>
      </c>
      <c r="C1781" s="5">
        <f t="shared" si="440"/>
        <v>2023</v>
      </c>
      <c r="D1781" s="5" t="s">
        <v>1632</v>
      </c>
      <c r="E1781" s="5" t="str">
        <f>VLOOKUP(F1781,'Set up'!$A$2:$C$70,2,FALSE)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up'!$A$2:$C$70,3,FALSE)</f>
        <v>Cash</v>
      </c>
      <c r="J1781" s="5">
        <f>VLOOKUP(F1781,'Set up'!$A$2:$D$70,4,FALSE)</f>
        <v>0</v>
      </c>
      <c r="K1781" s="4">
        <f t="shared" si="441"/>
        <v>45092</v>
      </c>
      <c r="L1781" s="5">
        <f t="shared" si="442"/>
        <v>6</v>
      </c>
      <c r="M1781" s="5">
        <f t="shared" si="443"/>
        <v>2023</v>
      </c>
      <c r="N1781" s="6">
        <v>187.5</v>
      </c>
      <c r="O1781" s="6">
        <f t="shared" si="454"/>
        <v>-187.5</v>
      </c>
      <c r="P1781" s="6">
        <f t="shared" si="450"/>
        <v>0</v>
      </c>
      <c r="Q1781" s="7">
        <f t="shared" si="451"/>
        <v>3208868.5500000012</v>
      </c>
      <c r="R1781" s="44" t="str">
        <f>VLOOKUP(F1781,'Set up'!$A$2:$E$70,5,FALSE)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439"/>
        <v>6</v>
      </c>
      <c r="C1782" s="5">
        <f t="shared" si="440"/>
        <v>2023</v>
      </c>
      <c r="D1782" s="5" t="s">
        <v>1633</v>
      </c>
      <c r="E1782" s="5" t="str">
        <f>VLOOKUP(F1782,'Set up'!$A$2:$C$70,2,FALSE)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up'!$A$2:$C$70,3,FALSE)</f>
        <v>Cash</v>
      </c>
      <c r="J1782" s="5">
        <f>VLOOKUP(F1782,'Set up'!$A$2:$D$70,4,FALSE)</f>
        <v>0</v>
      </c>
      <c r="K1782" s="4">
        <f t="shared" si="441"/>
        <v>45093</v>
      </c>
      <c r="L1782" s="5">
        <f t="shared" si="442"/>
        <v>6</v>
      </c>
      <c r="M1782" s="5">
        <f t="shared" si="443"/>
        <v>2023</v>
      </c>
      <c r="N1782" s="96">
        <v>375</v>
      </c>
      <c r="O1782" s="6">
        <f>-N1782</f>
        <v>-375</v>
      </c>
      <c r="P1782" s="6">
        <f t="shared" si="450"/>
        <v>0</v>
      </c>
      <c r="Q1782" s="7">
        <f t="shared" si="451"/>
        <v>3209243.5500000012</v>
      </c>
      <c r="R1782" s="44" t="str">
        <f>VLOOKUP(F1782,'Set up'!$A$2:$E$70,5,FALSE)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si="439"/>
        <v>6</v>
      </c>
      <c r="C1783" s="5">
        <f t="shared" si="440"/>
        <v>2023</v>
      </c>
      <c r="D1783" s="5" t="s">
        <v>1634</v>
      </c>
      <c r="E1783" s="5" t="str">
        <f>VLOOKUP(F1783,'Set up'!$A$2:$C$70,2,FALSE)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up'!$A$2:$C$70,3,FALSE)</f>
        <v>Cash</v>
      </c>
      <c r="J1783" s="5">
        <f>VLOOKUP(F1783,'Set up'!$A$2:$D$70,4,FALSE)</f>
        <v>0</v>
      </c>
      <c r="K1783" s="4">
        <f t="shared" si="441"/>
        <v>45093</v>
      </c>
      <c r="L1783" s="5">
        <f t="shared" si="442"/>
        <v>6</v>
      </c>
      <c r="M1783" s="5">
        <f t="shared" si="443"/>
        <v>2023</v>
      </c>
      <c r="N1783" s="6">
        <v>10692</v>
      </c>
      <c r="O1783" s="6">
        <f>-1126.6-9565.4</f>
        <v>-10692</v>
      </c>
      <c r="P1783" s="6">
        <f t="shared" ref="P1783:P1825" si="455">SUM(N1783+O1783)</f>
        <v>0</v>
      </c>
      <c r="Q1783" s="7">
        <f t="shared" ref="Q1783:Q1825" si="456">SUM(Q1782+N1783)</f>
        <v>3219935.5500000012</v>
      </c>
      <c r="R1783" s="44" t="str">
        <f>VLOOKUP(F1783,'Set up'!$A$2:$E$70,5,FALSE)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439"/>
        <v>6</v>
      </c>
      <c r="C1784" s="5">
        <f t="shared" si="440"/>
        <v>2023</v>
      </c>
      <c r="D1784" s="5" t="s">
        <v>1634</v>
      </c>
      <c r="E1784" s="5" t="str">
        <f>VLOOKUP(F1784,'Set up'!$A$2:$C$70,2,FALSE)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up'!$A$2:$C$70,3,FALSE)</f>
        <v>Cash</v>
      </c>
      <c r="J1784" s="5">
        <f>VLOOKUP(F1784,'Set up'!$A$2:$D$70,4,FALSE)</f>
        <v>0</v>
      </c>
      <c r="K1784" s="4">
        <f t="shared" si="441"/>
        <v>45093</v>
      </c>
      <c r="L1784" s="5">
        <f t="shared" si="442"/>
        <v>6</v>
      </c>
      <c r="M1784" s="5">
        <f t="shared" si="443"/>
        <v>2023</v>
      </c>
      <c r="N1784" s="6">
        <v>1575</v>
      </c>
      <c r="O1784" s="6">
        <f>-434.6-1140.4</f>
        <v>-1575</v>
      </c>
      <c r="P1784" s="6">
        <f t="shared" si="455"/>
        <v>0</v>
      </c>
      <c r="Q1784" s="7">
        <f t="shared" si="456"/>
        <v>3221510.5500000012</v>
      </c>
      <c r="R1784" s="44" t="str">
        <f>VLOOKUP(F1784,'Set up'!$A$2:$E$70,5,FALSE)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439"/>
        <v>6</v>
      </c>
      <c r="C1785" s="5">
        <f t="shared" si="440"/>
        <v>2023</v>
      </c>
      <c r="D1785" s="5" t="s">
        <v>1634</v>
      </c>
      <c r="E1785" s="5" t="str">
        <f>VLOOKUP(F1785,'Set up'!$A$2:$C$70,2,FALSE)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up'!$A$2:$C$70,3,FALSE)</f>
        <v>Cash</v>
      </c>
      <c r="J1785" s="5">
        <f>VLOOKUP(F1785,'Set up'!$A$2:$D$70,4,FALSE)</f>
        <v>0</v>
      </c>
      <c r="K1785" s="4">
        <f t="shared" si="441"/>
        <v>45093</v>
      </c>
      <c r="L1785" s="5">
        <f t="shared" si="442"/>
        <v>6</v>
      </c>
      <c r="M1785" s="5">
        <f t="shared" si="443"/>
        <v>2023</v>
      </c>
      <c r="N1785" s="6">
        <v>1620</v>
      </c>
      <c r="O1785" s="6">
        <f>-N1785</f>
        <v>-1620</v>
      </c>
      <c r="P1785" s="6">
        <f t="shared" si="455"/>
        <v>0</v>
      </c>
      <c r="Q1785" s="7">
        <f t="shared" si="456"/>
        <v>3223130.5500000012</v>
      </c>
      <c r="R1785" s="44" t="str">
        <f>VLOOKUP(F1785,'Set up'!$A$2:$E$70,5,FALSE)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439"/>
        <v>6</v>
      </c>
      <c r="C1786" s="5">
        <f t="shared" si="440"/>
        <v>2023</v>
      </c>
      <c r="D1786" s="5" t="s">
        <v>1634</v>
      </c>
      <c r="E1786" s="5" t="str">
        <f>VLOOKUP(F1786,'Set up'!$A$2:$C$70,2,FALSE)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up'!$A$2:$C$70,3,FALSE)</f>
        <v>Cash</v>
      </c>
      <c r="J1786" s="5">
        <f>VLOOKUP(F1786,'Set up'!$A$2:$D$70,4,FALSE)</f>
        <v>0</v>
      </c>
      <c r="K1786" s="4">
        <f t="shared" si="441"/>
        <v>45093</v>
      </c>
      <c r="L1786" s="5">
        <f t="shared" si="442"/>
        <v>6</v>
      </c>
      <c r="M1786" s="5">
        <f t="shared" si="443"/>
        <v>2023</v>
      </c>
      <c r="N1786" s="6">
        <v>2480</v>
      </c>
      <c r="O1786" s="6">
        <f>-N1786</f>
        <v>-2480</v>
      </c>
      <c r="P1786" s="6">
        <f t="shared" si="455"/>
        <v>0</v>
      </c>
      <c r="Q1786" s="7">
        <f t="shared" si="456"/>
        <v>3225610.5500000012</v>
      </c>
      <c r="R1786" s="44" t="str">
        <f>VLOOKUP(F1786,'Set up'!$A$2:$E$70,5,FALSE)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439"/>
        <v>6</v>
      </c>
      <c r="C1787" s="5">
        <f t="shared" si="440"/>
        <v>2023</v>
      </c>
      <c r="D1787" s="5" t="s">
        <v>1635</v>
      </c>
      <c r="E1787" s="5" t="str">
        <f>VLOOKUP(F1787,'Set up'!$A$2:$C$70,2,FALSE)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up'!$A$2:$C$70,3,FALSE)</f>
        <v>Cash</v>
      </c>
      <c r="J1787" s="5">
        <f>VLOOKUP(F1787,'Set up'!$A$2:$D$70,4,FALSE)</f>
        <v>0</v>
      </c>
      <c r="K1787" s="4">
        <f t="shared" si="441"/>
        <v>45093</v>
      </c>
      <c r="L1787" s="5">
        <f t="shared" si="442"/>
        <v>6</v>
      </c>
      <c r="M1787" s="5">
        <f t="shared" si="443"/>
        <v>2023</v>
      </c>
      <c r="N1787" s="6">
        <v>16434</v>
      </c>
      <c r="O1787" s="6">
        <f t="shared" ref="O1787:O1807" si="457">-N1787</f>
        <v>-16434</v>
      </c>
      <c r="P1787" s="6">
        <f t="shared" si="455"/>
        <v>0</v>
      </c>
      <c r="Q1787" s="7">
        <f t="shared" si="456"/>
        <v>3242044.5500000012</v>
      </c>
      <c r="R1787" s="44" t="str">
        <f>VLOOKUP(F1787,'Set up'!$A$2:$E$70,5,FALSE)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439"/>
        <v>6</v>
      </c>
      <c r="C1788" s="5">
        <f t="shared" si="440"/>
        <v>2023</v>
      </c>
      <c r="D1788" s="105" t="s">
        <v>1635</v>
      </c>
      <c r="E1788" s="5" t="str">
        <f>VLOOKUP(F1788,'Set up'!$A$2:$C$70,2,FALSE)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up'!$A$2:$C$70,3,FALSE)</f>
        <v>Cash</v>
      </c>
      <c r="J1788" s="5">
        <f>VLOOKUP(F1788,'Set up'!$A$2:$D$70,4,FALSE)</f>
        <v>0</v>
      </c>
      <c r="K1788" s="4">
        <f t="shared" si="441"/>
        <v>45096</v>
      </c>
      <c r="L1788" s="5">
        <f t="shared" si="442"/>
        <v>6</v>
      </c>
      <c r="M1788" s="5">
        <f t="shared" si="443"/>
        <v>2023</v>
      </c>
      <c r="N1788" s="6">
        <v>4266</v>
      </c>
      <c r="O1788" s="6">
        <f t="shared" si="457"/>
        <v>-4266</v>
      </c>
      <c r="P1788" s="6">
        <f t="shared" si="455"/>
        <v>0</v>
      </c>
      <c r="Q1788" s="7">
        <f t="shared" si="456"/>
        <v>3246310.5500000012</v>
      </c>
      <c r="R1788" s="44" t="str">
        <f>VLOOKUP(F1788,'Set up'!$A$2:$E$70,5,FALSE)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439"/>
        <v>6</v>
      </c>
      <c r="C1789" s="5">
        <f t="shared" si="440"/>
        <v>2023</v>
      </c>
      <c r="D1789" s="105" t="s">
        <v>1635</v>
      </c>
      <c r="E1789" s="5" t="str">
        <f>VLOOKUP(F1789,'Set up'!$A$2:$C$70,2,FALSE)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up'!$A$2:$C$70,3,FALSE)</f>
        <v>Cash</v>
      </c>
      <c r="J1789" s="5">
        <f>VLOOKUP(F1789,'Set up'!$A$2:$D$70,4,FALSE)</f>
        <v>0</v>
      </c>
      <c r="K1789" s="4">
        <f t="shared" si="441"/>
        <v>45096</v>
      </c>
      <c r="L1789" s="5">
        <f t="shared" si="442"/>
        <v>6</v>
      </c>
      <c r="M1789" s="5">
        <f t="shared" si="443"/>
        <v>2023</v>
      </c>
      <c r="N1789" s="6">
        <v>2559.6000000000004</v>
      </c>
      <c r="O1789" s="6">
        <f t="shared" si="457"/>
        <v>-2559.6000000000004</v>
      </c>
      <c r="P1789" s="6">
        <f t="shared" si="455"/>
        <v>0</v>
      </c>
      <c r="Q1789" s="7">
        <f t="shared" si="456"/>
        <v>3248870.1500000013</v>
      </c>
      <c r="R1789" s="44" t="str">
        <f>VLOOKUP(F1789,'Set up'!$A$2:$E$70,5,FALSE)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439"/>
        <v>6</v>
      </c>
      <c r="C1790" s="5">
        <f t="shared" si="440"/>
        <v>2023</v>
      </c>
      <c r="D1790" s="105" t="s">
        <v>1635</v>
      </c>
      <c r="E1790" s="5" t="str">
        <f>VLOOKUP(F1790,'Set up'!$A$2:$C$70,2,FALSE)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up'!$A$2:$C$70,3,FALSE)</f>
        <v>Cash</v>
      </c>
      <c r="J1790" s="5">
        <f>VLOOKUP(F1790,'Set up'!$A$2:$D$70,4,FALSE)</f>
        <v>0</v>
      </c>
      <c r="K1790" s="4">
        <f t="shared" si="441"/>
        <v>45096</v>
      </c>
      <c r="L1790" s="5">
        <f t="shared" si="442"/>
        <v>6</v>
      </c>
      <c r="M1790" s="5">
        <f t="shared" si="443"/>
        <v>2023</v>
      </c>
      <c r="N1790" s="6">
        <v>4128</v>
      </c>
      <c r="O1790" s="6">
        <f t="shared" si="457"/>
        <v>-4128</v>
      </c>
      <c r="P1790" s="6">
        <f t="shared" si="455"/>
        <v>0</v>
      </c>
      <c r="Q1790" s="7">
        <f t="shared" si="456"/>
        <v>3252998.1500000013</v>
      </c>
      <c r="R1790" s="44" t="str">
        <f>VLOOKUP(F1790,'Set up'!$A$2:$E$70,5,FALSE)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439"/>
        <v>6</v>
      </c>
      <c r="C1791" s="5">
        <f t="shared" si="440"/>
        <v>2023</v>
      </c>
      <c r="D1791" s="105" t="s">
        <v>1635</v>
      </c>
      <c r="E1791" s="5" t="str">
        <f>VLOOKUP(F1791,'Set up'!$A$2:$C$70,2,FALSE)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up'!$A$2:$C$70,3,FALSE)</f>
        <v>Cash</v>
      </c>
      <c r="J1791" s="5">
        <f>VLOOKUP(F1791,'Set up'!$A$2:$D$70,4,FALSE)</f>
        <v>0</v>
      </c>
      <c r="K1791" s="4">
        <f t="shared" si="441"/>
        <v>45096</v>
      </c>
      <c r="L1791" s="5">
        <f t="shared" si="442"/>
        <v>6</v>
      </c>
      <c r="M1791" s="5">
        <f t="shared" si="443"/>
        <v>2023</v>
      </c>
      <c r="N1791" s="6">
        <v>750</v>
      </c>
      <c r="O1791" s="6">
        <f t="shared" si="457"/>
        <v>-750</v>
      </c>
      <c r="P1791" s="6">
        <f t="shared" si="455"/>
        <v>0</v>
      </c>
      <c r="Q1791" s="7">
        <f t="shared" si="456"/>
        <v>3253748.1500000013</v>
      </c>
      <c r="R1791" s="44" t="str">
        <f>VLOOKUP(F1791,'Set up'!$A$2:$E$70,5,FALSE)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439"/>
        <v>6</v>
      </c>
      <c r="C1792" s="5">
        <f t="shared" si="440"/>
        <v>2023</v>
      </c>
      <c r="D1792" s="105" t="s">
        <v>1635</v>
      </c>
      <c r="E1792" s="5" t="str">
        <f>VLOOKUP(F1792,'Set up'!$A$2:$C$70,2,FALSE)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up'!$A$2:$C$70,3,FALSE)</f>
        <v>Cash</v>
      </c>
      <c r="J1792" s="5">
        <f>VLOOKUP(F1792,'Set up'!$A$2:$D$70,4,FALSE)</f>
        <v>0</v>
      </c>
      <c r="K1792" s="4">
        <f t="shared" si="441"/>
        <v>45096</v>
      </c>
      <c r="L1792" s="5">
        <f t="shared" si="442"/>
        <v>6</v>
      </c>
      <c r="M1792" s="5">
        <f t="shared" si="443"/>
        <v>2023</v>
      </c>
      <c r="N1792" s="6">
        <v>2400</v>
      </c>
      <c r="O1792" s="6">
        <f t="shared" si="457"/>
        <v>-2400</v>
      </c>
      <c r="P1792" s="6">
        <f t="shared" si="455"/>
        <v>0</v>
      </c>
      <c r="Q1792" s="7">
        <f t="shared" si="456"/>
        <v>3256148.1500000013</v>
      </c>
      <c r="R1792" s="44" t="str">
        <f>VLOOKUP(F1792,'Set up'!$A$2:$E$70,5,FALSE)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439"/>
        <v>6</v>
      </c>
      <c r="C1793" s="5">
        <f t="shared" si="440"/>
        <v>2023</v>
      </c>
      <c r="D1793" s="105" t="s">
        <v>1635</v>
      </c>
      <c r="E1793" s="5" t="str">
        <f>VLOOKUP(F1793,'Set up'!$A$2:$C$70,2,FALSE)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up'!$A$2:$C$70,3,FALSE)</f>
        <v>Cash</v>
      </c>
      <c r="J1793" s="5">
        <f>VLOOKUP(F1793,'Set up'!$A$2:$D$70,4,FALSE)</f>
        <v>0</v>
      </c>
      <c r="K1793" s="4">
        <f t="shared" si="441"/>
        <v>45096</v>
      </c>
      <c r="L1793" s="5">
        <f t="shared" si="442"/>
        <v>6</v>
      </c>
      <c r="M1793" s="5">
        <f t="shared" si="443"/>
        <v>2023</v>
      </c>
      <c r="N1793" s="6">
        <v>2150</v>
      </c>
      <c r="O1793" s="6">
        <f t="shared" si="457"/>
        <v>-2150</v>
      </c>
      <c r="P1793" s="6">
        <f t="shared" si="455"/>
        <v>0</v>
      </c>
      <c r="Q1793" s="7">
        <f t="shared" si="456"/>
        <v>3258298.1500000013</v>
      </c>
      <c r="R1793" s="44" t="str">
        <f>VLOOKUP(F1793,'Set up'!$A$2:$E$70,5,FALSE)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439"/>
        <v>6</v>
      </c>
      <c r="C1794" s="5">
        <f t="shared" si="440"/>
        <v>2023</v>
      </c>
      <c r="D1794" s="105" t="s">
        <v>1635</v>
      </c>
      <c r="E1794" s="5" t="str">
        <f>VLOOKUP(F1794,'Set up'!$A$2:$C$70,2,FALSE)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up'!$A$2:$C$70,3,FALSE)</f>
        <v>Cash</v>
      </c>
      <c r="J1794" s="5">
        <f>VLOOKUP(F1794,'Set up'!$A$2:$D$70,4,FALSE)</f>
        <v>0</v>
      </c>
      <c r="K1794" s="4">
        <f t="shared" si="441"/>
        <v>45096</v>
      </c>
      <c r="L1794" s="5">
        <f t="shared" si="442"/>
        <v>6</v>
      </c>
      <c r="M1794" s="5">
        <f t="shared" si="443"/>
        <v>2023</v>
      </c>
      <c r="N1794" s="6">
        <v>1100</v>
      </c>
      <c r="O1794" s="6">
        <f t="shared" si="457"/>
        <v>-1100</v>
      </c>
      <c r="P1794" s="6">
        <f t="shared" si="455"/>
        <v>0</v>
      </c>
      <c r="Q1794" s="7">
        <f t="shared" si="456"/>
        <v>3259398.1500000013</v>
      </c>
      <c r="R1794" s="44" t="str">
        <f>VLOOKUP(F1794,'Set up'!$A$2:$E$70,5,FALSE)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ref="B1795:B1858" si="458">MONTH(A1795)</f>
        <v>6</v>
      </c>
      <c r="C1795" s="5">
        <f t="shared" ref="C1795:C1858" si="459">YEAR(A1795)</f>
        <v>2023</v>
      </c>
      <c r="D1795" s="105" t="s">
        <v>1635</v>
      </c>
      <c r="E1795" s="5" t="str">
        <f>VLOOKUP(F1795,'Set up'!$A$2:$C$70,2,FALSE)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up'!$A$2:$C$70,3,FALSE)</f>
        <v>Cash</v>
      </c>
      <c r="J1795" s="5">
        <f>VLOOKUP(F1795,'Set up'!$A$2:$D$70,4,FALSE)</f>
        <v>0</v>
      </c>
      <c r="K1795" s="4">
        <f t="shared" ref="K1795:K1858" si="460">A1795+J1795</f>
        <v>45096</v>
      </c>
      <c r="L1795" s="5">
        <f t="shared" ref="L1795:L1858" si="461">MONTH(K1795)</f>
        <v>6</v>
      </c>
      <c r="M1795" s="5">
        <f t="shared" ref="M1795:M1858" si="462">YEAR(K1795)</f>
        <v>2023</v>
      </c>
      <c r="N1795" s="6">
        <v>180</v>
      </c>
      <c r="O1795" s="6">
        <f t="shared" si="457"/>
        <v>-180</v>
      </c>
      <c r="P1795" s="6">
        <f t="shared" si="455"/>
        <v>0</v>
      </c>
      <c r="Q1795" s="7">
        <f t="shared" si="456"/>
        <v>3259578.1500000013</v>
      </c>
      <c r="R1795" s="44" t="str">
        <f>VLOOKUP(F1795,'Set up'!$A$2:$E$70,5,FALSE)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458"/>
        <v>6</v>
      </c>
      <c r="C1796" s="5">
        <f t="shared" si="459"/>
        <v>2023</v>
      </c>
      <c r="D1796" s="105" t="s">
        <v>1635</v>
      </c>
      <c r="E1796" s="5" t="str">
        <f>VLOOKUP(F1796,'Set up'!$A$2:$C$70,2,FALSE)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up'!$A$2:$C$70,3,FALSE)</f>
        <v>Cash</v>
      </c>
      <c r="J1796" s="5">
        <f>VLOOKUP(F1796,'Set up'!$A$2:$D$70,4,FALSE)</f>
        <v>0</v>
      </c>
      <c r="K1796" s="4">
        <f t="shared" si="460"/>
        <v>45096</v>
      </c>
      <c r="L1796" s="5">
        <f t="shared" si="461"/>
        <v>6</v>
      </c>
      <c r="M1796" s="5">
        <f t="shared" si="462"/>
        <v>2023</v>
      </c>
      <c r="N1796" s="6">
        <v>110.4</v>
      </c>
      <c r="O1796" s="6">
        <f t="shared" si="457"/>
        <v>-110.4</v>
      </c>
      <c r="P1796" s="6">
        <f t="shared" si="455"/>
        <v>0</v>
      </c>
      <c r="Q1796" s="7">
        <f t="shared" si="456"/>
        <v>3259688.5500000012</v>
      </c>
      <c r="R1796" s="44" t="str">
        <f>VLOOKUP(F1796,'Set up'!$A$2:$E$70,5,FALSE)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458"/>
        <v>6</v>
      </c>
      <c r="C1797" s="5">
        <f t="shared" si="459"/>
        <v>2023</v>
      </c>
      <c r="D1797" s="105" t="s">
        <v>1635</v>
      </c>
      <c r="E1797" s="5" t="str">
        <f>VLOOKUP(F1797,'Set up'!$A$2:$C$70,2,FALSE)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up'!$A$2:$C$70,3,FALSE)</f>
        <v>Cash</v>
      </c>
      <c r="J1797" s="5">
        <f>VLOOKUP(F1797,'Set up'!$A$2:$D$70,4,FALSE)</f>
        <v>0</v>
      </c>
      <c r="K1797" s="4">
        <f t="shared" si="460"/>
        <v>45096</v>
      </c>
      <c r="L1797" s="5">
        <f t="shared" si="461"/>
        <v>6</v>
      </c>
      <c r="M1797" s="5">
        <f t="shared" si="462"/>
        <v>2023</v>
      </c>
      <c r="N1797" s="6">
        <v>1108.4000000000001</v>
      </c>
      <c r="O1797" s="6">
        <f t="shared" si="457"/>
        <v>-1108.4000000000001</v>
      </c>
      <c r="P1797" s="6">
        <f t="shared" si="455"/>
        <v>0</v>
      </c>
      <c r="Q1797" s="7">
        <f t="shared" si="456"/>
        <v>3260796.9500000011</v>
      </c>
      <c r="R1797" s="44" t="str">
        <f>VLOOKUP(F1797,'Set up'!$A$2:$E$70,5,FALSE)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458"/>
        <v>6</v>
      </c>
      <c r="C1798" s="5">
        <f t="shared" si="459"/>
        <v>2023</v>
      </c>
      <c r="D1798" s="105" t="s">
        <v>1635</v>
      </c>
      <c r="E1798" s="5" t="str">
        <f>VLOOKUP(F1798,'Set up'!$A$2:$C$70,2,FALSE)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up'!$A$2:$C$70,3,FALSE)</f>
        <v>Cash</v>
      </c>
      <c r="J1798" s="5">
        <f>VLOOKUP(F1798,'Set up'!$A$2:$D$70,4,FALSE)</f>
        <v>0</v>
      </c>
      <c r="K1798" s="4">
        <f t="shared" si="460"/>
        <v>45096</v>
      </c>
      <c r="L1798" s="5">
        <f t="shared" si="461"/>
        <v>6</v>
      </c>
      <c r="M1798" s="5">
        <f t="shared" si="462"/>
        <v>2023</v>
      </c>
      <c r="N1798" s="6">
        <v>525</v>
      </c>
      <c r="O1798" s="6">
        <f t="shared" si="457"/>
        <v>-525</v>
      </c>
      <c r="P1798" s="6">
        <f t="shared" si="455"/>
        <v>0</v>
      </c>
      <c r="Q1798" s="7">
        <f t="shared" si="456"/>
        <v>3261321.9500000011</v>
      </c>
      <c r="R1798" s="44" t="str">
        <f>VLOOKUP(F1798,'Set up'!$A$2:$E$70,5,FALSE)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458"/>
        <v>6</v>
      </c>
      <c r="C1799" s="5">
        <f t="shared" si="459"/>
        <v>2023</v>
      </c>
      <c r="D1799" s="105" t="s">
        <v>1635</v>
      </c>
      <c r="E1799" s="5" t="str">
        <f>VLOOKUP(F1799,'Set up'!$A$2:$C$70,2,FALSE)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up'!$A$2:$C$70,3,FALSE)</f>
        <v>Cash</v>
      </c>
      <c r="J1799" s="5">
        <f>VLOOKUP(F1799,'Set up'!$A$2:$D$70,4,FALSE)</f>
        <v>0</v>
      </c>
      <c r="K1799" s="4">
        <f t="shared" si="460"/>
        <v>45096</v>
      </c>
      <c r="L1799" s="5">
        <f t="shared" si="461"/>
        <v>6</v>
      </c>
      <c r="M1799" s="5">
        <f t="shared" si="462"/>
        <v>2023</v>
      </c>
      <c r="N1799" s="6">
        <v>280</v>
      </c>
      <c r="O1799" s="6">
        <f t="shared" si="457"/>
        <v>-280</v>
      </c>
      <c r="P1799" s="6">
        <f t="shared" si="455"/>
        <v>0</v>
      </c>
      <c r="Q1799" s="7">
        <f t="shared" si="456"/>
        <v>3261601.9500000011</v>
      </c>
      <c r="R1799" s="44" t="str">
        <f>VLOOKUP(F1799,'Set up'!$A$2:$E$70,5,FALSE)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458"/>
        <v>6</v>
      </c>
      <c r="C1800" s="5">
        <f t="shared" si="459"/>
        <v>2023</v>
      </c>
      <c r="D1800" s="105" t="s">
        <v>1641</v>
      </c>
      <c r="E1800" s="5" t="str">
        <f>VLOOKUP(F1800,'Set up'!$A$2:$C$70,2,FALSE)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up'!$A$2:$C$70,3,FALSE)</f>
        <v>30</v>
      </c>
      <c r="J1800" s="5">
        <f>VLOOKUP(F1800,'Set up'!$A$2:$D$70,4,FALSE)</f>
        <v>30</v>
      </c>
      <c r="K1800" s="4">
        <f t="shared" si="460"/>
        <v>45126</v>
      </c>
      <c r="L1800" s="5">
        <f t="shared" si="461"/>
        <v>7</v>
      </c>
      <c r="M1800" s="5">
        <f t="shared" si="462"/>
        <v>2023</v>
      </c>
      <c r="N1800" s="6">
        <v>7480</v>
      </c>
      <c r="O1800" s="6">
        <f t="shared" si="457"/>
        <v>-7480</v>
      </c>
      <c r="P1800" s="6">
        <f t="shared" si="455"/>
        <v>0</v>
      </c>
      <c r="Q1800" s="7">
        <f t="shared" si="456"/>
        <v>3269081.9500000011</v>
      </c>
      <c r="R1800" s="44" t="str">
        <f>VLOOKUP(F1800,'Set up'!$A$2:$E$70,5,FALSE)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458"/>
        <v>6</v>
      </c>
      <c r="C1801" s="5">
        <f t="shared" si="459"/>
        <v>2023</v>
      </c>
      <c r="D1801" s="105" t="s">
        <v>1641</v>
      </c>
      <c r="E1801" s="5" t="str">
        <f>VLOOKUP(F1801,'Set up'!$A$2:$C$70,2,FALSE)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up'!$A$2:$C$70,3,FALSE)</f>
        <v>30</v>
      </c>
      <c r="J1801" s="5">
        <f>VLOOKUP(F1801,'Set up'!$A$2:$D$70,4,FALSE)</f>
        <v>30</v>
      </c>
      <c r="K1801" s="4">
        <f t="shared" si="460"/>
        <v>45126</v>
      </c>
      <c r="L1801" s="5">
        <f t="shared" si="461"/>
        <v>7</v>
      </c>
      <c r="M1801" s="5">
        <f t="shared" si="462"/>
        <v>2023</v>
      </c>
      <c r="N1801" s="6">
        <v>1263.5999999999999</v>
      </c>
      <c r="O1801" s="6">
        <f t="shared" si="457"/>
        <v>-1263.5999999999999</v>
      </c>
      <c r="P1801" s="6">
        <f t="shared" si="455"/>
        <v>0</v>
      </c>
      <c r="Q1801" s="7">
        <f t="shared" si="456"/>
        <v>3270345.5500000012</v>
      </c>
      <c r="R1801" s="44" t="str">
        <f>VLOOKUP(F1801,'Set up'!$A$2:$E$70,5,FALSE)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458"/>
        <v>6</v>
      </c>
      <c r="C1802" s="5">
        <f t="shared" si="459"/>
        <v>2023</v>
      </c>
      <c r="D1802" s="105" t="s">
        <v>1641</v>
      </c>
      <c r="E1802" s="5" t="str">
        <f>VLOOKUP(F1802,'Set up'!$A$2:$C$70,2,FALSE)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up'!$A$2:$C$70,3,FALSE)</f>
        <v>30</v>
      </c>
      <c r="J1802" s="5">
        <f>VLOOKUP(F1802,'Set up'!$A$2:$D$70,4,FALSE)</f>
        <v>30</v>
      </c>
      <c r="K1802" s="4">
        <f t="shared" si="460"/>
        <v>45126</v>
      </c>
      <c r="L1802" s="5">
        <f t="shared" si="461"/>
        <v>7</v>
      </c>
      <c r="M1802" s="5">
        <f t="shared" si="462"/>
        <v>2023</v>
      </c>
      <c r="N1802" s="6">
        <v>1045.2</v>
      </c>
      <c r="O1802" s="6">
        <f t="shared" si="457"/>
        <v>-1045.2</v>
      </c>
      <c r="P1802" s="6">
        <f t="shared" si="455"/>
        <v>0</v>
      </c>
      <c r="Q1802" s="7">
        <f t="shared" si="456"/>
        <v>3271390.7500000014</v>
      </c>
      <c r="R1802" s="44" t="str">
        <f>VLOOKUP(F1802,'Set up'!$A$2:$E$70,5,FALSE)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458"/>
        <v>6</v>
      </c>
      <c r="C1803" s="5">
        <f t="shared" si="459"/>
        <v>2023</v>
      </c>
      <c r="D1803" s="105" t="s">
        <v>1641</v>
      </c>
      <c r="E1803" s="5" t="str">
        <f>VLOOKUP(F1803,'Set up'!$A$2:$C$70,2,FALSE)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up'!$A$2:$C$70,3,FALSE)</f>
        <v>30</v>
      </c>
      <c r="J1803" s="5">
        <f>VLOOKUP(F1803,'Set up'!$A$2:$D$70,4,FALSE)</f>
        <v>30</v>
      </c>
      <c r="K1803" s="4">
        <f t="shared" si="460"/>
        <v>45126</v>
      </c>
      <c r="L1803" s="5">
        <f t="shared" si="461"/>
        <v>7</v>
      </c>
      <c r="M1803" s="5">
        <f t="shared" si="462"/>
        <v>2023</v>
      </c>
      <c r="N1803" s="6">
        <v>144</v>
      </c>
      <c r="O1803" s="6">
        <f t="shared" si="457"/>
        <v>-144</v>
      </c>
      <c r="P1803" s="6">
        <f t="shared" si="455"/>
        <v>0</v>
      </c>
      <c r="Q1803" s="7">
        <f t="shared" si="456"/>
        <v>3271534.7500000014</v>
      </c>
      <c r="R1803" s="44" t="str">
        <f>VLOOKUP(F1803,'Set up'!$A$2:$E$70,5,FALSE)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si="458"/>
        <v>6</v>
      </c>
      <c r="C1804" s="5">
        <f t="shared" si="459"/>
        <v>2023</v>
      </c>
      <c r="D1804" s="105" t="s">
        <v>1641</v>
      </c>
      <c r="E1804" s="5" t="str">
        <f>VLOOKUP(F1804,'Set up'!$A$2:$C$70,2,FALSE)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up'!$A$2:$C$70,3,FALSE)</f>
        <v>30</v>
      </c>
      <c r="J1804" s="5">
        <f>VLOOKUP(F1804,'Set up'!$A$2:$D$70,4,FALSE)</f>
        <v>30</v>
      </c>
      <c r="K1804" s="4">
        <f t="shared" si="460"/>
        <v>45126</v>
      </c>
      <c r="L1804" s="5">
        <f t="shared" si="461"/>
        <v>7</v>
      </c>
      <c r="M1804" s="5">
        <f t="shared" si="462"/>
        <v>2023</v>
      </c>
      <c r="N1804" s="6">
        <v>190</v>
      </c>
      <c r="O1804" s="6">
        <f t="shared" si="457"/>
        <v>-190</v>
      </c>
      <c r="P1804" s="6">
        <f t="shared" si="455"/>
        <v>0</v>
      </c>
      <c r="Q1804" s="7">
        <f t="shared" si="456"/>
        <v>3271724.7500000014</v>
      </c>
      <c r="R1804" s="44" t="str">
        <f>VLOOKUP(F1804,'Set up'!$A$2:$E$70,5,FALSE)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458"/>
        <v>6</v>
      </c>
      <c r="C1805" s="5">
        <f t="shared" si="459"/>
        <v>2023</v>
      </c>
      <c r="D1805" s="105" t="s">
        <v>1641</v>
      </c>
      <c r="E1805" s="5" t="str">
        <f>VLOOKUP(F1805,'Set up'!$A$2:$C$70,2,FALSE)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up'!$A$2:$C$70,3,FALSE)</f>
        <v>30</v>
      </c>
      <c r="J1805" s="5">
        <f>VLOOKUP(F1805,'Set up'!$A$2:$D$70,4,FALSE)</f>
        <v>30</v>
      </c>
      <c r="K1805" s="4">
        <f t="shared" si="460"/>
        <v>45126</v>
      </c>
      <c r="L1805" s="5">
        <f t="shared" si="461"/>
        <v>7</v>
      </c>
      <c r="M1805" s="5">
        <f t="shared" si="462"/>
        <v>2023</v>
      </c>
      <c r="N1805" s="6">
        <v>187.5</v>
      </c>
      <c r="O1805" s="6">
        <f t="shared" si="457"/>
        <v>-187.5</v>
      </c>
      <c r="P1805" s="6">
        <f t="shared" si="455"/>
        <v>0</v>
      </c>
      <c r="Q1805" s="7">
        <f t="shared" si="456"/>
        <v>3271912.2500000014</v>
      </c>
      <c r="R1805" s="44" t="str">
        <f>VLOOKUP(F1805,'Set up'!$A$2:$E$70,5,FALSE)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458"/>
        <v>6</v>
      </c>
      <c r="C1806" s="5">
        <f t="shared" si="459"/>
        <v>2023</v>
      </c>
      <c r="D1806" s="105" t="s">
        <v>1641</v>
      </c>
      <c r="E1806" s="5" t="str">
        <f>VLOOKUP(F1806,'Set up'!$A$2:$C$70,2,FALSE)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up'!$A$2:$C$70,3,FALSE)</f>
        <v>30</v>
      </c>
      <c r="J1806" s="5">
        <f>VLOOKUP(F1806,'Set up'!$A$2:$D$70,4,FALSE)</f>
        <v>30</v>
      </c>
      <c r="K1806" s="4">
        <f t="shared" si="460"/>
        <v>45126</v>
      </c>
      <c r="L1806" s="5">
        <f t="shared" si="461"/>
        <v>7</v>
      </c>
      <c r="M1806" s="5">
        <f t="shared" si="462"/>
        <v>2023</v>
      </c>
      <c r="N1806" s="6">
        <v>520</v>
      </c>
      <c r="O1806" s="6">
        <f t="shared" si="457"/>
        <v>-520</v>
      </c>
      <c r="P1806" s="6">
        <f t="shared" si="455"/>
        <v>0</v>
      </c>
      <c r="Q1806" s="7">
        <f t="shared" si="456"/>
        <v>3272432.2500000014</v>
      </c>
      <c r="R1806" s="44" t="str">
        <f>VLOOKUP(F1806,'Set up'!$A$2:$E$70,5,FALSE)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458"/>
        <v>6</v>
      </c>
      <c r="C1807" s="5">
        <f t="shared" si="459"/>
        <v>2023</v>
      </c>
      <c r="D1807" s="105" t="s">
        <v>1641</v>
      </c>
      <c r="E1807" s="5" t="str">
        <f>VLOOKUP(F1807,'Set up'!$A$2:$C$70,2,FALSE)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up'!$A$2:$C$70,3,FALSE)</f>
        <v>30</v>
      </c>
      <c r="J1807" s="5">
        <f>VLOOKUP(F1807,'Set up'!$A$2:$D$70,4,FALSE)</f>
        <v>30</v>
      </c>
      <c r="K1807" s="4">
        <f t="shared" si="460"/>
        <v>45126</v>
      </c>
      <c r="L1807" s="5">
        <f t="shared" si="461"/>
        <v>7</v>
      </c>
      <c r="M1807" s="5">
        <f t="shared" si="462"/>
        <v>2023</v>
      </c>
      <c r="N1807" s="6">
        <v>930</v>
      </c>
      <c r="O1807" s="6">
        <f t="shared" si="457"/>
        <v>-930</v>
      </c>
      <c r="P1807" s="6">
        <f t="shared" si="455"/>
        <v>0</v>
      </c>
      <c r="Q1807" s="7">
        <f t="shared" si="456"/>
        <v>3273362.2500000014</v>
      </c>
      <c r="R1807" s="44" t="str">
        <f>VLOOKUP(F1807,'Set up'!$A$2:$E$70,5,FALSE)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458"/>
        <v>6</v>
      </c>
      <c r="C1808" s="5">
        <f t="shared" si="459"/>
        <v>2023</v>
      </c>
      <c r="D1808" s="105" t="s">
        <v>1646</v>
      </c>
      <c r="E1808" s="5" t="str">
        <f>VLOOKUP(F1808,'Set up'!$A$2:$C$70,2,FALSE)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up'!$A$2:$C$70,3,FALSE)</f>
        <v>Cash</v>
      </c>
      <c r="J1808" s="5">
        <f>VLOOKUP(F1808,'Set up'!$A$2:$D$70,4,FALSE)</f>
        <v>0</v>
      </c>
      <c r="K1808" s="4">
        <f t="shared" si="460"/>
        <v>45097</v>
      </c>
      <c r="L1808" s="5">
        <f t="shared" si="461"/>
        <v>6</v>
      </c>
      <c r="M1808" s="5">
        <f t="shared" si="462"/>
        <v>2023</v>
      </c>
      <c r="N1808" s="6">
        <v>3740</v>
      </c>
      <c r="O1808" s="6">
        <f t="shared" ref="O1808:O1815" si="463">-N1808</f>
        <v>-3740</v>
      </c>
      <c r="P1808" s="6">
        <f t="shared" si="455"/>
        <v>0</v>
      </c>
      <c r="Q1808" s="7">
        <f t="shared" si="456"/>
        <v>3277102.2500000014</v>
      </c>
      <c r="R1808" s="44" t="str">
        <f>VLOOKUP(F1808,'Set up'!$A$2:$E$70,5,FALSE)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458"/>
        <v>6</v>
      </c>
      <c r="C1809" s="5">
        <f t="shared" si="459"/>
        <v>2023</v>
      </c>
      <c r="D1809" s="105" t="s">
        <v>1644</v>
      </c>
      <c r="E1809" s="5" t="str">
        <f>VLOOKUP(F1809,'Set up'!$A$2:$C$70,2,FALSE)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up'!$A$2:$C$70,3,FALSE)</f>
        <v>Cash</v>
      </c>
      <c r="J1809" s="5">
        <f>VLOOKUP(F1809,'Set up'!$A$2:$D$70,4,FALSE)</f>
        <v>0</v>
      </c>
      <c r="K1809" s="4">
        <f t="shared" si="460"/>
        <v>45097</v>
      </c>
      <c r="L1809" s="5">
        <f t="shared" si="461"/>
        <v>6</v>
      </c>
      <c r="M1809" s="5">
        <f t="shared" si="462"/>
        <v>2023</v>
      </c>
      <c r="N1809" s="6">
        <v>160</v>
      </c>
      <c r="O1809" s="6">
        <f t="shared" si="463"/>
        <v>-160</v>
      </c>
      <c r="P1809" s="6">
        <f t="shared" si="455"/>
        <v>0</v>
      </c>
      <c r="Q1809" s="7">
        <f t="shared" si="456"/>
        <v>3277262.2500000014</v>
      </c>
      <c r="R1809" s="44" t="str">
        <f>VLOOKUP(F1809,'Set up'!$A$2:$E$70,5,FALSE)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458"/>
        <v>6</v>
      </c>
      <c r="C1810" s="5">
        <f t="shared" si="459"/>
        <v>2023</v>
      </c>
      <c r="D1810" s="88" t="s">
        <v>1644</v>
      </c>
      <c r="E1810" s="5" t="str">
        <f>VLOOKUP(F1810,'Set up'!$A$2:$C$70,2,FALSE)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up'!$A$2:$C$70,3,FALSE)</f>
        <v>Cash</v>
      </c>
      <c r="J1810" s="5">
        <f>VLOOKUP(F1810,'Set up'!$A$2:$D$70,4,FALSE)</f>
        <v>0</v>
      </c>
      <c r="K1810" s="4">
        <f t="shared" si="460"/>
        <v>45097</v>
      </c>
      <c r="L1810" s="5">
        <f t="shared" si="461"/>
        <v>6</v>
      </c>
      <c r="M1810" s="5">
        <f t="shared" si="462"/>
        <v>2023</v>
      </c>
      <c r="N1810" s="6">
        <v>165</v>
      </c>
      <c r="O1810" s="6">
        <f t="shared" si="463"/>
        <v>-165</v>
      </c>
      <c r="P1810" s="6">
        <f t="shared" si="455"/>
        <v>0</v>
      </c>
      <c r="Q1810" s="7">
        <f t="shared" si="456"/>
        <v>3277427.2500000014</v>
      </c>
      <c r="R1810" s="44" t="str">
        <f>VLOOKUP(F1810,'Set up'!$A$2:$E$70,5,FALSE)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458"/>
        <v>6</v>
      </c>
      <c r="C1811" s="5">
        <f t="shared" si="459"/>
        <v>2023</v>
      </c>
      <c r="D1811" s="105" t="s">
        <v>1644</v>
      </c>
      <c r="E1811" s="5" t="str">
        <f>VLOOKUP(F1811,'Set up'!$A$2:$C$70,2,FALSE)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up'!$A$2:$C$70,3,FALSE)</f>
        <v>Cash</v>
      </c>
      <c r="J1811" s="5">
        <f>VLOOKUP(F1811,'Set up'!$A$2:$D$70,4,FALSE)</f>
        <v>0</v>
      </c>
      <c r="K1811" s="4">
        <f t="shared" si="460"/>
        <v>45097</v>
      </c>
      <c r="L1811" s="5">
        <f t="shared" si="461"/>
        <v>6</v>
      </c>
      <c r="M1811" s="5">
        <f t="shared" si="462"/>
        <v>2023</v>
      </c>
      <c r="N1811" s="6">
        <v>160</v>
      </c>
      <c r="O1811" s="6">
        <f t="shared" si="463"/>
        <v>-160</v>
      </c>
      <c r="P1811" s="6">
        <f t="shared" si="455"/>
        <v>0</v>
      </c>
      <c r="Q1811" s="7">
        <f t="shared" si="456"/>
        <v>3277587.2500000014</v>
      </c>
      <c r="R1811" s="44" t="str">
        <f>VLOOKUP(F1811,'Set up'!$A$2:$E$70,5,FALSE)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458"/>
        <v>6</v>
      </c>
      <c r="C1812" s="5">
        <f t="shared" si="459"/>
        <v>2023</v>
      </c>
      <c r="D1812" s="105" t="s">
        <v>1647</v>
      </c>
      <c r="E1812" s="5" t="str">
        <f>VLOOKUP(F1812,'Set up'!$A$2:$C$70,2,FALSE)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up'!$A$2:$C$70,3,FALSE)</f>
        <v>30</v>
      </c>
      <c r="J1812" s="5">
        <f>VLOOKUP(F1812,'Set up'!$A$2:$D$70,4,FALSE)</f>
        <v>30</v>
      </c>
      <c r="K1812" s="4">
        <f t="shared" si="460"/>
        <v>45128</v>
      </c>
      <c r="L1812" s="5">
        <f t="shared" si="461"/>
        <v>7</v>
      </c>
      <c r="M1812" s="5">
        <f t="shared" si="462"/>
        <v>2023</v>
      </c>
      <c r="N1812" s="6">
        <v>390</v>
      </c>
      <c r="O1812" s="6">
        <f t="shared" si="463"/>
        <v>-390</v>
      </c>
      <c r="P1812" s="6">
        <f t="shared" si="455"/>
        <v>0</v>
      </c>
      <c r="Q1812" s="7">
        <f t="shared" si="456"/>
        <v>3277977.2500000014</v>
      </c>
      <c r="R1812" s="44" t="str">
        <f>VLOOKUP(F1812,'Set up'!$A$2:$E$70,5,FALSE)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458"/>
        <v>6</v>
      </c>
      <c r="C1813" s="5">
        <f t="shared" si="459"/>
        <v>2023</v>
      </c>
      <c r="D1813" s="105" t="s">
        <v>1648</v>
      </c>
      <c r="E1813" s="5" t="str">
        <f>VLOOKUP(F1813,'Set up'!$A$2:$C$70,2,FALSE)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up'!$A$2:$C$70,3,FALSE)</f>
        <v>Cash</v>
      </c>
      <c r="J1813" s="5">
        <f>VLOOKUP(F1813,'Set up'!$A$2:$D$70,4,FALSE)</f>
        <v>0</v>
      </c>
      <c r="K1813" s="4">
        <f t="shared" si="460"/>
        <v>45099</v>
      </c>
      <c r="L1813" s="5">
        <f t="shared" si="461"/>
        <v>6</v>
      </c>
      <c r="M1813" s="5">
        <f t="shared" si="462"/>
        <v>2023</v>
      </c>
      <c r="N1813" s="6">
        <v>1870</v>
      </c>
      <c r="O1813" s="6">
        <f t="shared" si="463"/>
        <v>-1870</v>
      </c>
      <c r="P1813" s="6">
        <f t="shared" si="455"/>
        <v>0</v>
      </c>
      <c r="Q1813" s="7">
        <f t="shared" si="456"/>
        <v>3279847.2500000014</v>
      </c>
      <c r="R1813" s="44" t="str">
        <f>VLOOKUP(F1813,'Set up'!$A$2:$E$70,5,FALSE)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458"/>
        <v>6</v>
      </c>
      <c r="C1814" s="5">
        <f t="shared" si="459"/>
        <v>2023</v>
      </c>
      <c r="D1814" s="105" t="s">
        <v>1648</v>
      </c>
      <c r="E1814" s="5" t="str">
        <f>VLOOKUP(F1814,'Set up'!$A$2:$C$70,2,FALSE)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up'!$A$2:$C$70,3,FALSE)</f>
        <v>Cash</v>
      </c>
      <c r="J1814" s="5">
        <f>VLOOKUP(F1814,'Set up'!$A$2:$D$70,4,FALSE)</f>
        <v>0</v>
      </c>
      <c r="K1814" s="4">
        <f t="shared" si="460"/>
        <v>45099</v>
      </c>
      <c r="L1814" s="5">
        <f t="shared" si="461"/>
        <v>6</v>
      </c>
      <c r="M1814" s="5">
        <f t="shared" si="462"/>
        <v>2023</v>
      </c>
      <c r="N1814" s="6">
        <v>510</v>
      </c>
      <c r="O1814" s="6">
        <f t="shared" si="463"/>
        <v>-510</v>
      </c>
      <c r="P1814" s="6">
        <f t="shared" si="455"/>
        <v>0</v>
      </c>
      <c r="Q1814" s="7">
        <f t="shared" si="456"/>
        <v>3280357.2500000014</v>
      </c>
      <c r="R1814" s="44" t="str">
        <f>VLOOKUP(F1814,'Set up'!$A$2:$E$70,5,FALSE)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458"/>
        <v>6</v>
      </c>
      <c r="C1815" s="5">
        <f t="shared" si="459"/>
        <v>2023</v>
      </c>
      <c r="D1815" s="105" t="s">
        <v>1648</v>
      </c>
      <c r="E1815" s="5" t="str">
        <f>VLOOKUP(F1815,'Set up'!$A$2:$C$70,2,FALSE)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up'!$A$2:$C$70,3,FALSE)</f>
        <v>Cash</v>
      </c>
      <c r="J1815" s="5">
        <f>VLOOKUP(F1815,'Set up'!$A$2:$D$70,4,FALSE)</f>
        <v>0</v>
      </c>
      <c r="K1815" s="4">
        <f t="shared" si="460"/>
        <v>45099</v>
      </c>
      <c r="L1815" s="5">
        <f t="shared" si="461"/>
        <v>6</v>
      </c>
      <c r="M1815" s="5">
        <f t="shared" si="462"/>
        <v>2023</v>
      </c>
      <c r="N1815" s="6">
        <v>95</v>
      </c>
      <c r="O1815" s="6">
        <f t="shared" si="463"/>
        <v>-95</v>
      </c>
      <c r="P1815" s="6">
        <f t="shared" si="455"/>
        <v>0</v>
      </c>
      <c r="Q1815" s="7">
        <f t="shared" si="456"/>
        <v>3280452.2500000014</v>
      </c>
      <c r="R1815" s="44" t="str">
        <f>VLOOKUP(F1815,'Set up'!$A$2:$E$70,5,FALSE)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458"/>
        <v>6</v>
      </c>
      <c r="C1816" s="5">
        <f t="shared" si="459"/>
        <v>2023</v>
      </c>
      <c r="D1816" s="105" t="s">
        <v>1649</v>
      </c>
      <c r="E1816" s="5" t="str">
        <f>VLOOKUP(F1816,'Set up'!$A$2:$C$70,2,FALSE)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up'!$A$2:$C$70,3,FALSE)</f>
        <v>Cash</v>
      </c>
      <c r="J1816" s="5">
        <f>VLOOKUP(F1816,'Set up'!$A$2:$D$70,4,FALSE)</f>
        <v>0</v>
      </c>
      <c r="K1816" s="4">
        <f t="shared" si="460"/>
        <v>45099</v>
      </c>
      <c r="L1816" s="5">
        <f t="shared" si="461"/>
        <v>6</v>
      </c>
      <c r="M1816" s="5">
        <f t="shared" si="462"/>
        <v>2023</v>
      </c>
      <c r="N1816" s="6">
        <v>420</v>
      </c>
      <c r="O1816" s="6">
        <f t="shared" ref="O1816:O1817" si="464">-N1816</f>
        <v>-420</v>
      </c>
      <c r="P1816" s="6">
        <f t="shared" si="455"/>
        <v>0</v>
      </c>
      <c r="Q1816" s="7">
        <f t="shared" si="456"/>
        <v>3280872.2500000014</v>
      </c>
      <c r="R1816" s="44" t="str">
        <f>VLOOKUP(F1816,'Set up'!$A$2:$E$70,5,FALSE)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458"/>
        <v>6</v>
      </c>
      <c r="C1817" s="5">
        <f t="shared" si="459"/>
        <v>2023</v>
      </c>
      <c r="D1817" s="105" t="s">
        <v>1649</v>
      </c>
      <c r="E1817" s="5" t="str">
        <f>VLOOKUP(F1817,'Set up'!$A$2:$C$70,2,FALSE)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up'!$A$2:$C$70,3,FALSE)</f>
        <v>Cash</v>
      </c>
      <c r="J1817" s="5">
        <f>VLOOKUP(F1817,'Set up'!$A$2:$D$70,4,FALSE)</f>
        <v>0</v>
      </c>
      <c r="K1817" s="4">
        <f t="shared" si="460"/>
        <v>45099</v>
      </c>
      <c r="L1817" s="5">
        <f t="shared" si="461"/>
        <v>6</v>
      </c>
      <c r="M1817" s="5">
        <f t="shared" si="462"/>
        <v>2023</v>
      </c>
      <c r="N1817" s="6">
        <v>375</v>
      </c>
      <c r="O1817" s="6">
        <f t="shared" si="464"/>
        <v>-375</v>
      </c>
      <c r="P1817" s="6">
        <f t="shared" si="455"/>
        <v>0</v>
      </c>
      <c r="Q1817" s="7">
        <f t="shared" si="456"/>
        <v>3281247.2500000014</v>
      </c>
      <c r="R1817" s="44" t="str">
        <f>VLOOKUP(F1817,'Set up'!$A$2:$E$70,5,FALSE)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458"/>
        <v>6</v>
      </c>
      <c r="C1818" s="5">
        <f t="shared" si="459"/>
        <v>2023</v>
      </c>
      <c r="D1818" s="88" t="s">
        <v>1650</v>
      </c>
      <c r="E1818" s="5" t="str">
        <f>VLOOKUP(F1818,'Set up'!$A$2:$C$70,2,FALSE)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up'!$A$2:$C$70,3,FALSE)</f>
        <v>Cash</v>
      </c>
      <c r="J1818" s="5">
        <f>VLOOKUP(F1818,'Set up'!$A$2:$D$70,4,FALSE)</f>
        <v>0</v>
      </c>
      <c r="K1818" s="4">
        <f t="shared" si="460"/>
        <v>45101</v>
      </c>
      <c r="L1818" s="5">
        <f t="shared" si="461"/>
        <v>6</v>
      </c>
      <c r="M1818" s="5">
        <f t="shared" si="462"/>
        <v>2023</v>
      </c>
      <c r="N1818" s="6">
        <v>1032</v>
      </c>
      <c r="O1818" s="6">
        <f>-N1818</f>
        <v>-1032</v>
      </c>
      <c r="P1818" s="6">
        <f t="shared" si="455"/>
        <v>0</v>
      </c>
      <c r="Q1818" s="7">
        <f t="shared" si="456"/>
        <v>3282279.2500000014</v>
      </c>
      <c r="R1818" s="44" t="str">
        <f>VLOOKUP(F1818,'Set up'!$A$2:$E$70,5,FALSE)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458"/>
        <v>6</v>
      </c>
      <c r="C1819" s="5">
        <f t="shared" si="459"/>
        <v>2023</v>
      </c>
      <c r="D1819" s="88" t="s">
        <v>1650</v>
      </c>
      <c r="E1819" s="5" t="str">
        <f>VLOOKUP(F1819,'Set up'!$A$2:$C$70,2,FALSE)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up'!$A$2:$C$70,3,FALSE)</f>
        <v>Cash</v>
      </c>
      <c r="J1819" s="5">
        <f>VLOOKUP(F1819,'Set up'!$A$2:$D$70,4,FALSE)</f>
        <v>0</v>
      </c>
      <c r="K1819" s="4">
        <f t="shared" si="460"/>
        <v>45101</v>
      </c>
      <c r="L1819" s="5">
        <f t="shared" si="461"/>
        <v>6</v>
      </c>
      <c r="M1819" s="5">
        <f t="shared" si="462"/>
        <v>2023</v>
      </c>
      <c r="N1819" s="6">
        <v>160</v>
      </c>
      <c r="O1819" s="6">
        <f>-N1819</f>
        <v>-160</v>
      </c>
      <c r="P1819" s="6">
        <f t="shared" si="455"/>
        <v>0</v>
      </c>
      <c r="Q1819" s="7">
        <f t="shared" si="456"/>
        <v>3282439.2500000014</v>
      </c>
      <c r="R1819" s="44" t="str">
        <f>VLOOKUP(F1819,'Set up'!$A$2:$E$70,5,FALSE)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458"/>
        <v>6</v>
      </c>
      <c r="C1820" s="5">
        <f t="shared" si="459"/>
        <v>2023</v>
      </c>
      <c r="D1820" s="88" t="s">
        <v>1651</v>
      </c>
      <c r="E1820" s="5" t="str">
        <f>VLOOKUP(F1820,'Set up'!$A$2:$C$70,2,FALSE)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up'!$A$2:$C$70,3,FALSE)</f>
        <v>Cash</v>
      </c>
      <c r="J1820" s="5">
        <f>VLOOKUP(F1820,'Set up'!$A$2:$D$70,4,FALSE)</f>
        <v>0</v>
      </c>
      <c r="K1820" s="4">
        <f t="shared" si="460"/>
        <v>45101</v>
      </c>
      <c r="L1820" s="5">
        <f t="shared" si="461"/>
        <v>6</v>
      </c>
      <c r="M1820" s="5">
        <f t="shared" si="462"/>
        <v>2023</v>
      </c>
      <c r="N1820" s="6">
        <v>3652</v>
      </c>
      <c r="O1820" s="6">
        <f>-1988.1-1000-663.9</f>
        <v>-3652</v>
      </c>
      <c r="P1820" s="6">
        <f t="shared" si="455"/>
        <v>0</v>
      </c>
      <c r="Q1820" s="7">
        <f t="shared" si="456"/>
        <v>3286091.2500000014</v>
      </c>
      <c r="R1820" s="44" t="str">
        <f>VLOOKUP(F1820,'Set up'!$A$2:$E$70,5,FALSE)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458"/>
        <v>6</v>
      </c>
      <c r="C1821" s="5">
        <f t="shared" si="459"/>
        <v>2023</v>
      </c>
      <c r="D1821" s="88" t="s">
        <v>1651</v>
      </c>
      <c r="E1821" s="5" t="str">
        <f>VLOOKUP(F1821,'Set up'!$A$2:$C$70,2,FALSE)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up'!$A$2:$C$70,3,FALSE)</f>
        <v>Cash</v>
      </c>
      <c r="J1821" s="5">
        <f>VLOOKUP(F1821,'Set up'!$A$2:$D$70,4,FALSE)</f>
        <v>0</v>
      </c>
      <c r="K1821" s="4">
        <f t="shared" si="460"/>
        <v>45101</v>
      </c>
      <c r="L1821" s="5">
        <f t="shared" si="461"/>
        <v>6</v>
      </c>
      <c r="M1821" s="5">
        <f t="shared" si="462"/>
        <v>2023</v>
      </c>
      <c r="N1821" s="6">
        <v>842.4</v>
      </c>
      <c r="O1821" s="6">
        <f>-836.1-6.3</f>
        <v>-842.4</v>
      </c>
      <c r="P1821" s="6">
        <f t="shared" si="455"/>
        <v>0</v>
      </c>
      <c r="Q1821" s="7">
        <f t="shared" si="456"/>
        <v>3286933.6500000013</v>
      </c>
      <c r="R1821" s="44" t="str">
        <f>VLOOKUP(F1821,'Set up'!$A$2:$E$70,5,FALSE)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458"/>
        <v>6</v>
      </c>
      <c r="C1822" s="5">
        <f t="shared" si="459"/>
        <v>2023</v>
      </c>
      <c r="D1822" s="88" t="s">
        <v>1651</v>
      </c>
      <c r="E1822" s="5" t="str">
        <f>VLOOKUP(F1822,'Set up'!$A$2:$C$70,2,FALSE)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up'!$A$2:$C$70,3,FALSE)</f>
        <v>Cash</v>
      </c>
      <c r="J1822" s="5">
        <f>VLOOKUP(F1822,'Set up'!$A$2:$D$70,4,FALSE)</f>
        <v>0</v>
      </c>
      <c r="K1822" s="4">
        <f t="shared" si="460"/>
        <v>45101</v>
      </c>
      <c r="L1822" s="5">
        <f t="shared" si="461"/>
        <v>6</v>
      </c>
      <c r="M1822" s="5">
        <f t="shared" si="462"/>
        <v>2023</v>
      </c>
      <c r="N1822" s="6">
        <v>187.5</v>
      </c>
      <c r="O1822" s="6">
        <f t="shared" ref="O1822" si="465">-N1822</f>
        <v>-187.5</v>
      </c>
      <c r="P1822" s="6">
        <f t="shared" si="455"/>
        <v>0</v>
      </c>
      <c r="Q1822" s="7">
        <f t="shared" si="456"/>
        <v>3287121.1500000013</v>
      </c>
      <c r="R1822" s="44" t="str">
        <f>VLOOKUP(F1822,'Set up'!$A$2:$E$70,5,FALSE)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458"/>
        <v>6</v>
      </c>
      <c r="C1823" s="5">
        <f t="shared" si="459"/>
        <v>2023</v>
      </c>
      <c r="D1823" s="88" t="s">
        <v>1651</v>
      </c>
      <c r="E1823" s="5" t="str">
        <f>VLOOKUP(F1823,'Set up'!$A$2:$C$70,2,FALSE)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up'!$A$2:$C$70,3,FALSE)</f>
        <v>Cash</v>
      </c>
      <c r="J1823" s="5">
        <f>VLOOKUP(F1823,'Set up'!$A$2:$D$70,4,FALSE)</f>
        <v>0</v>
      </c>
      <c r="K1823" s="4">
        <f t="shared" si="460"/>
        <v>45101</v>
      </c>
      <c r="L1823" s="5">
        <f t="shared" si="461"/>
        <v>6</v>
      </c>
      <c r="M1823" s="5">
        <f t="shared" si="462"/>
        <v>2023</v>
      </c>
      <c r="N1823" s="6">
        <v>390</v>
      </c>
      <c r="O1823" s="6">
        <f>-306.2-83.8</f>
        <v>-390</v>
      </c>
      <c r="P1823" s="6">
        <f t="shared" si="455"/>
        <v>0</v>
      </c>
      <c r="Q1823" s="7">
        <f t="shared" si="456"/>
        <v>3287511.1500000013</v>
      </c>
      <c r="R1823" s="44" t="str">
        <f>VLOOKUP(F1823,'Set up'!$A$2:$E$70,5,FALSE)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458"/>
        <v>6</v>
      </c>
      <c r="C1824" s="5">
        <f t="shared" si="459"/>
        <v>2023</v>
      </c>
      <c r="D1824" s="88" t="s">
        <v>1651</v>
      </c>
      <c r="E1824" s="5" t="str">
        <f>VLOOKUP(F1824,'Set up'!$A$2:$C$70,2,FALSE)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up'!$A$2:$C$70,3,FALSE)</f>
        <v>Cash</v>
      </c>
      <c r="J1824" s="5">
        <f>VLOOKUP(F1824,'Set up'!$A$2:$D$70,4,FALSE)</f>
        <v>0</v>
      </c>
      <c r="K1824" s="4">
        <f t="shared" si="460"/>
        <v>45101</v>
      </c>
      <c r="L1824" s="5">
        <f t="shared" si="461"/>
        <v>6</v>
      </c>
      <c r="M1824" s="5">
        <f t="shared" si="462"/>
        <v>2023</v>
      </c>
      <c r="N1824" s="6">
        <v>258</v>
      </c>
      <c r="O1824" s="6">
        <f t="shared" ref="O1824" si="466">-N1824</f>
        <v>-258</v>
      </c>
      <c r="P1824" s="6">
        <f t="shared" si="455"/>
        <v>0</v>
      </c>
      <c r="Q1824" s="7">
        <f t="shared" si="456"/>
        <v>3287769.1500000013</v>
      </c>
      <c r="R1824" s="44" t="str">
        <f>VLOOKUP(F1824,'Set up'!$A$2:$E$70,5,FALSE)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458"/>
        <v>6</v>
      </c>
      <c r="C1825" s="5">
        <f t="shared" si="459"/>
        <v>2023</v>
      </c>
      <c r="D1825" s="88" t="s">
        <v>1652</v>
      </c>
      <c r="E1825" s="5" t="str">
        <f>VLOOKUP(F1825,'Set up'!$A$2:$C$70,2,FALSE)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up'!$A$2:$C$70,3,FALSE)</f>
        <v>Cash</v>
      </c>
      <c r="J1825" s="5">
        <f>VLOOKUP(F1825,'Set up'!$A$2:$D$70,4,FALSE)</f>
        <v>0</v>
      </c>
      <c r="K1825" s="4">
        <f t="shared" si="460"/>
        <v>45103</v>
      </c>
      <c r="L1825" s="5">
        <f t="shared" si="461"/>
        <v>6</v>
      </c>
      <c r="M1825" s="5">
        <f t="shared" si="462"/>
        <v>2023</v>
      </c>
      <c r="N1825" s="6">
        <v>1958</v>
      </c>
      <c r="O1825" s="6">
        <f t="shared" ref="O1825:O1833" si="467">-N1825</f>
        <v>-1958</v>
      </c>
      <c r="P1825" s="6">
        <f t="shared" si="455"/>
        <v>0</v>
      </c>
      <c r="Q1825" s="7">
        <f t="shared" si="456"/>
        <v>3289727.1500000013</v>
      </c>
      <c r="R1825" s="44" t="str">
        <f>VLOOKUP(F1825,'Set up'!$A$2:$E$70,5,FALSE)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si="458"/>
        <v>6</v>
      </c>
      <c r="C1826" s="5">
        <f t="shared" si="459"/>
        <v>2023</v>
      </c>
      <c r="D1826" s="88" t="s">
        <v>1652</v>
      </c>
      <c r="E1826" s="5" t="str">
        <f>VLOOKUP(F1826,'Set up'!$A$2:$C$70,2,FALSE)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up'!$A$2:$C$70,3,FALSE)</f>
        <v>Cash</v>
      </c>
      <c r="J1826" s="5">
        <f>VLOOKUP(F1826,'Set up'!$A$2:$D$70,4,FALSE)</f>
        <v>0</v>
      </c>
      <c r="K1826" s="4">
        <f t="shared" si="460"/>
        <v>45103</v>
      </c>
      <c r="L1826" s="5">
        <f t="shared" si="461"/>
        <v>6</v>
      </c>
      <c r="M1826" s="5">
        <f t="shared" si="462"/>
        <v>2023</v>
      </c>
      <c r="N1826" s="6">
        <v>237</v>
      </c>
      <c r="O1826" s="6">
        <f t="shared" si="467"/>
        <v>-237</v>
      </c>
      <c r="P1826" s="6">
        <f t="shared" ref="P1826:P1836" si="468">SUM(N1826+O1826)</f>
        <v>0</v>
      </c>
      <c r="Q1826" s="7">
        <f t="shared" ref="Q1826:Q1836" si="469">SUM(Q1825+N1826)</f>
        <v>3289964.1500000013</v>
      </c>
      <c r="R1826" s="44" t="str">
        <f>VLOOKUP(F1826,'Set up'!$A$2:$E$70,5,FALSE)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458"/>
        <v>6</v>
      </c>
      <c r="C1827" s="5">
        <f t="shared" si="459"/>
        <v>2023</v>
      </c>
      <c r="D1827" s="88" t="s">
        <v>1652</v>
      </c>
      <c r="E1827" s="5" t="str">
        <f>VLOOKUP(F1827,'Set up'!$A$2:$C$70,2,FALSE)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up'!$A$2:$C$70,3,FALSE)</f>
        <v>Cash</v>
      </c>
      <c r="J1827" s="5">
        <f>VLOOKUP(F1827,'Set up'!$A$2:$D$70,4,FALSE)</f>
        <v>0</v>
      </c>
      <c r="K1827" s="4">
        <f t="shared" si="460"/>
        <v>45103</v>
      </c>
      <c r="L1827" s="5">
        <f t="shared" si="461"/>
        <v>6</v>
      </c>
      <c r="M1827" s="5">
        <f t="shared" si="462"/>
        <v>2023</v>
      </c>
      <c r="N1827" s="6">
        <v>258</v>
      </c>
      <c r="O1827" s="6">
        <f t="shared" si="467"/>
        <v>-258</v>
      </c>
      <c r="P1827" s="6">
        <f t="shared" si="468"/>
        <v>0</v>
      </c>
      <c r="Q1827" s="7">
        <f t="shared" si="469"/>
        <v>3290222.1500000013</v>
      </c>
      <c r="R1827" s="44" t="str">
        <f>VLOOKUP(F1827,'Set up'!$A$2:$E$70,5,FALSE)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458"/>
        <v>6</v>
      </c>
      <c r="C1828" s="5">
        <f t="shared" si="459"/>
        <v>2023</v>
      </c>
      <c r="D1828" s="88" t="s">
        <v>1652</v>
      </c>
      <c r="E1828" s="5" t="str">
        <f>VLOOKUP(F1828,'Set up'!$A$2:$C$70,2,FALSE)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up'!$A$2:$C$70,3,FALSE)</f>
        <v>Cash</v>
      </c>
      <c r="J1828" s="5">
        <f>VLOOKUP(F1828,'Set up'!$A$2:$D$70,4,FALSE)</f>
        <v>0</v>
      </c>
      <c r="K1828" s="4">
        <f t="shared" si="460"/>
        <v>45103</v>
      </c>
      <c r="L1828" s="5">
        <f t="shared" si="461"/>
        <v>6</v>
      </c>
      <c r="M1828" s="5">
        <f t="shared" si="462"/>
        <v>2023</v>
      </c>
      <c r="N1828" s="6">
        <v>30</v>
      </c>
      <c r="O1828" s="6">
        <f t="shared" si="467"/>
        <v>-30</v>
      </c>
      <c r="P1828" s="6">
        <f t="shared" si="468"/>
        <v>0</v>
      </c>
      <c r="Q1828" s="7">
        <f t="shared" si="469"/>
        <v>3290252.1500000013</v>
      </c>
      <c r="R1828" s="44" t="str">
        <f>VLOOKUP(F1828,'Set up'!$A$2:$E$70,5,FALSE)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458"/>
        <v>6</v>
      </c>
      <c r="C1829" s="5">
        <f t="shared" si="459"/>
        <v>2023</v>
      </c>
      <c r="D1829" s="88" t="s">
        <v>1652</v>
      </c>
      <c r="E1829" s="5" t="str">
        <f>VLOOKUP(F1829,'Set up'!$A$2:$C$70,2,FALSE)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up'!$A$2:$C$70,3,FALSE)</f>
        <v>Cash</v>
      </c>
      <c r="J1829" s="5">
        <f>VLOOKUP(F1829,'Set up'!$A$2:$D$70,4,FALSE)</f>
        <v>0</v>
      </c>
      <c r="K1829" s="4">
        <f t="shared" si="460"/>
        <v>45103</v>
      </c>
      <c r="L1829" s="5">
        <f t="shared" si="461"/>
        <v>6</v>
      </c>
      <c r="M1829" s="5">
        <f t="shared" si="462"/>
        <v>2023</v>
      </c>
      <c r="N1829" s="6">
        <v>27.5</v>
      </c>
      <c r="O1829" s="6">
        <f t="shared" si="467"/>
        <v>-27.5</v>
      </c>
      <c r="P1829" s="6">
        <f t="shared" si="468"/>
        <v>0</v>
      </c>
      <c r="Q1829" s="7">
        <f t="shared" si="469"/>
        <v>3290279.6500000013</v>
      </c>
      <c r="R1829" s="44" t="str">
        <f>VLOOKUP(F1829,'Set up'!$A$2:$E$70,5,FALSE)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458"/>
        <v>6</v>
      </c>
      <c r="C1830" s="5">
        <f t="shared" si="459"/>
        <v>2023</v>
      </c>
      <c r="D1830" s="88" t="s">
        <v>1652</v>
      </c>
      <c r="E1830" s="5" t="str">
        <f>VLOOKUP(F1830,'Set up'!$A$2:$C$70,2,FALSE)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up'!$A$2:$C$70,3,FALSE)</f>
        <v>Cash</v>
      </c>
      <c r="J1830" s="5">
        <f>VLOOKUP(F1830,'Set up'!$A$2:$D$70,4,FALSE)</f>
        <v>0</v>
      </c>
      <c r="K1830" s="4">
        <f t="shared" si="460"/>
        <v>45103</v>
      </c>
      <c r="L1830" s="5">
        <f t="shared" si="461"/>
        <v>6</v>
      </c>
      <c r="M1830" s="5">
        <f t="shared" si="462"/>
        <v>2023</v>
      </c>
      <c r="N1830" s="6">
        <v>50</v>
      </c>
      <c r="O1830" s="6">
        <f t="shared" si="467"/>
        <v>-50</v>
      </c>
      <c r="P1830" s="6">
        <f t="shared" si="468"/>
        <v>0</v>
      </c>
      <c r="Q1830" s="7">
        <f t="shared" si="469"/>
        <v>3290329.6500000013</v>
      </c>
      <c r="R1830" s="44" t="str">
        <f>VLOOKUP(F1830,'Set up'!$A$2:$E$70,5,FALSE)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si="458"/>
        <v>6</v>
      </c>
      <c r="C1831" s="5">
        <f t="shared" si="459"/>
        <v>2023</v>
      </c>
      <c r="D1831" s="88" t="s">
        <v>1652</v>
      </c>
      <c r="E1831" s="5" t="str">
        <f>VLOOKUP(F1831,'Set up'!$A$2:$C$70,2,FALSE)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up'!$A$2:$C$70,3,FALSE)</f>
        <v>Cash</v>
      </c>
      <c r="J1831" s="5">
        <f>VLOOKUP(F1831,'Set up'!$A$2:$D$70,4,FALSE)</f>
        <v>0</v>
      </c>
      <c r="K1831" s="4">
        <f t="shared" si="460"/>
        <v>45103</v>
      </c>
      <c r="L1831" s="5">
        <f t="shared" si="461"/>
        <v>6</v>
      </c>
      <c r="M1831" s="5">
        <f t="shared" si="462"/>
        <v>2023</v>
      </c>
      <c r="N1831" s="6">
        <v>70</v>
      </c>
      <c r="O1831" s="6">
        <f t="shared" si="467"/>
        <v>-70</v>
      </c>
      <c r="P1831" s="6">
        <f t="shared" si="468"/>
        <v>0</v>
      </c>
      <c r="Q1831" s="7">
        <f t="shared" si="469"/>
        <v>3290399.6500000013</v>
      </c>
      <c r="R1831" s="44" t="str">
        <f>VLOOKUP(F1831,'Set up'!$A$2:$E$70,5,FALSE)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458"/>
        <v>6</v>
      </c>
      <c r="C1832" s="5">
        <f t="shared" si="459"/>
        <v>2023</v>
      </c>
      <c r="D1832" s="88" t="s">
        <v>1652</v>
      </c>
      <c r="E1832" s="5" t="str">
        <f>VLOOKUP(F1832,'Set up'!$A$2:$C$70,2,FALSE)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up'!$A$2:$C$70,3,FALSE)</f>
        <v>Cash</v>
      </c>
      <c r="J1832" s="5">
        <f>VLOOKUP(F1832,'Set up'!$A$2:$D$70,4,FALSE)</f>
        <v>0</v>
      </c>
      <c r="K1832" s="4">
        <f t="shared" si="460"/>
        <v>45103</v>
      </c>
      <c r="L1832" s="5">
        <f t="shared" si="461"/>
        <v>6</v>
      </c>
      <c r="M1832" s="5">
        <f t="shared" si="462"/>
        <v>2023</v>
      </c>
      <c r="N1832" s="6">
        <v>74</v>
      </c>
      <c r="O1832" s="6">
        <f t="shared" si="467"/>
        <v>-74</v>
      </c>
      <c r="P1832" s="6">
        <f t="shared" si="468"/>
        <v>0</v>
      </c>
      <c r="Q1832" s="7">
        <f t="shared" si="469"/>
        <v>3290473.6500000013</v>
      </c>
      <c r="R1832" s="44" t="str">
        <f>VLOOKUP(F1832,'Set up'!$A$2:$E$70,5,FALSE)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458"/>
        <v>6</v>
      </c>
      <c r="C1833" s="5">
        <f t="shared" si="459"/>
        <v>2023</v>
      </c>
      <c r="D1833" s="88" t="s">
        <v>1652</v>
      </c>
      <c r="E1833" s="5" t="str">
        <f>VLOOKUP(F1833,'Set up'!$A$2:$C$70,2,FALSE)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up'!$A$2:$C$70,3,FALSE)</f>
        <v>Cash</v>
      </c>
      <c r="J1833" s="5">
        <f>VLOOKUP(F1833,'Set up'!$A$2:$D$70,4,FALSE)</f>
        <v>0</v>
      </c>
      <c r="K1833" s="4">
        <f t="shared" si="460"/>
        <v>45103</v>
      </c>
      <c r="L1833" s="5">
        <f t="shared" si="461"/>
        <v>6</v>
      </c>
      <c r="M1833" s="5">
        <f t="shared" si="462"/>
        <v>2023</v>
      </c>
      <c r="N1833" s="6">
        <v>116</v>
      </c>
      <c r="O1833" s="6">
        <f t="shared" si="467"/>
        <v>-116</v>
      </c>
      <c r="P1833" s="6">
        <f t="shared" si="468"/>
        <v>0</v>
      </c>
      <c r="Q1833" s="7">
        <f t="shared" si="469"/>
        <v>3290589.6500000013</v>
      </c>
      <c r="R1833" s="44" t="str">
        <f>VLOOKUP(F1833,'Set up'!$A$2:$E$70,5,FALSE)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458"/>
        <v>6</v>
      </c>
      <c r="C1834" s="5">
        <f t="shared" si="459"/>
        <v>2023</v>
      </c>
      <c r="D1834" s="88" t="s">
        <v>1662</v>
      </c>
      <c r="E1834" s="5" t="str">
        <f>VLOOKUP(F1834,'Set up'!$A$2:$C$70,2,FALSE)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up'!$A$2:$C$70,3,FALSE)</f>
        <v>Cash</v>
      </c>
      <c r="J1834" s="5">
        <f>VLOOKUP(F1834,'Set up'!$A$2:$D$70,4,FALSE)</f>
        <v>0</v>
      </c>
      <c r="K1834" s="4">
        <f t="shared" si="460"/>
        <v>45104</v>
      </c>
      <c r="L1834" s="5">
        <f t="shared" si="461"/>
        <v>6</v>
      </c>
      <c r="M1834" s="5">
        <f t="shared" si="462"/>
        <v>2023</v>
      </c>
      <c r="N1834" s="6">
        <v>3740</v>
      </c>
      <c r="O1834" s="6">
        <f>-3000-740</f>
        <v>-3740</v>
      </c>
      <c r="P1834" s="6">
        <f t="shared" si="468"/>
        <v>0</v>
      </c>
      <c r="Q1834" s="7">
        <f t="shared" si="469"/>
        <v>3294329.6500000013</v>
      </c>
      <c r="R1834" s="44" t="str">
        <f>VLOOKUP(F1834,'Set up'!$A$2:$E$70,5,FALSE)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458"/>
        <v>6</v>
      </c>
      <c r="C1835" s="5">
        <f t="shared" si="459"/>
        <v>2023</v>
      </c>
      <c r="D1835" s="88" t="s">
        <v>1662</v>
      </c>
      <c r="E1835" s="5" t="str">
        <f>VLOOKUP(F1835,'Set up'!$A$2:$C$70,2,FALSE)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up'!$A$2:$C$70,3,FALSE)</f>
        <v>Cash</v>
      </c>
      <c r="J1835" s="5">
        <f>VLOOKUP(F1835,'Set up'!$A$2:$D$70,4,FALSE)</f>
        <v>0</v>
      </c>
      <c r="K1835" s="4">
        <f t="shared" si="460"/>
        <v>45104</v>
      </c>
      <c r="L1835" s="5">
        <f t="shared" si="461"/>
        <v>6</v>
      </c>
      <c r="M1835" s="5">
        <f t="shared" si="462"/>
        <v>2023</v>
      </c>
      <c r="N1835" s="6">
        <v>450</v>
      </c>
      <c r="O1835" s="6">
        <f>-393.5-56.5</f>
        <v>-450</v>
      </c>
      <c r="P1835" s="6">
        <f t="shared" si="468"/>
        <v>0</v>
      </c>
      <c r="Q1835" s="7">
        <f t="shared" si="469"/>
        <v>3294779.6500000013</v>
      </c>
      <c r="R1835" s="44" t="str">
        <f>VLOOKUP(F1835,'Set up'!$A$2:$E$70,5,FALSE)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458"/>
        <v>6</v>
      </c>
      <c r="C1836" s="5">
        <f t="shared" si="459"/>
        <v>2023</v>
      </c>
      <c r="D1836" s="88" t="s">
        <v>1662</v>
      </c>
      <c r="E1836" s="5" t="str">
        <f>VLOOKUP(F1836,'Set up'!$A$2:$C$70,2,FALSE)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up'!$A$2:$C$70,3,FALSE)</f>
        <v>Cash</v>
      </c>
      <c r="J1836" s="5">
        <f>VLOOKUP(F1836,'Set up'!$A$2:$D$70,4,FALSE)</f>
        <v>0</v>
      </c>
      <c r="K1836" s="4">
        <f t="shared" si="460"/>
        <v>45104</v>
      </c>
      <c r="L1836" s="5">
        <f t="shared" si="461"/>
        <v>6</v>
      </c>
      <c r="M1836" s="5">
        <f t="shared" si="462"/>
        <v>2023</v>
      </c>
      <c r="N1836" s="6">
        <v>225</v>
      </c>
      <c r="O1836" s="6">
        <f t="shared" ref="O1836:O1844" si="470">-N1836</f>
        <v>-225</v>
      </c>
      <c r="P1836" s="6">
        <f t="shared" si="468"/>
        <v>0</v>
      </c>
      <c r="Q1836" s="7">
        <f t="shared" si="469"/>
        <v>3295004.6500000013</v>
      </c>
      <c r="R1836" s="44" t="str">
        <f>VLOOKUP(F1836,'Set up'!$A$2:$E$70,5,FALSE)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458"/>
        <v>6</v>
      </c>
      <c r="C1837" s="5">
        <f t="shared" si="459"/>
        <v>2023</v>
      </c>
      <c r="D1837" s="88" t="s">
        <v>1662</v>
      </c>
      <c r="E1837" s="5" t="str">
        <f>VLOOKUP(F1837,'Set up'!$A$2:$C$70,2,FALSE)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up'!$A$2:$C$70,3,FALSE)</f>
        <v>Cash</v>
      </c>
      <c r="J1837" s="5">
        <f>VLOOKUP(F1837,'Set up'!$A$2:$D$70,4,FALSE)</f>
        <v>0</v>
      </c>
      <c r="K1837" s="4">
        <f t="shared" si="460"/>
        <v>45104</v>
      </c>
      <c r="L1837" s="5">
        <f t="shared" si="461"/>
        <v>6</v>
      </c>
      <c r="M1837" s="5">
        <f t="shared" si="462"/>
        <v>2023</v>
      </c>
      <c r="N1837" s="6">
        <v>236</v>
      </c>
      <c r="O1837" s="6">
        <f t="shared" si="470"/>
        <v>-236</v>
      </c>
      <c r="P1837" s="6">
        <f t="shared" ref="P1837:P1844" si="471">SUM(N1837+O1837)</f>
        <v>0</v>
      </c>
      <c r="Q1837" s="7">
        <f t="shared" ref="Q1837:Q1844" si="472">SUM(Q1836+N1837)</f>
        <v>3295240.6500000013</v>
      </c>
      <c r="R1837" s="44" t="str">
        <f>VLOOKUP(F1837,'Set up'!$A$2:$E$70,5,FALSE)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458"/>
        <v>6</v>
      </c>
      <c r="C1838" s="5">
        <f t="shared" si="459"/>
        <v>2023</v>
      </c>
      <c r="D1838" s="88" t="s">
        <v>1662</v>
      </c>
      <c r="E1838" s="5" t="str">
        <f>VLOOKUP(F1838,'Set up'!$A$2:$C$70,2,FALSE)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up'!$A$2:$C$70,3,FALSE)</f>
        <v>Cash</v>
      </c>
      <c r="J1838" s="5">
        <f>VLOOKUP(F1838,'Set up'!$A$2:$D$70,4,FALSE)</f>
        <v>0</v>
      </c>
      <c r="K1838" s="4">
        <f t="shared" si="460"/>
        <v>45104</v>
      </c>
      <c r="L1838" s="5">
        <f t="shared" si="461"/>
        <v>6</v>
      </c>
      <c r="M1838" s="5">
        <f t="shared" si="462"/>
        <v>2023</v>
      </c>
      <c r="N1838" s="6">
        <v>95</v>
      </c>
      <c r="O1838" s="6">
        <f t="shared" si="470"/>
        <v>-95</v>
      </c>
      <c r="P1838" s="6">
        <f t="shared" si="471"/>
        <v>0</v>
      </c>
      <c r="Q1838" s="7">
        <f t="shared" si="472"/>
        <v>3295335.6500000013</v>
      </c>
      <c r="R1838" s="44" t="str">
        <f>VLOOKUP(F1838,'Set up'!$A$2:$E$70,5,FALSE)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458"/>
        <v>6</v>
      </c>
      <c r="C1839" s="5">
        <f t="shared" si="459"/>
        <v>2023</v>
      </c>
      <c r="D1839" s="88" t="s">
        <v>1662</v>
      </c>
      <c r="E1839" s="5" t="str">
        <f>VLOOKUP(F1839,'Set up'!$A$2:$C$70,2,FALSE)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up'!$A$2:$C$70,3,FALSE)</f>
        <v>Cash</v>
      </c>
      <c r="J1839" s="5">
        <f>VLOOKUP(F1839,'Set up'!$A$2:$D$70,4,FALSE)</f>
        <v>0</v>
      </c>
      <c r="K1839" s="4">
        <f t="shared" si="460"/>
        <v>45104</v>
      </c>
      <c r="L1839" s="5">
        <f t="shared" si="461"/>
        <v>6</v>
      </c>
      <c r="M1839" s="5">
        <f t="shared" si="462"/>
        <v>2023</v>
      </c>
      <c r="N1839" s="6">
        <v>62.5</v>
      </c>
      <c r="O1839" s="6">
        <f t="shared" si="470"/>
        <v>-62.5</v>
      </c>
      <c r="P1839" s="6">
        <f t="shared" si="471"/>
        <v>0</v>
      </c>
      <c r="Q1839" s="7">
        <f t="shared" si="472"/>
        <v>3295398.1500000013</v>
      </c>
      <c r="R1839" s="44" t="str">
        <f>VLOOKUP(F1839,'Set up'!$A$2:$E$70,5,FALSE)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si="458"/>
        <v>6</v>
      </c>
      <c r="C1840" s="5">
        <f t="shared" si="459"/>
        <v>2023</v>
      </c>
      <c r="D1840" s="88" t="s">
        <v>1662</v>
      </c>
      <c r="E1840" s="5" t="str">
        <f>VLOOKUP(F1840,'Set up'!$A$2:$C$70,2,FALSE)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up'!$A$2:$C$70,3,FALSE)</f>
        <v>Cash</v>
      </c>
      <c r="J1840" s="5">
        <f>VLOOKUP(F1840,'Set up'!$A$2:$D$70,4,FALSE)</f>
        <v>0</v>
      </c>
      <c r="K1840" s="4">
        <f t="shared" si="460"/>
        <v>45104</v>
      </c>
      <c r="L1840" s="5">
        <f t="shared" si="461"/>
        <v>6</v>
      </c>
      <c r="M1840" s="5">
        <f t="shared" si="462"/>
        <v>2023</v>
      </c>
      <c r="N1840" s="6">
        <v>165</v>
      </c>
      <c r="O1840" s="6">
        <f t="shared" si="470"/>
        <v>-165</v>
      </c>
      <c r="P1840" s="6">
        <f t="shared" si="471"/>
        <v>0</v>
      </c>
      <c r="Q1840" s="7">
        <f t="shared" si="472"/>
        <v>3295563.1500000013</v>
      </c>
      <c r="R1840" s="44" t="str">
        <f>VLOOKUP(F1840,'Set up'!$A$2:$E$70,5,FALSE)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458"/>
        <v>6</v>
      </c>
      <c r="C1841" s="5">
        <f t="shared" si="459"/>
        <v>2023</v>
      </c>
      <c r="D1841" s="88" t="s">
        <v>1662</v>
      </c>
      <c r="E1841" s="5" t="str">
        <f>VLOOKUP(F1841,'Set up'!$A$2:$C$70,2,FALSE)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up'!$A$2:$C$70,3,FALSE)</f>
        <v>Cash</v>
      </c>
      <c r="J1841" s="5">
        <f>VLOOKUP(F1841,'Set up'!$A$2:$D$70,4,FALSE)</f>
        <v>0</v>
      </c>
      <c r="K1841" s="4">
        <f t="shared" si="460"/>
        <v>45104</v>
      </c>
      <c r="L1841" s="5">
        <f t="shared" si="461"/>
        <v>6</v>
      </c>
      <c r="M1841" s="5">
        <f t="shared" si="462"/>
        <v>2023</v>
      </c>
      <c r="N1841" s="6">
        <v>160</v>
      </c>
      <c r="O1841" s="6">
        <f t="shared" si="470"/>
        <v>-160</v>
      </c>
      <c r="P1841" s="6">
        <f t="shared" si="471"/>
        <v>0</v>
      </c>
      <c r="Q1841" s="7">
        <f t="shared" si="472"/>
        <v>3295723.1500000013</v>
      </c>
      <c r="R1841" s="44" t="str">
        <f>VLOOKUP(F1841,'Set up'!$A$2:$E$70,5,FALSE)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458"/>
        <v>6</v>
      </c>
      <c r="C1842" s="5">
        <f t="shared" si="459"/>
        <v>2023</v>
      </c>
      <c r="D1842" s="88" t="s">
        <v>1664</v>
      </c>
      <c r="E1842" s="5" t="str">
        <f>VLOOKUP(F1842,'Set up'!$A$2:$C$70,2,FALSE)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up'!$A$2:$C$70,3,FALSE)</f>
        <v>Cash</v>
      </c>
      <c r="J1842" s="5">
        <f>VLOOKUP(F1842,'Set up'!$A$2:$D$70,4,FALSE)</f>
        <v>0</v>
      </c>
      <c r="K1842" s="4">
        <f t="shared" si="460"/>
        <v>45105</v>
      </c>
      <c r="L1842" s="5">
        <f t="shared" si="461"/>
        <v>6</v>
      </c>
      <c r="M1842" s="5">
        <f t="shared" si="462"/>
        <v>2023</v>
      </c>
      <c r="N1842" s="6">
        <v>1870</v>
      </c>
      <c r="O1842" s="6">
        <f t="shared" si="470"/>
        <v>-1870</v>
      </c>
      <c r="P1842" s="6">
        <f t="shared" si="471"/>
        <v>0</v>
      </c>
      <c r="Q1842" s="7">
        <f t="shared" si="472"/>
        <v>3297593.1500000013</v>
      </c>
      <c r="R1842" s="44" t="str">
        <f>VLOOKUP(F1842,'Set up'!$A$2:$E$70,5,FALSE)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458"/>
        <v>6</v>
      </c>
      <c r="C1843" s="5">
        <f t="shared" si="459"/>
        <v>2023</v>
      </c>
      <c r="D1843" s="88" t="s">
        <v>1664</v>
      </c>
      <c r="E1843" s="5" t="str">
        <f>VLOOKUP(F1843,'Set up'!$A$2:$C$70,2,FALSE)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up'!$A$2:$C$70,3,FALSE)</f>
        <v>Cash</v>
      </c>
      <c r="J1843" s="5">
        <f>VLOOKUP(F1843,'Set up'!$A$2:$D$70,4,FALSE)</f>
        <v>0</v>
      </c>
      <c r="K1843" s="4">
        <f t="shared" si="460"/>
        <v>45105</v>
      </c>
      <c r="L1843" s="5">
        <f t="shared" si="461"/>
        <v>6</v>
      </c>
      <c r="M1843" s="5">
        <f t="shared" si="462"/>
        <v>2023</v>
      </c>
      <c r="N1843" s="6">
        <v>510</v>
      </c>
      <c r="O1843" s="6">
        <f t="shared" si="470"/>
        <v>-510</v>
      </c>
      <c r="P1843" s="6">
        <f t="shared" si="471"/>
        <v>0</v>
      </c>
      <c r="Q1843" s="7">
        <f t="shared" si="472"/>
        <v>3298103.1500000013</v>
      </c>
      <c r="R1843" s="44" t="str">
        <f>VLOOKUP(F1843,'Set up'!$A$2:$E$70,5,FALSE)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458"/>
        <v>6</v>
      </c>
      <c r="C1844" s="5">
        <f t="shared" si="459"/>
        <v>2023</v>
      </c>
      <c r="D1844" s="88" t="s">
        <v>1664</v>
      </c>
      <c r="E1844" s="5" t="str">
        <f>VLOOKUP(F1844,'Set up'!$A$2:$C$70,2,FALSE)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up'!$A$2:$C$70,3,FALSE)</f>
        <v>Cash</v>
      </c>
      <c r="J1844" s="5">
        <f>VLOOKUP(F1844,'Set up'!$A$2:$D$70,4,FALSE)</f>
        <v>0</v>
      </c>
      <c r="K1844" s="4">
        <f t="shared" si="460"/>
        <v>45105</v>
      </c>
      <c r="L1844" s="5">
        <f t="shared" si="461"/>
        <v>6</v>
      </c>
      <c r="M1844" s="5">
        <f t="shared" si="462"/>
        <v>2023</v>
      </c>
      <c r="N1844" s="6">
        <v>95</v>
      </c>
      <c r="O1844" s="6">
        <f t="shared" si="470"/>
        <v>-95</v>
      </c>
      <c r="P1844" s="6">
        <f t="shared" si="471"/>
        <v>0</v>
      </c>
      <c r="Q1844" s="7">
        <f t="shared" si="472"/>
        <v>3298198.1500000013</v>
      </c>
      <c r="R1844" s="44" t="str">
        <f>VLOOKUP(F1844,'Set up'!$A$2:$E$70,5,FALSE)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si="458"/>
        <v>7</v>
      </c>
      <c r="C1845" s="5">
        <f t="shared" si="459"/>
        <v>2023</v>
      </c>
      <c r="D1845" s="88" t="s">
        <v>1705</v>
      </c>
      <c r="E1845" s="5" t="str">
        <f>VLOOKUP(F1845,'Set up'!$A$2:$C$70,2,FALSE)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up'!$A$2:$C$70,3,FALSE)</f>
        <v>60</v>
      </c>
      <c r="J1845" s="5">
        <f>VLOOKUP(F1845,'Set up'!$A$2:$D$70,4,FALSE)</f>
        <v>60</v>
      </c>
      <c r="K1845" s="4">
        <f t="shared" si="460"/>
        <v>45168</v>
      </c>
      <c r="L1845" s="5">
        <f t="shared" si="461"/>
        <v>8</v>
      </c>
      <c r="M1845" s="5">
        <f t="shared" si="462"/>
        <v>2023</v>
      </c>
      <c r="N1845" s="6">
        <v>220</v>
      </c>
      <c r="O1845" s="6">
        <f t="shared" ref="O1845" si="473">-N1845</f>
        <v>-220</v>
      </c>
      <c r="P1845" s="6">
        <f t="shared" ref="P1845:P1908" si="474">SUM(N1845+O1845)</f>
        <v>0</v>
      </c>
      <c r="Q1845" s="7">
        <f t="shared" ref="Q1845:Q1908" si="475">SUM(Q1844+N1845)</f>
        <v>3298418.1500000013</v>
      </c>
      <c r="R1845" s="44" t="str">
        <f>VLOOKUP(F1845,'Set up'!$A$2:$E$70,5,FALSE)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458"/>
        <v>7</v>
      </c>
      <c r="C1846" s="5">
        <f t="shared" si="459"/>
        <v>2023</v>
      </c>
      <c r="D1846" s="88" t="s">
        <v>1706</v>
      </c>
      <c r="E1846" s="5" t="str">
        <f>VLOOKUP(F1846,'Set up'!$A$2:$C$70,2,FALSE)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up'!$A$2:$C$70,3,FALSE)</f>
        <v>Cash</v>
      </c>
      <c r="J1846" s="5">
        <f>VLOOKUP(F1846,'Set up'!$A$2:$D$70,4,FALSE)</f>
        <v>0</v>
      </c>
      <c r="K1846" s="4">
        <f t="shared" si="460"/>
        <v>45108</v>
      </c>
      <c r="L1846" s="5">
        <f t="shared" si="461"/>
        <v>7</v>
      </c>
      <c r="M1846" s="5">
        <f t="shared" si="462"/>
        <v>2023</v>
      </c>
      <c r="N1846" s="6">
        <v>62.5</v>
      </c>
      <c r="O1846" s="6">
        <f>-N1846</f>
        <v>-62.5</v>
      </c>
      <c r="P1846" s="6">
        <f t="shared" si="474"/>
        <v>0</v>
      </c>
      <c r="Q1846" s="7">
        <f t="shared" si="475"/>
        <v>3298480.6500000013</v>
      </c>
      <c r="R1846" s="44" t="str">
        <f>VLOOKUP(F1846,'Set up'!$A$2:$E$70,5,FALSE)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458"/>
        <v>7</v>
      </c>
      <c r="C1847" s="5">
        <f t="shared" si="459"/>
        <v>2023</v>
      </c>
      <c r="D1847" s="88" t="s">
        <v>1706</v>
      </c>
      <c r="E1847" s="5" t="str">
        <f>VLOOKUP(F1847,'Set up'!$A$2:$C$70,2,FALSE)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up'!$A$2:$C$70,3,FALSE)</f>
        <v>Cash</v>
      </c>
      <c r="J1847" s="5">
        <f>VLOOKUP(F1847,'Set up'!$A$2:$D$70,4,FALSE)</f>
        <v>0</v>
      </c>
      <c r="K1847" s="4">
        <f t="shared" si="460"/>
        <v>45108</v>
      </c>
      <c r="L1847" s="5">
        <f t="shared" si="461"/>
        <v>7</v>
      </c>
      <c r="M1847" s="5">
        <f t="shared" si="462"/>
        <v>2023</v>
      </c>
      <c r="N1847" s="6">
        <v>50.4</v>
      </c>
      <c r="O1847" s="6">
        <f>-N1847</f>
        <v>-50.4</v>
      </c>
      <c r="P1847" s="6">
        <f t="shared" si="474"/>
        <v>0</v>
      </c>
      <c r="Q1847" s="7">
        <f t="shared" si="475"/>
        <v>3298531.0500000012</v>
      </c>
      <c r="R1847" s="44" t="str">
        <f>VLOOKUP(F1847,'Set up'!$A$2:$E$70,5,FALSE)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458"/>
        <v>7</v>
      </c>
      <c r="C1848" s="5">
        <f t="shared" si="459"/>
        <v>2023</v>
      </c>
      <c r="D1848" s="88" t="s">
        <v>1707</v>
      </c>
      <c r="E1848" s="5" t="str">
        <f>VLOOKUP(F1848,'Set up'!$A$2:$C$70,2,FALSE)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up'!$A$2:$C$70,3,FALSE)</f>
        <v>Cash</v>
      </c>
      <c r="J1848" s="5">
        <f>VLOOKUP(F1848,'Set up'!$A$2:$D$70,4,FALSE)</f>
        <v>0</v>
      </c>
      <c r="K1848" s="4">
        <f t="shared" si="460"/>
        <v>45110</v>
      </c>
      <c r="L1848" s="5">
        <f t="shared" si="461"/>
        <v>7</v>
      </c>
      <c r="M1848" s="5">
        <f t="shared" si="462"/>
        <v>2023</v>
      </c>
      <c r="N1848" s="6">
        <v>3652</v>
      </c>
      <c r="O1848" s="6">
        <f t="shared" ref="O1848:O1854" si="476">-N1848</f>
        <v>-3652</v>
      </c>
      <c r="P1848" s="6">
        <f t="shared" si="474"/>
        <v>0</v>
      </c>
      <c r="Q1848" s="7">
        <f t="shared" si="475"/>
        <v>3302183.0500000012</v>
      </c>
      <c r="R1848" s="44" t="str">
        <f>VLOOKUP(F1848,'Set up'!$A$2:$E$70,5,FALSE)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458"/>
        <v>7</v>
      </c>
      <c r="C1849" s="5">
        <f t="shared" si="459"/>
        <v>2023</v>
      </c>
      <c r="D1849" s="88" t="s">
        <v>1707</v>
      </c>
      <c r="E1849" s="5" t="str">
        <f>VLOOKUP(F1849,'Set up'!$A$2:$C$70,2,FALSE)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up'!$A$2:$C$70,3,FALSE)</f>
        <v>Cash</v>
      </c>
      <c r="J1849" s="5">
        <f>VLOOKUP(F1849,'Set up'!$A$2:$D$70,4,FALSE)</f>
        <v>0</v>
      </c>
      <c r="K1849" s="4">
        <f t="shared" si="460"/>
        <v>45110</v>
      </c>
      <c r="L1849" s="5">
        <f t="shared" si="461"/>
        <v>7</v>
      </c>
      <c r="M1849" s="5">
        <f t="shared" si="462"/>
        <v>2023</v>
      </c>
      <c r="N1849" s="6">
        <v>675</v>
      </c>
      <c r="O1849" s="6">
        <f t="shared" si="476"/>
        <v>-675</v>
      </c>
      <c r="P1849" s="6">
        <f t="shared" si="474"/>
        <v>0</v>
      </c>
      <c r="Q1849" s="7">
        <f t="shared" si="475"/>
        <v>3302858.0500000012</v>
      </c>
      <c r="R1849" s="44" t="str">
        <f>VLOOKUP(F1849,'Set up'!$A$2:$E$70,5,FALSE)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458"/>
        <v>7</v>
      </c>
      <c r="C1850" s="5">
        <f t="shared" si="459"/>
        <v>2023</v>
      </c>
      <c r="D1850" s="88" t="s">
        <v>1707</v>
      </c>
      <c r="E1850" s="5" t="str">
        <f>VLOOKUP(F1850,'Set up'!$A$2:$C$70,2,FALSE)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up'!$A$2:$C$70,3,FALSE)</f>
        <v>Cash</v>
      </c>
      <c r="J1850" s="5">
        <f>VLOOKUP(F1850,'Set up'!$A$2:$D$70,4,FALSE)</f>
        <v>0</v>
      </c>
      <c r="K1850" s="4">
        <f t="shared" si="460"/>
        <v>45110</v>
      </c>
      <c r="L1850" s="5">
        <f t="shared" si="461"/>
        <v>7</v>
      </c>
      <c r="M1850" s="5">
        <f t="shared" si="462"/>
        <v>2023</v>
      </c>
      <c r="N1850" s="6">
        <v>236</v>
      </c>
      <c r="O1850" s="6">
        <f t="shared" si="476"/>
        <v>-236</v>
      </c>
      <c r="P1850" s="6">
        <f t="shared" si="474"/>
        <v>0</v>
      </c>
      <c r="Q1850" s="7">
        <f t="shared" si="475"/>
        <v>3303094.0500000012</v>
      </c>
      <c r="R1850" s="44" t="str">
        <f>VLOOKUP(F1850,'Set up'!$A$2:$E$70,5,FALSE)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458"/>
        <v>7</v>
      </c>
      <c r="C1851" s="5">
        <f t="shared" si="459"/>
        <v>2023</v>
      </c>
      <c r="D1851" s="88" t="s">
        <v>1707</v>
      </c>
      <c r="E1851" s="5" t="str">
        <f>VLOOKUP(F1851,'Set up'!$A$2:$C$70,2,FALSE)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up'!$A$2:$C$70,3,FALSE)</f>
        <v>Cash</v>
      </c>
      <c r="J1851" s="5">
        <f>VLOOKUP(F1851,'Set up'!$A$2:$D$70,4,FALSE)</f>
        <v>0</v>
      </c>
      <c r="K1851" s="4">
        <f t="shared" si="460"/>
        <v>45110</v>
      </c>
      <c r="L1851" s="5">
        <f t="shared" si="461"/>
        <v>7</v>
      </c>
      <c r="M1851" s="5">
        <f t="shared" si="462"/>
        <v>2023</v>
      </c>
      <c r="N1851" s="6">
        <v>95</v>
      </c>
      <c r="O1851" s="6">
        <f t="shared" si="476"/>
        <v>-95</v>
      </c>
      <c r="P1851" s="6">
        <f t="shared" si="474"/>
        <v>0</v>
      </c>
      <c r="Q1851" s="7">
        <f t="shared" si="475"/>
        <v>3303189.0500000012</v>
      </c>
      <c r="R1851" s="44" t="str">
        <f>VLOOKUP(F1851,'Set up'!$A$2:$E$70,5,FALSE)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458"/>
        <v>7</v>
      </c>
      <c r="C1852" s="5">
        <f t="shared" si="459"/>
        <v>2023</v>
      </c>
      <c r="D1852" s="88" t="s">
        <v>1707</v>
      </c>
      <c r="E1852" s="5" t="str">
        <f>VLOOKUP(F1852,'Set up'!$A$2:$C$70,2,FALSE)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up'!$A$2:$C$70,3,FALSE)</f>
        <v>Cash</v>
      </c>
      <c r="J1852" s="5">
        <f>VLOOKUP(F1852,'Set up'!$A$2:$D$70,4,FALSE)</f>
        <v>0</v>
      </c>
      <c r="K1852" s="4">
        <f t="shared" si="460"/>
        <v>45110</v>
      </c>
      <c r="L1852" s="5">
        <f t="shared" si="461"/>
        <v>7</v>
      </c>
      <c r="M1852" s="5">
        <f t="shared" si="462"/>
        <v>2023</v>
      </c>
      <c r="N1852" s="96">
        <v>125</v>
      </c>
      <c r="O1852" s="6">
        <f t="shared" si="476"/>
        <v>-125</v>
      </c>
      <c r="P1852" s="6">
        <f t="shared" si="474"/>
        <v>0</v>
      </c>
      <c r="Q1852" s="7">
        <f t="shared" si="475"/>
        <v>3303314.0500000012</v>
      </c>
      <c r="R1852" s="44" t="str">
        <f>VLOOKUP(F1852,'Set up'!$A$2:$E$70,5,FALSE)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458"/>
        <v>7</v>
      </c>
      <c r="C1853" s="5">
        <f t="shared" si="459"/>
        <v>2023</v>
      </c>
      <c r="D1853" s="88" t="s">
        <v>1709</v>
      </c>
      <c r="E1853" s="5" t="str">
        <f>VLOOKUP(F1853,'Set up'!$A$2:$C$70,2,FALSE)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up'!$A$2:$C$70,3,FALSE)</f>
        <v>Cash</v>
      </c>
      <c r="J1853" s="5">
        <f>VLOOKUP(F1853,'Set up'!$A$2:$D$70,4,FALSE)</f>
        <v>0</v>
      </c>
      <c r="K1853" s="4">
        <f t="shared" si="460"/>
        <v>45110</v>
      </c>
      <c r="L1853" s="5">
        <f t="shared" si="461"/>
        <v>7</v>
      </c>
      <c r="M1853" s="5">
        <f t="shared" si="462"/>
        <v>2023</v>
      </c>
      <c r="N1853" s="6">
        <v>100</v>
      </c>
      <c r="O1853" s="6">
        <f t="shared" si="476"/>
        <v>-100</v>
      </c>
      <c r="P1853" s="6">
        <f t="shared" si="474"/>
        <v>0</v>
      </c>
      <c r="Q1853" s="7">
        <f t="shared" si="475"/>
        <v>3303414.0500000012</v>
      </c>
      <c r="R1853" s="44" t="str">
        <f>VLOOKUP(F1853,'Set up'!$A$2:$E$70,5,FALSE)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458"/>
        <v>7</v>
      </c>
      <c r="C1854" s="5">
        <f t="shared" si="459"/>
        <v>2023</v>
      </c>
      <c r="D1854" s="88" t="s">
        <v>1710</v>
      </c>
      <c r="E1854" s="5" t="str">
        <f>VLOOKUP(F1854,'Set up'!$A$2:$C$70,2,FALSE)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up'!$A$2:$C$70,3,FALSE)</f>
        <v>Cash</v>
      </c>
      <c r="J1854" s="5">
        <f>VLOOKUP(F1854,'Set up'!$A$2:$D$70,4,FALSE)</f>
        <v>0</v>
      </c>
      <c r="K1854" s="4">
        <f t="shared" si="460"/>
        <v>45111</v>
      </c>
      <c r="L1854" s="5">
        <f t="shared" si="461"/>
        <v>7</v>
      </c>
      <c r="M1854" s="5">
        <f t="shared" si="462"/>
        <v>2023</v>
      </c>
      <c r="N1854" s="6">
        <v>100</v>
      </c>
      <c r="O1854" s="6">
        <f t="shared" si="476"/>
        <v>-100</v>
      </c>
      <c r="P1854" s="6">
        <f t="shared" si="474"/>
        <v>0</v>
      </c>
      <c r="Q1854" s="7">
        <f t="shared" si="475"/>
        <v>3303514.0500000012</v>
      </c>
      <c r="R1854" s="44" t="str">
        <f>VLOOKUP(F1854,'Set up'!$A$2:$E$70,5,FALSE)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458"/>
        <v>7</v>
      </c>
      <c r="C1855" s="5">
        <f t="shared" si="459"/>
        <v>2023</v>
      </c>
      <c r="D1855" s="88" t="s">
        <v>1711</v>
      </c>
      <c r="E1855" s="5" t="str">
        <f>VLOOKUP(F1855,'Set up'!$A$2:$C$70,2,FALSE)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up'!$A$2:$C$70,3,FALSE)</f>
        <v>Cash</v>
      </c>
      <c r="J1855" s="5">
        <f>VLOOKUP(F1855,'Set up'!$A$2:$D$70,4,FALSE)</f>
        <v>0</v>
      </c>
      <c r="K1855" s="4">
        <f t="shared" si="460"/>
        <v>45113</v>
      </c>
      <c r="L1855" s="5">
        <f t="shared" si="461"/>
        <v>7</v>
      </c>
      <c r="M1855" s="5">
        <f t="shared" si="462"/>
        <v>2023</v>
      </c>
      <c r="N1855" s="6">
        <v>1848</v>
      </c>
      <c r="O1855" s="6">
        <f>-157.4-1690.6</f>
        <v>-1848</v>
      </c>
      <c r="P1855" s="6">
        <f t="shared" si="474"/>
        <v>0</v>
      </c>
      <c r="Q1855" s="7">
        <f t="shared" si="475"/>
        <v>3305362.0500000012</v>
      </c>
      <c r="R1855" s="44" t="str">
        <f>VLOOKUP(F1855,'Set up'!$A$2:$E$70,5,FALSE)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458"/>
        <v>7</v>
      </c>
      <c r="C1856" s="5">
        <f t="shared" si="459"/>
        <v>2023</v>
      </c>
      <c r="D1856" s="88" t="s">
        <v>1711</v>
      </c>
      <c r="E1856" s="5" t="str">
        <f>VLOOKUP(F1856,'Set up'!$A$2:$C$70,2,FALSE)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up'!$A$2:$C$70,3,FALSE)</f>
        <v>Cash</v>
      </c>
      <c r="J1856" s="5">
        <f>VLOOKUP(F1856,'Set up'!$A$2:$D$70,4,FALSE)</f>
        <v>0</v>
      </c>
      <c r="K1856" s="4">
        <f t="shared" si="460"/>
        <v>45113</v>
      </c>
      <c r="L1856" s="5">
        <f t="shared" si="461"/>
        <v>7</v>
      </c>
      <c r="M1856" s="5">
        <f t="shared" si="462"/>
        <v>2023</v>
      </c>
      <c r="N1856" s="6">
        <v>508</v>
      </c>
      <c r="O1856" s="6">
        <f t="shared" ref="O1856:O1857" si="477">-N1856</f>
        <v>-508</v>
      </c>
      <c r="P1856" s="6">
        <f t="shared" si="474"/>
        <v>0</v>
      </c>
      <c r="Q1856" s="7">
        <f t="shared" si="475"/>
        <v>3305870.0500000012</v>
      </c>
      <c r="R1856" s="44" t="str">
        <f>VLOOKUP(F1856,'Set up'!$A$2:$E$70,5,FALSE)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458"/>
        <v>7</v>
      </c>
      <c r="C1857" s="5">
        <f t="shared" si="459"/>
        <v>2023</v>
      </c>
      <c r="D1857" s="88" t="s">
        <v>1711</v>
      </c>
      <c r="E1857" s="5" t="str">
        <f>VLOOKUP(F1857,'Set up'!$A$2:$C$70,2,FALSE)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up'!$A$2:$C$70,3,FALSE)</f>
        <v>Cash</v>
      </c>
      <c r="J1857" s="5">
        <f>VLOOKUP(F1857,'Set up'!$A$2:$D$70,4,FALSE)</f>
        <v>0</v>
      </c>
      <c r="K1857" s="4">
        <f t="shared" si="460"/>
        <v>45113</v>
      </c>
      <c r="L1857" s="5">
        <f t="shared" si="461"/>
        <v>7</v>
      </c>
      <c r="M1857" s="5">
        <f t="shared" si="462"/>
        <v>2023</v>
      </c>
      <c r="N1857" s="6">
        <v>160</v>
      </c>
      <c r="O1857" s="6">
        <f t="shared" si="477"/>
        <v>-160</v>
      </c>
      <c r="P1857" s="6">
        <f t="shared" si="474"/>
        <v>0</v>
      </c>
      <c r="Q1857" s="7">
        <f t="shared" si="475"/>
        <v>3306030.0500000012</v>
      </c>
      <c r="R1857" s="44" t="str">
        <f>VLOOKUP(F1857,'Set up'!$A$2:$E$70,5,FALSE)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458"/>
        <v>7</v>
      </c>
      <c r="C1858" s="5">
        <f t="shared" si="459"/>
        <v>2023</v>
      </c>
      <c r="D1858" s="88" t="s">
        <v>1714</v>
      </c>
      <c r="E1858" s="5" t="str">
        <f>VLOOKUP(F1858,'Set up'!$A$2:$C$70,2,FALSE)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up'!$A$2:$C$70,3,FALSE)</f>
        <v>Cash</v>
      </c>
      <c r="J1858" s="5">
        <f>VLOOKUP(F1858,'Set up'!$A$2:$D$70,4,FALSE)</f>
        <v>0</v>
      </c>
      <c r="K1858" s="4">
        <f t="shared" si="460"/>
        <v>45113</v>
      </c>
      <c r="L1858" s="5">
        <f t="shared" si="461"/>
        <v>7</v>
      </c>
      <c r="M1858" s="5">
        <f t="shared" si="462"/>
        <v>2023</v>
      </c>
      <c r="N1858" s="6">
        <v>5280</v>
      </c>
      <c r="O1858" s="6">
        <f t="shared" ref="O1858:O1863" si="478">-N1858</f>
        <v>-5280</v>
      </c>
      <c r="P1858" s="6">
        <f t="shared" si="474"/>
        <v>0</v>
      </c>
      <c r="Q1858" s="7">
        <f t="shared" si="475"/>
        <v>3311310.0500000012</v>
      </c>
      <c r="R1858" s="44" t="str">
        <f>VLOOKUP(F1858,'Set up'!$A$2:$E$70,5,FALSE)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ref="B1859:B1922" si="479">MONTH(A1859)</f>
        <v>7</v>
      </c>
      <c r="C1859" s="5">
        <f t="shared" ref="C1859:C1922" si="480">YEAR(A1859)</f>
        <v>2023</v>
      </c>
      <c r="D1859" s="88" t="s">
        <v>1714</v>
      </c>
      <c r="E1859" s="5" t="str">
        <f>VLOOKUP(F1859,'Set up'!$A$2:$C$70,2,FALSE)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up'!$A$2:$C$70,3,FALSE)</f>
        <v>Cash</v>
      </c>
      <c r="J1859" s="5">
        <f>VLOOKUP(F1859,'Set up'!$A$2:$D$70,4,FALSE)</f>
        <v>0</v>
      </c>
      <c r="K1859" s="4">
        <f t="shared" ref="K1859:K1922" si="481">A1859+J1859</f>
        <v>45113</v>
      </c>
      <c r="L1859" s="5">
        <f t="shared" ref="L1859:L1922" si="482">MONTH(K1859)</f>
        <v>7</v>
      </c>
      <c r="M1859" s="5">
        <f t="shared" ref="M1859:M1922" si="483">YEAR(K1859)</f>
        <v>2023</v>
      </c>
      <c r="N1859" s="6">
        <v>1185</v>
      </c>
      <c r="O1859" s="6">
        <f t="shared" si="478"/>
        <v>-1185</v>
      </c>
      <c r="P1859" s="6">
        <f t="shared" si="474"/>
        <v>0</v>
      </c>
      <c r="Q1859" s="7">
        <f t="shared" si="475"/>
        <v>3312495.0500000012</v>
      </c>
      <c r="R1859" s="44" t="str">
        <f>VLOOKUP(F1859,'Set up'!$A$2:$E$70,5,FALSE)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479"/>
        <v>7</v>
      </c>
      <c r="C1860" s="5">
        <f t="shared" si="480"/>
        <v>2023</v>
      </c>
      <c r="D1860" s="88" t="s">
        <v>1714</v>
      </c>
      <c r="E1860" s="5" t="str">
        <f>VLOOKUP(F1860,'Set up'!$A$2:$C$70,2,FALSE)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up'!$A$2:$C$70,3,FALSE)</f>
        <v>Cash</v>
      </c>
      <c r="J1860" s="5">
        <f>VLOOKUP(F1860,'Set up'!$A$2:$D$70,4,FALSE)</f>
        <v>0</v>
      </c>
      <c r="K1860" s="4">
        <f t="shared" si="481"/>
        <v>45113</v>
      </c>
      <c r="L1860" s="5">
        <f t="shared" si="482"/>
        <v>7</v>
      </c>
      <c r="M1860" s="5">
        <f t="shared" si="483"/>
        <v>2023</v>
      </c>
      <c r="N1860" s="6">
        <v>190</v>
      </c>
      <c r="O1860" s="6">
        <f t="shared" si="478"/>
        <v>-190</v>
      </c>
      <c r="P1860" s="6">
        <f t="shared" si="474"/>
        <v>0</v>
      </c>
      <c r="Q1860" s="7">
        <f t="shared" si="475"/>
        <v>3312685.0500000012</v>
      </c>
      <c r="R1860" s="44" t="str">
        <f>VLOOKUP(F1860,'Set up'!$A$2:$E$70,5,FALSE)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479"/>
        <v>7</v>
      </c>
      <c r="C1861" s="5">
        <f t="shared" si="480"/>
        <v>2023</v>
      </c>
      <c r="D1861" s="88" t="s">
        <v>1714</v>
      </c>
      <c r="E1861" s="5" t="str">
        <f>VLOOKUP(F1861,'Set up'!$A$2:$C$70,2,FALSE)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up'!$A$2:$C$70,3,FALSE)</f>
        <v>Cash</v>
      </c>
      <c r="J1861" s="5">
        <f>VLOOKUP(F1861,'Set up'!$A$2:$D$70,4,FALSE)</f>
        <v>0</v>
      </c>
      <c r="K1861" s="4">
        <f t="shared" si="481"/>
        <v>45113</v>
      </c>
      <c r="L1861" s="5">
        <f t="shared" si="482"/>
        <v>7</v>
      </c>
      <c r="M1861" s="5">
        <f t="shared" si="483"/>
        <v>2023</v>
      </c>
      <c r="N1861" s="6">
        <v>165</v>
      </c>
      <c r="O1861" s="6">
        <f t="shared" si="478"/>
        <v>-165</v>
      </c>
      <c r="P1861" s="6">
        <f t="shared" si="474"/>
        <v>0</v>
      </c>
      <c r="Q1861" s="7">
        <f t="shared" si="475"/>
        <v>3312850.0500000012</v>
      </c>
      <c r="R1861" s="44" t="str">
        <f>VLOOKUP(F1861,'Set up'!$A$2:$E$70,5,FALSE)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479"/>
        <v>7</v>
      </c>
      <c r="C1862" s="5">
        <f t="shared" si="480"/>
        <v>2023</v>
      </c>
      <c r="D1862" s="88" t="s">
        <v>1714</v>
      </c>
      <c r="E1862" s="5" t="str">
        <f>VLOOKUP(F1862,'Set up'!$A$2:$C$70,2,FALSE)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up'!$A$2:$C$70,3,FALSE)</f>
        <v>Cash</v>
      </c>
      <c r="J1862" s="5">
        <f>VLOOKUP(F1862,'Set up'!$A$2:$D$70,4,FALSE)</f>
        <v>0</v>
      </c>
      <c r="K1862" s="4">
        <f t="shared" si="481"/>
        <v>45113</v>
      </c>
      <c r="L1862" s="5">
        <f t="shared" si="482"/>
        <v>7</v>
      </c>
      <c r="M1862" s="5">
        <f t="shared" si="483"/>
        <v>2023</v>
      </c>
      <c r="N1862" s="6">
        <v>516</v>
      </c>
      <c r="O1862" s="6">
        <f t="shared" si="478"/>
        <v>-516</v>
      </c>
      <c r="P1862" s="6">
        <f t="shared" si="474"/>
        <v>0</v>
      </c>
      <c r="Q1862" s="7">
        <f t="shared" si="475"/>
        <v>3313366.0500000012</v>
      </c>
      <c r="R1862" s="44" t="str">
        <f>VLOOKUP(F1862,'Set up'!$A$2:$E$70,5,FALSE)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479"/>
        <v>7</v>
      </c>
      <c r="C1863" s="5">
        <f t="shared" si="480"/>
        <v>2023</v>
      </c>
      <c r="D1863" s="88" t="s">
        <v>1714</v>
      </c>
      <c r="E1863" s="5" t="str">
        <f>VLOOKUP(F1863,'Set up'!$A$2:$C$70,2,FALSE)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up'!$A$2:$C$70,3,FALSE)</f>
        <v>Cash</v>
      </c>
      <c r="J1863" s="5">
        <f>VLOOKUP(F1863,'Set up'!$A$2:$D$70,4,FALSE)</f>
        <v>0</v>
      </c>
      <c r="K1863" s="4">
        <f t="shared" si="481"/>
        <v>45113</v>
      </c>
      <c r="L1863" s="5">
        <f t="shared" si="482"/>
        <v>7</v>
      </c>
      <c r="M1863" s="5">
        <f t="shared" si="483"/>
        <v>2023</v>
      </c>
      <c r="N1863" s="6">
        <v>200</v>
      </c>
      <c r="O1863" s="6">
        <f t="shared" si="478"/>
        <v>-200</v>
      </c>
      <c r="P1863" s="6">
        <f t="shared" si="474"/>
        <v>0</v>
      </c>
      <c r="Q1863" s="7">
        <f t="shared" si="475"/>
        <v>3313566.0500000012</v>
      </c>
      <c r="R1863" s="44" t="str">
        <f>VLOOKUP(F1863,'Set up'!$A$2:$E$70,5,FALSE)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479"/>
        <v>7</v>
      </c>
      <c r="C1864" s="5">
        <f t="shared" si="480"/>
        <v>2023</v>
      </c>
      <c r="D1864" s="88" t="s">
        <v>1716</v>
      </c>
      <c r="E1864" s="5" t="str">
        <f>VLOOKUP(F1864,'Set up'!$A$2:$C$70,2,FALSE)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up'!$A$2:$C$70,3,FALSE)</f>
        <v>120</v>
      </c>
      <c r="J1864" s="5">
        <f>VLOOKUP(F1864,'Set up'!$A$2:$D$70,4,FALSE)</f>
        <v>120</v>
      </c>
      <c r="K1864" s="4">
        <f t="shared" si="481"/>
        <v>45237</v>
      </c>
      <c r="L1864" s="5">
        <f t="shared" si="482"/>
        <v>11</v>
      </c>
      <c r="M1864" s="5">
        <f t="shared" si="483"/>
        <v>2023</v>
      </c>
      <c r="N1864" s="6">
        <v>9636</v>
      </c>
      <c r="O1864" s="6">
        <f t="shared" ref="O1864:O1869" si="484">-N1864</f>
        <v>-9636</v>
      </c>
      <c r="P1864" s="6">
        <f t="shared" si="474"/>
        <v>0</v>
      </c>
      <c r="Q1864" s="7">
        <f t="shared" si="475"/>
        <v>3323202.0500000012</v>
      </c>
      <c r="R1864" s="44" t="str">
        <f>VLOOKUP(F1864,'Set up'!$A$2:$E$70,5,FALSE)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479"/>
        <v>7</v>
      </c>
      <c r="C1865" s="5">
        <f t="shared" si="480"/>
        <v>2023</v>
      </c>
      <c r="D1865" s="88" t="s">
        <v>1716</v>
      </c>
      <c r="E1865" s="5" t="str">
        <f>VLOOKUP(F1865,'Set up'!$A$2:$C$70,2,FALSE)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up'!$A$2:$C$70,3,FALSE)</f>
        <v>120</v>
      </c>
      <c r="J1865" s="5">
        <f>VLOOKUP(F1865,'Set up'!$A$2:$D$70,4,FALSE)</f>
        <v>120</v>
      </c>
      <c r="K1865" s="4">
        <f t="shared" si="481"/>
        <v>45237</v>
      </c>
      <c r="L1865" s="5">
        <f t="shared" si="482"/>
        <v>11</v>
      </c>
      <c r="M1865" s="5">
        <f t="shared" si="483"/>
        <v>2023</v>
      </c>
      <c r="N1865" s="6">
        <v>1800</v>
      </c>
      <c r="O1865" s="6">
        <f t="shared" si="484"/>
        <v>-1800</v>
      </c>
      <c r="P1865" s="6">
        <f t="shared" si="474"/>
        <v>0</v>
      </c>
      <c r="Q1865" s="7">
        <f t="shared" si="475"/>
        <v>3325002.0500000012</v>
      </c>
      <c r="R1865" s="44" t="str">
        <f>VLOOKUP(F1865,'Set up'!$A$2:$E$70,5,FALSE)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479"/>
        <v>7</v>
      </c>
      <c r="C1866" s="5">
        <f t="shared" si="480"/>
        <v>2023</v>
      </c>
      <c r="D1866" s="88" t="s">
        <v>1716</v>
      </c>
      <c r="E1866" s="5" t="str">
        <f>VLOOKUP(F1866,'Set up'!$A$2:$C$70,2,FALSE)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up'!$A$2:$C$70,3,FALSE)</f>
        <v>120</v>
      </c>
      <c r="J1866" s="5">
        <f>VLOOKUP(F1866,'Set up'!$A$2:$D$70,4,FALSE)</f>
        <v>120</v>
      </c>
      <c r="K1866" s="4">
        <f t="shared" si="481"/>
        <v>45237</v>
      </c>
      <c r="L1866" s="5">
        <f t="shared" si="482"/>
        <v>11</v>
      </c>
      <c r="M1866" s="5">
        <f t="shared" si="483"/>
        <v>2023</v>
      </c>
      <c r="N1866" s="6">
        <v>575</v>
      </c>
      <c r="O1866" s="6">
        <f t="shared" si="484"/>
        <v>-575</v>
      </c>
      <c r="P1866" s="6">
        <f t="shared" si="474"/>
        <v>0</v>
      </c>
      <c r="Q1866" s="7">
        <f t="shared" si="475"/>
        <v>3325577.0500000012</v>
      </c>
      <c r="R1866" s="44" t="str">
        <f>VLOOKUP(F1866,'Set up'!$A$2:$E$70,5,FALSE)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479"/>
        <v>7</v>
      </c>
      <c r="C1867" s="5">
        <f t="shared" si="480"/>
        <v>2023</v>
      </c>
      <c r="D1867" s="88" t="s">
        <v>1716</v>
      </c>
      <c r="E1867" s="5" t="str">
        <f>VLOOKUP(F1867,'Set up'!$A$2:$C$70,2,FALSE)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up'!$A$2:$C$70,3,FALSE)</f>
        <v>120</v>
      </c>
      <c r="J1867" s="5">
        <f>VLOOKUP(F1867,'Set up'!$A$2:$D$70,4,FALSE)</f>
        <v>120</v>
      </c>
      <c r="K1867" s="4">
        <f t="shared" si="481"/>
        <v>45237</v>
      </c>
      <c r="L1867" s="5">
        <f t="shared" si="482"/>
        <v>11</v>
      </c>
      <c r="M1867" s="5">
        <f t="shared" si="483"/>
        <v>2023</v>
      </c>
      <c r="N1867" s="6">
        <v>840</v>
      </c>
      <c r="O1867" s="6">
        <f t="shared" si="484"/>
        <v>-840</v>
      </c>
      <c r="P1867" s="6">
        <f t="shared" si="474"/>
        <v>0</v>
      </c>
      <c r="Q1867" s="7">
        <f t="shared" si="475"/>
        <v>3326417.0500000012</v>
      </c>
      <c r="R1867" s="44" t="str">
        <f>VLOOKUP(F1867,'Set up'!$A$2:$E$70,5,FALSE)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479"/>
        <v>7</v>
      </c>
      <c r="C1868" s="5">
        <f t="shared" si="480"/>
        <v>2023</v>
      </c>
      <c r="D1868" s="88" t="s">
        <v>1716</v>
      </c>
      <c r="E1868" s="5" t="str">
        <f>VLOOKUP(F1868,'Set up'!$A$2:$C$70,2,FALSE)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up'!$A$2:$C$70,3,FALSE)</f>
        <v>120</v>
      </c>
      <c r="J1868" s="5">
        <f>VLOOKUP(F1868,'Set up'!$A$2:$D$70,4,FALSE)</f>
        <v>120</v>
      </c>
      <c r="K1868" s="4">
        <f t="shared" si="481"/>
        <v>45237</v>
      </c>
      <c r="L1868" s="5">
        <f t="shared" si="482"/>
        <v>11</v>
      </c>
      <c r="M1868" s="5">
        <f t="shared" si="483"/>
        <v>2023</v>
      </c>
      <c r="N1868" s="6">
        <v>420</v>
      </c>
      <c r="O1868" s="6">
        <f t="shared" si="484"/>
        <v>-420</v>
      </c>
      <c r="P1868" s="6">
        <f t="shared" si="474"/>
        <v>0</v>
      </c>
      <c r="Q1868" s="7">
        <f t="shared" si="475"/>
        <v>3326837.0500000012</v>
      </c>
      <c r="R1868" s="44" t="str">
        <f>VLOOKUP(F1868,'Set up'!$A$2:$E$70,5,FALSE)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479"/>
        <v>7</v>
      </c>
      <c r="C1869" s="5">
        <f t="shared" si="480"/>
        <v>2023</v>
      </c>
      <c r="D1869" s="88" t="s">
        <v>1716</v>
      </c>
      <c r="E1869" s="5" t="str">
        <f>VLOOKUP(F1869,'Set up'!$A$2:$C$70,2,FALSE)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up'!$A$2:$C$70,3,FALSE)</f>
        <v>120</v>
      </c>
      <c r="J1869" s="5">
        <f>VLOOKUP(F1869,'Set up'!$A$2:$D$70,4,FALSE)</f>
        <v>120</v>
      </c>
      <c r="K1869" s="4">
        <f t="shared" si="481"/>
        <v>45237</v>
      </c>
      <c r="L1869" s="5">
        <f t="shared" si="482"/>
        <v>11</v>
      </c>
      <c r="M1869" s="5">
        <f t="shared" si="483"/>
        <v>2023</v>
      </c>
      <c r="N1869" s="6">
        <v>395</v>
      </c>
      <c r="O1869" s="6">
        <f t="shared" si="484"/>
        <v>-395</v>
      </c>
      <c r="P1869" s="6">
        <f t="shared" si="474"/>
        <v>0</v>
      </c>
      <c r="Q1869" s="7">
        <f t="shared" si="475"/>
        <v>3327232.0500000012</v>
      </c>
      <c r="R1869" s="44" t="str">
        <f>VLOOKUP(F1869,'Set up'!$A$2:$E$70,5,FALSE)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479"/>
        <v>7</v>
      </c>
      <c r="C1870" s="5">
        <f t="shared" si="480"/>
        <v>2023</v>
      </c>
      <c r="D1870" s="88" t="s">
        <v>1717</v>
      </c>
      <c r="E1870" s="5" t="str">
        <f>VLOOKUP(F1870,'Set up'!$A$2:$C$70,2,FALSE)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up'!$A$2:$C$70,3,FALSE)</f>
        <v>Cash</v>
      </c>
      <c r="J1870" s="5">
        <f>VLOOKUP(F1870,'Set up'!$A$2:$D$70,4,FALSE)</f>
        <v>0</v>
      </c>
      <c r="K1870" s="4">
        <f t="shared" si="481"/>
        <v>45117</v>
      </c>
      <c r="L1870" s="5">
        <f t="shared" si="482"/>
        <v>7</v>
      </c>
      <c r="M1870" s="5">
        <f t="shared" si="483"/>
        <v>2023</v>
      </c>
      <c r="N1870" s="6">
        <v>1390</v>
      </c>
      <c r="O1870" s="6">
        <f t="shared" ref="O1870:O1873" si="485">-N1870</f>
        <v>-1390</v>
      </c>
      <c r="P1870" s="91">
        <f t="shared" si="474"/>
        <v>0</v>
      </c>
      <c r="Q1870" s="7">
        <f t="shared" si="475"/>
        <v>3328622.0500000012</v>
      </c>
      <c r="R1870" s="44" t="str">
        <f>VLOOKUP(F1870,'Set up'!$A$2:$E$70,5,FALSE)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479"/>
        <v>7</v>
      </c>
      <c r="C1871" s="5">
        <f t="shared" si="480"/>
        <v>2023</v>
      </c>
      <c r="D1871" s="88" t="s">
        <v>1718</v>
      </c>
      <c r="E1871" s="5" t="str">
        <f>VLOOKUP(F1871,'Set up'!$A$2:$C$70,2,FALSE)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up'!$A$2:$C$70,3,FALSE)</f>
        <v>Cash</v>
      </c>
      <c r="J1871" s="5">
        <f>VLOOKUP(F1871,'Set up'!$A$2:$D$70,4,FALSE)</f>
        <v>0</v>
      </c>
      <c r="K1871" s="4">
        <f t="shared" si="481"/>
        <v>45118</v>
      </c>
      <c r="L1871" s="5">
        <f t="shared" si="482"/>
        <v>7</v>
      </c>
      <c r="M1871" s="5">
        <f t="shared" si="483"/>
        <v>2023</v>
      </c>
      <c r="N1871" s="6">
        <v>1826</v>
      </c>
      <c r="O1871" s="6">
        <f t="shared" si="485"/>
        <v>-1826</v>
      </c>
      <c r="P1871" s="6">
        <f t="shared" si="474"/>
        <v>0</v>
      </c>
      <c r="Q1871" s="7">
        <f t="shared" si="475"/>
        <v>3330448.0500000012</v>
      </c>
      <c r="R1871" s="44" t="str">
        <f>VLOOKUP(F1871,'Set up'!$A$2:$E$70,5,FALSE)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479"/>
        <v>7</v>
      </c>
      <c r="C1872" s="5">
        <f t="shared" si="480"/>
        <v>2023</v>
      </c>
      <c r="D1872" s="88" t="s">
        <v>1718</v>
      </c>
      <c r="E1872" s="5" t="str">
        <f>VLOOKUP(F1872,'Set up'!$A$2:$C$70,2,FALSE)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up'!$A$2:$C$70,3,FALSE)</f>
        <v>Cash</v>
      </c>
      <c r="J1872" s="5">
        <f>VLOOKUP(F1872,'Set up'!$A$2:$D$70,4,FALSE)</f>
        <v>0</v>
      </c>
      <c r="K1872" s="4">
        <f t="shared" si="481"/>
        <v>45118</v>
      </c>
      <c r="L1872" s="5">
        <f t="shared" si="482"/>
        <v>7</v>
      </c>
      <c r="M1872" s="5">
        <f t="shared" si="483"/>
        <v>2023</v>
      </c>
      <c r="N1872" s="6">
        <v>747</v>
      </c>
      <c r="O1872" s="6">
        <f t="shared" si="485"/>
        <v>-747</v>
      </c>
      <c r="P1872" s="6">
        <f t="shared" si="474"/>
        <v>0</v>
      </c>
      <c r="Q1872" s="7">
        <f t="shared" si="475"/>
        <v>3331195.0500000012</v>
      </c>
      <c r="R1872" s="44" t="str">
        <f>VLOOKUP(F1872,'Set up'!$A$2:$E$70,5,FALSE)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479"/>
        <v>7</v>
      </c>
      <c r="C1873" s="5">
        <f t="shared" si="480"/>
        <v>2023</v>
      </c>
      <c r="D1873" s="88" t="s">
        <v>1718</v>
      </c>
      <c r="E1873" s="5" t="str">
        <f>VLOOKUP(F1873,'Set up'!$A$2:$C$70,2,FALSE)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up'!$A$2:$C$70,3,FALSE)</f>
        <v>Cash</v>
      </c>
      <c r="J1873" s="5">
        <f>VLOOKUP(F1873,'Set up'!$A$2:$D$70,4,FALSE)</f>
        <v>0</v>
      </c>
      <c r="K1873" s="4">
        <f t="shared" si="481"/>
        <v>45118</v>
      </c>
      <c r="L1873" s="5">
        <f t="shared" si="482"/>
        <v>7</v>
      </c>
      <c r="M1873" s="5">
        <f t="shared" si="483"/>
        <v>2023</v>
      </c>
      <c r="N1873" s="6">
        <v>95</v>
      </c>
      <c r="O1873" s="6">
        <f t="shared" si="485"/>
        <v>-95</v>
      </c>
      <c r="P1873" s="6">
        <f t="shared" si="474"/>
        <v>0</v>
      </c>
      <c r="Q1873" s="7">
        <f t="shared" si="475"/>
        <v>3331290.0500000012</v>
      </c>
      <c r="R1873" s="44" t="str">
        <f>VLOOKUP(F1873,'Set up'!$A$2:$E$70,5,FALSE)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479"/>
        <v>7</v>
      </c>
      <c r="C1874" s="5">
        <f t="shared" si="480"/>
        <v>2023</v>
      </c>
      <c r="D1874" s="88" t="s">
        <v>1719</v>
      </c>
      <c r="E1874" s="5" t="str">
        <f>VLOOKUP(F1874,'Set up'!$A$2:$C$70,2,FALSE)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up'!$A$2:$C$70,3,FALSE)</f>
        <v>30</v>
      </c>
      <c r="J1874" s="5">
        <f>VLOOKUP(F1874,'Set up'!$A$2:$D$70,4,FALSE)</f>
        <v>30</v>
      </c>
      <c r="K1874" s="4">
        <f t="shared" si="481"/>
        <v>45148</v>
      </c>
      <c r="L1874" s="5">
        <f t="shared" si="482"/>
        <v>8</v>
      </c>
      <c r="M1874" s="5">
        <f t="shared" si="483"/>
        <v>2023</v>
      </c>
      <c r="N1874" s="6">
        <v>144</v>
      </c>
      <c r="O1874" s="6">
        <f t="shared" ref="O1874" si="486">-N1874</f>
        <v>-144</v>
      </c>
      <c r="P1874" s="6">
        <f t="shared" si="474"/>
        <v>0</v>
      </c>
      <c r="Q1874" s="7">
        <f t="shared" si="475"/>
        <v>3331434.0500000012</v>
      </c>
      <c r="R1874" s="44" t="str">
        <f>VLOOKUP(F1874,'Set up'!$A$2:$E$70,5,FALSE)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479"/>
        <v>7</v>
      </c>
      <c r="C1875" s="5">
        <f t="shared" si="480"/>
        <v>2023</v>
      </c>
      <c r="D1875" s="88" t="s">
        <v>1720</v>
      </c>
      <c r="E1875" s="5" t="str">
        <f>VLOOKUP(F1875,'Set up'!$A$2:$C$70,2,FALSE)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up'!$A$2:$C$70,3,FALSE)</f>
        <v>Cash</v>
      </c>
      <c r="J1875" s="5">
        <f>VLOOKUP(F1875,'Set up'!$A$2:$D$70,4,FALSE)</f>
        <v>0</v>
      </c>
      <c r="K1875" s="4">
        <f t="shared" si="481"/>
        <v>45122</v>
      </c>
      <c r="L1875" s="5">
        <f t="shared" si="482"/>
        <v>7</v>
      </c>
      <c r="M1875" s="5">
        <f t="shared" si="483"/>
        <v>2023</v>
      </c>
      <c r="N1875" s="6">
        <v>3652</v>
      </c>
      <c r="O1875" s="6">
        <f t="shared" ref="O1875:O1884" si="487">-N1875</f>
        <v>-3652</v>
      </c>
      <c r="P1875" s="6">
        <f t="shared" si="474"/>
        <v>0</v>
      </c>
      <c r="Q1875" s="7">
        <f t="shared" si="475"/>
        <v>3335086.0500000012</v>
      </c>
      <c r="R1875" s="44" t="str">
        <f>VLOOKUP(F1875,'Set up'!$A$2:$E$70,5,FALSE)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479"/>
        <v>7</v>
      </c>
      <c r="C1876" s="5">
        <f t="shared" si="480"/>
        <v>2023</v>
      </c>
      <c r="D1876" s="88" t="s">
        <v>1720</v>
      </c>
      <c r="E1876" s="5" t="str">
        <f>VLOOKUP(F1876,'Set up'!$A$2:$C$70,2,FALSE)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up'!$A$2:$C$70,3,FALSE)</f>
        <v>Cash</v>
      </c>
      <c r="J1876" s="5">
        <f>VLOOKUP(F1876,'Set up'!$A$2:$D$70,4,FALSE)</f>
        <v>0</v>
      </c>
      <c r="K1876" s="4">
        <f t="shared" si="481"/>
        <v>45122</v>
      </c>
      <c r="L1876" s="5">
        <f t="shared" si="482"/>
        <v>7</v>
      </c>
      <c r="M1876" s="5">
        <f t="shared" si="483"/>
        <v>2023</v>
      </c>
      <c r="N1876" s="6">
        <v>675</v>
      </c>
      <c r="O1876" s="6">
        <f t="shared" si="487"/>
        <v>-675</v>
      </c>
      <c r="P1876" s="6">
        <f t="shared" si="474"/>
        <v>0</v>
      </c>
      <c r="Q1876" s="7">
        <f t="shared" si="475"/>
        <v>3335761.0500000012</v>
      </c>
      <c r="R1876" s="44" t="str">
        <f>VLOOKUP(F1876,'Set up'!$A$2:$E$70,5,FALSE)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479"/>
        <v>7</v>
      </c>
      <c r="C1877" s="5">
        <f t="shared" si="480"/>
        <v>2023</v>
      </c>
      <c r="D1877" s="88" t="s">
        <v>1720</v>
      </c>
      <c r="E1877" s="5" t="str">
        <f>VLOOKUP(F1877,'Set up'!$A$2:$C$70,2,FALSE)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up'!$A$2:$C$70,3,FALSE)</f>
        <v>Cash</v>
      </c>
      <c r="J1877" s="5">
        <f>VLOOKUP(F1877,'Set up'!$A$2:$D$70,4,FALSE)</f>
        <v>0</v>
      </c>
      <c r="K1877" s="4">
        <f t="shared" si="481"/>
        <v>45122</v>
      </c>
      <c r="L1877" s="5">
        <f t="shared" si="482"/>
        <v>7</v>
      </c>
      <c r="M1877" s="5">
        <f t="shared" si="483"/>
        <v>2023</v>
      </c>
      <c r="N1877" s="6">
        <v>236</v>
      </c>
      <c r="O1877" s="6">
        <f t="shared" si="487"/>
        <v>-236</v>
      </c>
      <c r="P1877" s="6">
        <f t="shared" si="474"/>
        <v>0</v>
      </c>
      <c r="Q1877" s="7">
        <f t="shared" si="475"/>
        <v>3335997.0500000012</v>
      </c>
      <c r="R1877" s="44" t="str">
        <f>VLOOKUP(F1877,'Set up'!$A$2:$E$70,5,FALSE)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479"/>
        <v>7</v>
      </c>
      <c r="C1878" s="5">
        <f t="shared" si="480"/>
        <v>2023</v>
      </c>
      <c r="D1878" s="88" t="s">
        <v>1720</v>
      </c>
      <c r="E1878" s="5" t="str">
        <f>VLOOKUP(F1878,'Set up'!$A$2:$C$70,2,FALSE)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up'!$A$2:$C$70,3,FALSE)</f>
        <v>Cash</v>
      </c>
      <c r="J1878" s="5">
        <f>VLOOKUP(F1878,'Set up'!$A$2:$D$70,4,FALSE)</f>
        <v>0</v>
      </c>
      <c r="K1878" s="4">
        <f t="shared" si="481"/>
        <v>45122</v>
      </c>
      <c r="L1878" s="5">
        <f t="shared" si="482"/>
        <v>7</v>
      </c>
      <c r="M1878" s="5">
        <f t="shared" si="483"/>
        <v>2023</v>
      </c>
      <c r="N1878" s="6">
        <v>190</v>
      </c>
      <c r="O1878" s="6">
        <f t="shared" si="487"/>
        <v>-190</v>
      </c>
      <c r="P1878" s="6">
        <f t="shared" si="474"/>
        <v>0</v>
      </c>
      <c r="Q1878" s="7">
        <f t="shared" si="475"/>
        <v>3336187.0500000012</v>
      </c>
      <c r="R1878" s="44" t="str">
        <f>VLOOKUP(F1878,'Set up'!$A$2:$E$70,5,FALSE)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479"/>
        <v>7</v>
      </c>
      <c r="C1879" s="5">
        <f t="shared" si="480"/>
        <v>2023</v>
      </c>
      <c r="D1879" s="88" t="s">
        <v>1720</v>
      </c>
      <c r="E1879" s="5" t="str">
        <f>VLOOKUP(F1879,'Set up'!$A$2:$C$70,2,FALSE)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up'!$A$2:$C$70,3,FALSE)</f>
        <v>Cash</v>
      </c>
      <c r="J1879" s="5">
        <f>VLOOKUP(F1879,'Set up'!$A$2:$D$70,4,FALSE)</f>
        <v>0</v>
      </c>
      <c r="K1879" s="4">
        <f t="shared" si="481"/>
        <v>45122</v>
      </c>
      <c r="L1879" s="5">
        <f t="shared" si="482"/>
        <v>7</v>
      </c>
      <c r="M1879" s="5">
        <f t="shared" si="483"/>
        <v>2023</v>
      </c>
      <c r="N1879" s="6">
        <v>125</v>
      </c>
      <c r="O1879" s="6">
        <f t="shared" si="487"/>
        <v>-125</v>
      </c>
      <c r="P1879" s="6">
        <f t="shared" si="474"/>
        <v>0</v>
      </c>
      <c r="Q1879" s="7">
        <f t="shared" si="475"/>
        <v>3336312.0500000012</v>
      </c>
      <c r="R1879" s="44" t="str">
        <f>VLOOKUP(F1879,'Set up'!$A$2:$E$70,5,FALSE)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479"/>
        <v>7</v>
      </c>
      <c r="C1880" s="5">
        <f t="shared" si="480"/>
        <v>2023</v>
      </c>
      <c r="D1880" s="88" t="s">
        <v>1720</v>
      </c>
      <c r="E1880" s="5" t="str">
        <f>VLOOKUP(F1880,'Set up'!$A$2:$C$70,2,FALSE)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up'!$A$2:$C$70,3,FALSE)</f>
        <v>Cash</v>
      </c>
      <c r="J1880" s="5">
        <f>VLOOKUP(F1880,'Set up'!$A$2:$D$70,4,FALSE)</f>
        <v>0</v>
      </c>
      <c r="K1880" s="4">
        <f t="shared" si="481"/>
        <v>45122</v>
      </c>
      <c r="L1880" s="5">
        <f t="shared" si="482"/>
        <v>7</v>
      </c>
      <c r="M1880" s="5">
        <f t="shared" si="483"/>
        <v>2023</v>
      </c>
      <c r="N1880" s="6">
        <v>695</v>
      </c>
      <c r="O1880" s="6">
        <f t="shared" si="487"/>
        <v>-695</v>
      </c>
      <c r="P1880" s="91">
        <f t="shared" si="474"/>
        <v>0</v>
      </c>
      <c r="Q1880" s="7">
        <f t="shared" si="475"/>
        <v>3337007.0500000012</v>
      </c>
      <c r="R1880" s="44" t="str">
        <f>VLOOKUP(F1880,'Set up'!$A$2:$E$70,5,FALSE)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479"/>
        <v>7</v>
      </c>
      <c r="C1881" s="5">
        <f t="shared" si="480"/>
        <v>2023</v>
      </c>
      <c r="D1881" s="88" t="s">
        <v>1722</v>
      </c>
      <c r="E1881" s="5" t="str">
        <f>VLOOKUP(F1881,'Set up'!$A$2:$C$70,2,FALSE)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up'!$A$2:$C$70,3,FALSE)</f>
        <v>Cash</v>
      </c>
      <c r="J1881" s="5">
        <f>VLOOKUP(F1881,'Set up'!$A$2:$D$70,4,FALSE)</f>
        <v>0</v>
      </c>
      <c r="K1881" s="4">
        <f t="shared" si="481"/>
        <v>45124</v>
      </c>
      <c r="L1881" s="5">
        <f t="shared" si="482"/>
        <v>7</v>
      </c>
      <c r="M1881" s="5">
        <f t="shared" si="483"/>
        <v>2023</v>
      </c>
      <c r="N1881" s="6">
        <v>1826</v>
      </c>
      <c r="O1881" s="6">
        <f t="shared" si="487"/>
        <v>-1826</v>
      </c>
      <c r="P1881" s="6">
        <f t="shared" si="474"/>
        <v>0</v>
      </c>
      <c r="Q1881" s="7">
        <f t="shared" si="475"/>
        <v>3338833.0500000012</v>
      </c>
      <c r="R1881" s="44" t="str">
        <f>VLOOKUP(F1881,'Set up'!$A$2:$E$70,5,FALSE)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479"/>
        <v>7</v>
      </c>
      <c r="C1882" s="5">
        <f t="shared" si="480"/>
        <v>2023</v>
      </c>
      <c r="D1882" s="88" t="s">
        <v>1722</v>
      </c>
      <c r="E1882" s="5" t="str">
        <f>VLOOKUP(F1882,'Set up'!$A$2:$C$70,2,FALSE)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up'!$A$2:$C$70,3,FALSE)</f>
        <v>Cash</v>
      </c>
      <c r="J1882" s="5">
        <f>VLOOKUP(F1882,'Set up'!$A$2:$D$70,4,FALSE)</f>
        <v>0</v>
      </c>
      <c r="K1882" s="4">
        <f t="shared" si="481"/>
        <v>45124</v>
      </c>
      <c r="L1882" s="5">
        <f t="shared" si="482"/>
        <v>7</v>
      </c>
      <c r="M1882" s="5">
        <f t="shared" si="483"/>
        <v>2023</v>
      </c>
      <c r="N1882" s="6">
        <v>498</v>
      </c>
      <c r="O1882" s="6">
        <f t="shared" si="487"/>
        <v>-498</v>
      </c>
      <c r="P1882" s="6">
        <f t="shared" si="474"/>
        <v>0</v>
      </c>
      <c r="Q1882" s="7">
        <f t="shared" si="475"/>
        <v>3339331.0500000012</v>
      </c>
      <c r="R1882" s="44" t="str">
        <f>VLOOKUP(F1882,'Set up'!$A$2:$E$70,5,FALSE)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479"/>
        <v>7</v>
      </c>
      <c r="C1883" s="5">
        <f t="shared" si="480"/>
        <v>2023</v>
      </c>
      <c r="D1883" s="88" t="s">
        <v>1722</v>
      </c>
      <c r="E1883" s="5" t="str">
        <f>VLOOKUP(F1883,'Set up'!$A$2:$C$70,2,FALSE)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up'!$A$2:$C$70,3,FALSE)</f>
        <v>Cash</v>
      </c>
      <c r="J1883" s="5">
        <f>VLOOKUP(F1883,'Set up'!$A$2:$D$70,4,FALSE)</f>
        <v>0</v>
      </c>
      <c r="K1883" s="4">
        <f t="shared" si="481"/>
        <v>45124</v>
      </c>
      <c r="L1883" s="5">
        <f t="shared" si="482"/>
        <v>7</v>
      </c>
      <c r="M1883" s="5">
        <f t="shared" si="483"/>
        <v>2023</v>
      </c>
      <c r="N1883" s="6">
        <v>95</v>
      </c>
      <c r="O1883" s="6">
        <f t="shared" si="487"/>
        <v>-95</v>
      </c>
      <c r="P1883" s="6">
        <f t="shared" si="474"/>
        <v>0</v>
      </c>
      <c r="Q1883" s="7">
        <f t="shared" si="475"/>
        <v>3339426.0500000012</v>
      </c>
      <c r="R1883" s="44" t="str">
        <f>VLOOKUP(F1883,'Set up'!$A$2:$E$70,5,FALSE)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479"/>
        <v>7</v>
      </c>
      <c r="C1884" s="5">
        <f t="shared" si="480"/>
        <v>2023</v>
      </c>
      <c r="D1884" s="88" t="s">
        <v>1722</v>
      </c>
      <c r="E1884" s="5" t="str">
        <f>VLOOKUP(F1884,'Set up'!$A$2:$C$70,2,FALSE)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up'!$A$2:$C$70,3,FALSE)</f>
        <v>Cash</v>
      </c>
      <c r="J1884" s="5">
        <f>VLOOKUP(F1884,'Set up'!$A$2:$D$70,4,FALSE)</f>
        <v>0</v>
      </c>
      <c r="K1884" s="4">
        <f t="shared" si="481"/>
        <v>45124</v>
      </c>
      <c r="L1884" s="5">
        <f t="shared" si="482"/>
        <v>7</v>
      </c>
      <c r="M1884" s="5">
        <f t="shared" si="483"/>
        <v>2023</v>
      </c>
      <c r="N1884" s="6">
        <v>312.5</v>
      </c>
      <c r="O1884" s="6">
        <f t="shared" si="487"/>
        <v>-312.5</v>
      </c>
      <c r="P1884" s="6">
        <f t="shared" si="474"/>
        <v>0</v>
      </c>
      <c r="Q1884" s="7">
        <f t="shared" si="475"/>
        <v>3339738.5500000012</v>
      </c>
      <c r="R1884" s="44" t="str">
        <f>VLOOKUP(F1884,'Set up'!$A$2:$E$70,5,FALSE)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479"/>
        <v>7</v>
      </c>
      <c r="C1885" s="5">
        <f t="shared" si="480"/>
        <v>2023</v>
      </c>
      <c r="D1885" s="88" t="s">
        <v>1723</v>
      </c>
      <c r="E1885" s="5" t="str">
        <f>VLOOKUP(F1885,'Set up'!$A$2:$C$70,2,FALSE)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up'!$A$2:$C$70,3,FALSE)</f>
        <v>Cash</v>
      </c>
      <c r="J1885" s="5">
        <f>VLOOKUP(F1885,'Set up'!$A$2:$D$70,4,FALSE)</f>
        <v>0</v>
      </c>
      <c r="K1885" s="4">
        <f t="shared" si="481"/>
        <v>45125</v>
      </c>
      <c r="L1885" s="5">
        <f t="shared" si="482"/>
        <v>7</v>
      </c>
      <c r="M1885" s="5">
        <f t="shared" si="483"/>
        <v>2023</v>
      </c>
      <c r="N1885" s="6">
        <v>3564</v>
      </c>
      <c r="O1885" s="6">
        <f>-1658.2-1000-905.8</f>
        <v>-3564</v>
      </c>
      <c r="P1885" s="6">
        <f t="shared" si="474"/>
        <v>0</v>
      </c>
      <c r="Q1885" s="7">
        <f t="shared" si="475"/>
        <v>3343302.5500000012</v>
      </c>
      <c r="R1885" s="44" t="str">
        <f>VLOOKUP(F1885,'Set up'!$A$2:$E$70,5,FALSE)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479"/>
        <v>7</v>
      </c>
      <c r="C1886" s="5">
        <f t="shared" si="480"/>
        <v>2023</v>
      </c>
      <c r="D1886" s="88" t="s">
        <v>1723</v>
      </c>
      <c r="E1886" s="5" t="str">
        <f>VLOOKUP(F1886,'Set up'!$A$2:$C$70,2,FALSE)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up'!$A$2:$C$70,3,FALSE)</f>
        <v>Cash</v>
      </c>
      <c r="J1886" s="5">
        <f>VLOOKUP(F1886,'Set up'!$A$2:$D$70,4,FALSE)</f>
        <v>0</v>
      </c>
      <c r="K1886" s="4">
        <f t="shared" si="481"/>
        <v>45125</v>
      </c>
      <c r="L1886" s="5">
        <f t="shared" si="482"/>
        <v>7</v>
      </c>
      <c r="M1886" s="5">
        <f t="shared" si="483"/>
        <v>2023</v>
      </c>
      <c r="N1886" s="6">
        <v>842.4</v>
      </c>
      <c r="O1886" s="6">
        <f>-94.2-748.2</f>
        <v>-842.40000000000009</v>
      </c>
      <c r="P1886" s="6">
        <f t="shared" si="474"/>
        <v>-1.1368683772161603E-13</v>
      </c>
      <c r="Q1886" s="7">
        <f t="shared" si="475"/>
        <v>3344144.9500000011</v>
      </c>
      <c r="R1886" s="44" t="str">
        <f>VLOOKUP(F1886,'Set up'!$A$2:$E$70,5,FALSE)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479"/>
        <v>7</v>
      </c>
      <c r="C1887" s="5">
        <f t="shared" si="480"/>
        <v>2023</v>
      </c>
      <c r="D1887" s="88" t="s">
        <v>1723</v>
      </c>
      <c r="E1887" s="5" t="str">
        <f>VLOOKUP(F1887,'Set up'!$A$2:$C$70,2,FALSE)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up'!$A$2:$C$70,3,FALSE)</f>
        <v>Cash</v>
      </c>
      <c r="J1887" s="5">
        <f>VLOOKUP(F1887,'Set up'!$A$2:$D$70,4,FALSE)</f>
        <v>0</v>
      </c>
      <c r="K1887" s="4">
        <f t="shared" si="481"/>
        <v>45125</v>
      </c>
      <c r="L1887" s="5">
        <f t="shared" si="482"/>
        <v>7</v>
      </c>
      <c r="M1887" s="5">
        <f t="shared" si="483"/>
        <v>2023</v>
      </c>
      <c r="N1887" s="6">
        <v>187.5</v>
      </c>
      <c r="O1887" s="6">
        <f t="shared" ref="O1887:O1889" si="488">-N1887</f>
        <v>-187.5</v>
      </c>
      <c r="P1887" s="6">
        <f t="shared" si="474"/>
        <v>0</v>
      </c>
      <c r="Q1887" s="7">
        <f t="shared" si="475"/>
        <v>3344332.4500000011</v>
      </c>
      <c r="R1887" s="44" t="str">
        <f>VLOOKUP(F1887,'Set up'!$A$2:$E$70,5,FALSE)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479"/>
        <v>7</v>
      </c>
      <c r="C1888" s="5">
        <f t="shared" si="480"/>
        <v>2023</v>
      </c>
      <c r="D1888" s="88" t="s">
        <v>1723</v>
      </c>
      <c r="E1888" s="5" t="str">
        <f>VLOOKUP(F1888,'Set up'!$A$2:$C$70,2,FALSE)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up'!$A$2:$C$70,3,FALSE)</f>
        <v>Cash</v>
      </c>
      <c r="J1888" s="5">
        <f>VLOOKUP(F1888,'Set up'!$A$2:$D$70,4,FALSE)</f>
        <v>0</v>
      </c>
      <c r="K1888" s="4">
        <f t="shared" si="481"/>
        <v>45125</v>
      </c>
      <c r="L1888" s="5">
        <f t="shared" si="482"/>
        <v>7</v>
      </c>
      <c r="M1888" s="5">
        <f t="shared" si="483"/>
        <v>2023</v>
      </c>
      <c r="N1888" s="6">
        <v>390</v>
      </c>
      <c r="O1888" s="6">
        <f t="shared" si="488"/>
        <v>-390</v>
      </c>
      <c r="P1888" s="6">
        <f t="shared" si="474"/>
        <v>0</v>
      </c>
      <c r="Q1888" s="7">
        <f t="shared" si="475"/>
        <v>3344722.4500000011</v>
      </c>
      <c r="R1888" s="44" t="str">
        <f>VLOOKUP(F1888,'Set up'!$A$2:$E$70,5,FALSE)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479"/>
        <v>7</v>
      </c>
      <c r="C1889" s="5">
        <f t="shared" si="480"/>
        <v>2023</v>
      </c>
      <c r="D1889" s="88" t="s">
        <v>1723</v>
      </c>
      <c r="E1889" s="5" t="str">
        <f>VLOOKUP(F1889,'Set up'!$A$2:$C$70,2,FALSE)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up'!$A$2:$C$70,3,FALSE)</f>
        <v>Cash</v>
      </c>
      <c r="J1889" s="5">
        <f>VLOOKUP(F1889,'Set up'!$A$2:$D$70,4,FALSE)</f>
        <v>0</v>
      </c>
      <c r="K1889" s="4">
        <f t="shared" si="481"/>
        <v>45125</v>
      </c>
      <c r="L1889" s="5">
        <f t="shared" si="482"/>
        <v>7</v>
      </c>
      <c r="M1889" s="5">
        <f t="shared" si="483"/>
        <v>2023</v>
      </c>
      <c r="N1889" s="6">
        <v>105</v>
      </c>
      <c r="O1889" s="6">
        <f t="shared" si="488"/>
        <v>-105</v>
      </c>
      <c r="P1889" s="6">
        <f t="shared" si="474"/>
        <v>0</v>
      </c>
      <c r="Q1889" s="7">
        <f t="shared" si="475"/>
        <v>3344827.4500000011</v>
      </c>
      <c r="R1889" s="44" t="str">
        <f>VLOOKUP(F1889,'Set up'!$A$2:$E$70,5,FALSE)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479"/>
        <v>7</v>
      </c>
      <c r="C1890" s="5">
        <f t="shared" si="480"/>
        <v>2023</v>
      </c>
      <c r="D1890" s="88" t="s">
        <v>1723</v>
      </c>
      <c r="E1890" s="5" t="str">
        <f>VLOOKUP(F1890,'Set up'!$A$2:$C$70,2,FALSE)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up'!$A$2:$C$70,3,FALSE)</f>
        <v>Cash</v>
      </c>
      <c r="J1890" s="5">
        <f>VLOOKUP(F1890,'Set up'!$A$2:$D$70,4,FALSE)</f>
        <v>0</v>
      </c>
      <c r="K1890" s="4">
        <f t="shared" si="481"/>
        <v>45125</v>
      </c>
      <c r="L1890" s="5">
        <f t="shared" si="482"/>
        <v>7</v>
      </c>
      <c r="M1890" s="5">
        <f t="shared" si="483"/>
        <v>2023</v>
      </c>
      <c r="N1890" s="6">
        <v>150</v>
      </c>
      <c r="O1890" s="6">
        <f>-69.3-80.7</f>
        <v>-150</v>
      </c>
      <c r="P1890" s="6">
        <f t="shared" si="474"/>
        <v>0</v>
      </c>
      <c r="Q1890" s="7">
        <f t="shared" si="475"/>
        <v>3344977.4500000011</v>
      </c>
      <c r="R1890" s="44" t="str">
        <f>VLOOKUP(F1890,'Set up'!$A$2:$E$70,5,FALSE)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479"/>
        <v>7</v>
      </c>
      <c r="C1891" s="5">
        <f t="shared" si="480"/>
        <v>2023</v>
      </c>
      <c r="D1891" s="88" t="s">
        <v>1725</v>
      </c>
      <c r="E1891" s="5" t="str">
        <f>VLOOKUP(F1891,'Set up'!$A$2:$C$70,2,FALSE)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up'!$A$2:$C$70,3,FALSE)</f>
        <v>Cash</v>
      </c>
      <c r="J1891" s="5">
        <f>VLOOKUP(F1891,'Set up'!$A$2:$D$70,4,FALSE)</f>
        <v>0</v>
      </c>
      <c r="K1891" s="4">
        <f t="shared" si="481"/>
        <v>45133</v>
      </c>
      <c r="L1891" s="5">
        <f t="shared" si="482"/>
        <v>7</v>
      </c>
      <c r="M1891" s="5">
        <f t="shared" si="483"/>
        <v>2023</v>
      </c>
      <c r="N1891" s="6">
        <v>62.5</v>
      </c>
      <c r="O1891" s="6">
        <f>-N1891</f>
        <v>-62.5</v>
      </c>
      <c r="P1891" s="6">
        <f t="shared" si="474"/>
        <v>0</v>
      </c>
      <c r="Q1891" s="7">
        <f t="shared" si="475"/>
        <v>3345039.9500000011</v>
      </c>
      <c r="R1891" s="44" t="str">
        <f>VLOOKUP(F1891,'Set up'!$A$2:$E$70,5,FALSE)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479"/>
        <v>7</v>
      </c>
      <c r="C1892" s="5">
        <f t="shared" si="480"/>
        <v>2023</v>
      </c>
      <c r="D1892" s="88" t="s">
        <v>1726</v>
      </c>
      <c r="E1892" s="5" t="str">
        <f>VLOOKUP(F1892,'Set up'!$A$2:$C$70,2,FALSE)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up'!$A$2:$C$70,3,FALSE)</f>
        <v>Cash</v>
      </c>
      <c r="J1892" s="5">
        <f>VLOOKUP(F1892,'Set up'!$A$2:$D$70,4,FALSE)</f>
        <v>0</v>
      </c>
      <c r="K1892" s="4">
        <f t="shared" si="481"/>
        <v>45127</v>
      </c>
      <c r="L1892" s="5">
        <f t="shared" si="482"/>
        <v>7</v>
      </c>
      <c r="M1892" s="5">
        <f t="shared" si="483"/>
        <v>2023</v>
      </c>
      <c r="N1892" s="6">
        <v>420</v>
      </c>
      <c r="O1892" s="6">
        <f t="shared" ref="O1892" si="489">-N1892</f>
        <v>-420</v>
      </c>
      <c r="P1892" s="6">
        <f t="shared" si="474"/>
        <v>0</v>
      </c>
      <c r="Q1892" s="7">
        <f t="shared" si="475"/>
        <v>3345459.9500000011</v>
      </c>
      <c r="R1892" s="44" t="str">
        <f>VLOOKUP(F1892,'Set up'!$A$2:$E$70,5,FALSE)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479"/>
        <v>7</v>
      </c>
      <c r="C1893" s="5">
        <f t="shared" si="480"/>
        <v>2023</v>
      </c>
      <c r="D1893" s="88" t="s">
        <v>1727</v>
      </c>
      <c r="E1893" s="5" t="str">
        <f>VLOOKUP(F1893,'Set up'!$A$2:$C$70,2,FALSE)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up'!$A$2:$C$70,3,FALSE)</f>
        <v>120</v>
      </c>
      <c r="J1893" s="5">
        <f>VLOOKUP(F1893,'Set up'!$A$2:$D$70,4,FALSE)</f>
        <v>120</v>
      </c>
      <c r="K1893" s="4">
        <f t="shared" si="481"/>
        <v>45248</v>
      </c>
      <c r="L1893" s="5">
        <f t="shared" si="482"/>
        <v>11</v>
      </c>
      <c r="M1893" s="5">
        <f t="shared" si="483"/>
        <v>2023</v>
      </c>
      <c r="N1893" s="6">
        <v>9636</v>
      </c>
      <c r="O1893" s="6">
        <f>-N1893</f>
        <v>-9636</v>
      </c>
      <c r="P1893" s="6">
        <f t="shared" si="474"/>
        <v>0</v>
      </c>
      <c r="Q1893" s="7">
        <f t="shared" si="475"/>
        <v>3355095.9500000011</v>
      </c>
      <c r="R1893" s="44" t="str">
        <f>VLOOKUP(F1893,'Set up'!$A$2:$E$70,5,FALSE)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479"/>
        <v>7</v>
      </c>
      <c r="C1894" s="5">
        <f t="shared" si="480"/>
        <v>2023</v>
      </c>
      <c r="D1894" s="88" t="s">
        <v>1727</v>
      </c>
      <c r="E1894" s="5" t="str">
        <f>VLOOKUP(F1894,'Set up'!$A$2:$C$70,2,FALSE)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up'!$A$2:$C$70,3,FALSE)</f>
        <v>120</v>
      </c>
      <c r="J1894" s="5">
        <f>VLOOKUP(F1894,'Set up'!$A$2:$D$70,4,FALSE)</f>
        <v>120</v>
      </c>
      <c r="K1894" s="4">
        <f t="shared" si="481"/>
        <v>45248</v>
      </c>
      <c r="L1894" s="5">
        <f t="shared" si="482"/>
        <v>11</v>
      </c>
      <c r="M1894" s="5">
        <f t="shared" si="483"/>
        <v>2023</v>
      </c>
      <c r="N1894" s="6">
        <v>900</v>
      </c>
      <c r="O1894" s="6">
        <f>-N1894</f>
        <v>-900</v>
      </c>
      <c r="P1894" s="6">
        <f t="shared" si="474"/>
        <v>0</v>
      </c>
      <c r="Q1894" s="7">
        <f t="shared" si="475"/>
        <v>3355995.9500000011</v>
      </c>
      <c r="R1894" s="44" t="str">
        <f>VLOOKUP(F1894,'Set up'!$A$2:$E$70,5,FALSE)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479"/>
        <v>7</v>
      </c>
      <c r="C1895" s="5">
        <f t="shared" si="480"/>
        <v>2023</v>
      </c>
      <c r="D1895" s="88" t="s">
        <v>1727</v>
      </c>
      <c r="E1895" s="5" t="str">
        <f>VLOOKUP(F1895,'Set up'!$A$2:$C$70,2,FALSE)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up'!$A$2:$C$70,3,FALSE)</f>
        <v>120</v>
      </c>
      <c r="J1895" s="5">
        <f>VLOOKUP(F1895,'Set up'!$A$2:$D$70,4,FALSE)</f>
        <v>120</v>
      </c>
      <c r="K1895" s="4">
        <f t="shared" si="481"/>
        <v>45248</v>
      </c>
      <c r="L1895" s="5">
        <f t="shared" si="482"/>
        <v>11</v>
      </c>
      <c r="M1895" s="5">
        <f t="shared" si="483"/>
        <v>2023</v>
      </c>
      <c r="N1895" s="6">
        <v>862.5</v>
      </c>
      <c r="O1895" s="6">
        <f>-N1895</f>
        <v>-862.5</v>
      </c>
      <c r="P1895" s="6">
        <f t="shared" si="474"/>
        <v>0</v>
      </c>
      <c r="Q1895" s="7">
        <f t="shared" si="475"/>
        <v>3356858.4500000011</v>
      </c>
      <c r="R1895" s="44" t="str">
        <f>VLOOKUP(F1895,'Set up'!$A$2:$E$70,5,FALSE)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479"/>
        <v>7</v>
      </c>
      <c r="C1896" s="5">
        <f t="shared" si="480"/>
        <v>2023</v>
      </c>
      <c r="D1896" s="88" t="s">
        <v>1728</v>
      </c>
      <c r="E1896" s="5" t="str">
        <f>VLOOKUP(F1896,'Set up'!$A$2:$C$70,2,FALSE)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up'!$A$2:$C$70,3,FALSE)</f>
        <v>30</v>
      </c>
      <c r="J1896" s="5">
        <f>VLOOKUP(F1896,'Set up'!$A$2:$D$70,4,FALSE)</f>
        <v>30</v>
      </c>
      <c r="K1896" s="4">
        <f t="shared" si="481"/>
        <v>45158</v>
      </c>
      <c r="L1896" s="5">
        <f t="shared" si="482"/>
        <v>8</v>
      </c>
      <c r="M1896" s="5">
        <f t="shared" si="483"/>
        <v>2023</v>
      </c>
      <c r="N1896" s="6">
        <v>7304</v>
      </c>
      <c r="O1896" s="6">
        <f t="shared" ref="O1896:O1902" si="490">-N1896</f>
        <v>-7304</v>
      </c>
      <c r="P1896" s="6">
        <f t="shared" si="474"/>
        <v>0</v>
      </c>
      <c r="Q1896" s="7">
        <f t="shared" si="475"/>
        <v>3364162.4500000011</v>
      </c>
      <c r="R1896" s="44" t="str">
        <f>VLOOKUP(F1896,'Set up'!$A$2:$E$70,5,FALSE)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479"/>
        <v>7</v>
      </c>
      <c r="C1897" s="5">
        <f t="shared" si="480"/>
        <v>2023</v>
      </c>
      <c r="D1897" s="88" t="s">
        <v>1728</v>
      </c>
      <c r="E1897" s="5" t="str">
        <f>VLOOKUP(F1897,'Set up'!$A$2:$C$70,2,FALSE)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up'!$A$2:$C$70,3,FALSE)</f>
        <v>30</v>
      </c>
      <c r="J1897" s="5">
        <f>VLOOKUP(F1897,'Set up'!$A$2:$D$70,4,FALSE)</f>
        <v>30</v>
      </c>
      <c r="K1897" s="4">
        <f t="shared" si="481"/>
        <v>45158</v>
      </c>
      <c r="L1897" s="5">
        <f t="shared" si="482"/>
        <v>8</v>
      </c>
      <c r="M1897" s="5">
        <f t="shared" si="483"/>
        <v>2023</v>
      </c>
      <c r="N1897" s="6">
        <v>2106</v>
      </c>
      <c r="O1897" s="6">
        <f t="shared" si="490"/>
        <v>-2106</v>
      </c>
      <c r="P1897" s="6">
        <f t="shared" si="474"/>
        <v>0</v>
      </c>
      <c r="Q1897" s="7">
        <f t="shared" si="475"/>
        <v>3366268.4500000011</v>
      </c>
      <c r="R1897" s="44" t="str">
        <f>VLOOKUP(F1897,'Set up'!$A$2:$E$70,5,FALSE)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479"/>
        <v>7</v>
      </c>
      <c r="C1898" s="5">
        <f t="shared" si="480"/>
        <v>2023</v>
      </c>
      <c r="D1898" s="88" t="s">
        <v>1728</v>
      </c>
      <c r="E1898" s="5" t="str">
        <f>VLOOKUP(F1898,'Set up'!$A$2:$C$70,2,FALSE)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up'!$A$2:$C$70,3,FALSE)</f>
        <v>30</v>
      </c>
      <c r="J1898" s="5">
        <f>VLOOKUP(F1898,'Set up'!$A$2:$D$70,4,FALSE)</f>
        <v>30</v>
      </c>
      <c r="K1898" s="4">
        <f t="shared" si="481"/>
        <v>45158</v>
      </c>
      <c r="L1898" s="5">
        <f t="shared" si="482"/>
        <v>8</v>
      </c>
      <c r="M1898" s="5">
        <f t="shared" si="483"/>
        <v>2023</v>
      </c>
      <c r="N1898" s="6">
        <v>240</v>
      </c>
      <c r="O1898" s="6">
        <f t="shared" si="490"/>
        <v>-240</v>
      </c>
      <c r="P1898" s="6">
        <f t="shared" si="474"/>
        <v>0</v>
      </c>
      <c r="Q1898" s="7">
        <f t="shared" si="475"/>
        <v>3366508.4500000011</v>
      </c>
      <c r="R1898" s="44" t="str">
        <f>VLOOKUP(F1898,'Set up'!$A$2:$E$70,5,FALSE)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479"/>
        <v>7</v>
      </c>
      <c r="C1899" s="5">
        <f t="shared" si="480"/>
        <v>2023</v>
      </c>
      <c r="D1899" s="88" t="s">
        <v>1728</v>
      </c>
      <c r="E1899" s="5" t="str">
        <f>VLOOKUP(F1899,'Set up'!$A$2:$C$70,2,FALSE)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up'!$A$2:$C$70,3,FALSE)</f>
        <v>30</v>
      </c>
      <c r="J1899" s="5">
        <f>VLOOKUP(F1899,'Set up'!$A$2:$D$70,4,FALSE)</f>
        <v>30</v>
      </c>
      <c r="K1899" s="4">
        <f t="shared" si="481"/>
        <v>45158</v>
      </c>
      <c r="L1899" s="5">
        <f t="shared" si="482"/>
        <v>8</v>
      </c>
      <c r="M1899" s="5">
        <f t="shared" si="483"/>
        <v>2023</v>
      </c>
      <c r="N1899" s="6">
        <v>190</v>
      </c>
      <c r="O1899" s="6">
        <f t="shared" si="490"/>
        <v>-190</v>
      </c>
      <c r="P1899" s="6">
        <f t="shared" si="474"/>
        <v>0</v>
      </c>
      <c r="Q1899" s="7">
        <f t="shared" si="475"/>
        <v>3366698.4500000011</v>
      </c>
      <c r="R1899" s="44" t="str">
        <f>VLOOKUP(F1899,'Set up'!$A$2:$E$70,5,FALSE)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479"/>
        <v>7</v>
      </c>
      <c r="C1900" s="5">
        <f t="shared" si="480"/>
        <v>2023</v>
      </c>
      <c r="D1900" s="88" t="s">
        <v>1728</v>
      </c>
      <c r="E1900" s="5" t="str">
        <f>VLOOKUP(F1900,'Set up'!$A$2:$C$70,2,FALSE)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up'!$A$2:$C$70,3,FALSE)</f>
        <v>30</v>
      </c>
      <c r="J1900" s="5">
        <f>VLOOKUP(F1900,'Set up'!$A$2:$D$70,4,FALSE)</f>
        <v>30</v>
      </c>
      <c r="K1900" s="4">
        <f t="shared" si="481"/>
        <v>45158</v>
      </c>
      <c r="L1900" s="5">
        <f t="shared" si="482"/>
        <v>8</v>
      </c>
      <c r="M1900" s="5">
        <f t="shared" si="483"/>
        <v>2023</v>
      </c>
      <c r="N1900" s="6">
        <v>312.5</v>
      </c>
      <c r="O1900" s="6">
        <f t="shared" si="490"/>
        <v>-312.5</v>
      </c>
      <c r="P1900" s="6">
        <f t="shared" si="474"/>
        <v>0</v>
      </c>
      <c r="Q1900" s="7">
        <f t="shared" si="475"/>
        <v>3367010.9500000011</v>
      </c>
      <c r="R1900" s="44" t="str">
        <f>VLOOKUP(F1900,'Set up'!$A$2:$E$70,5,FALSE)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479"/>
        <v>7</v>
      </c>
      <c r="C1901" s="5">
        <f t="shared" si="480"/>
        <v>2023</v>
      </c>
      <c r="D1901" s="88" t="s">
        <v>1728</v>
      </c>
      <c r="E1901" s="5" t="str">
        <f>VLOOKUP(F1901,'Set up'!$A$2:$C$70,2,FALSE)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up'!$A$2:$C$70,3,FALSE)</f>
        <v>30</v>
      </c>
      <c r="J1901" s="5">
        <f>VLOOKUP(F1901,'Set up'!$A$2:$D$70,4,FALSE)</f>
        <v>30</v>
      </c>
      <c r="K1901" s="4">
        <f t="shared" si="481"/>
        <v>45158</v>
      </c>
      <c r="L1901" s="5">
        <f t="shared" si="482"/>
        <v>8</v>
      </c>
      <c r="M1901" s="5">
        <f t="shared" si="483"/>
        <v>2023</v>
      </c>
      <c r="N1901" s="6">
        <v>260</v>
      </c>
      <c r="O1901" s="6">
        <f t="shared" si="490"/>
        <v>-260</v>
      </c>
      <c r="P1901" s="6">
        <f t="shared" si="474"/>
        <v>0</v>
      </c>
      <c r="Q1901" s="7">
        <f t="shared" si="475"/>
        <v>3367270.9500000011</v>
      </c>
      <c r="R1901" s="44" t="str">
        <f>VLOOKUP(F1901,'Set up'!$A$2:$E$70,5,FALSE)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479"/>
        <v>7</v>
      </c>
      <c r="C1902" s="5">
        <f t="shared" si="480"/>
        <v>2023</v>
      </c>
      <c r="D1902" s="88" t="s">
        <v>1728</v>
      </c>
      <c r="E1902" s="5" t="str">
        <f>VLOOKUP(F1902,'Set up'!$A$2:$C$70,2,FALSE)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up'!$A$2:$C$70,3,FALSE)</f>
        <v>30</v>
      </c>
      <c r="J1902" s="5">
        <f>VLOOKUP(F1902,'Set up'!$A$2:$D$70,4,FALSE)</f>
        <v>30</v>
      </c>
      <c r="K1902" s="4">
        <f t="shared" si="481"/>
        <v>45158</v>
      </c>
      <c r="L1902" s="5">
        <f t="shared" si="482"/>
        <v>8</v>
      </c>
      <c r="M1902" s="5">
        <f t="shared" si="483"/>
        <v>2023</v>
      </c>
      <c r="N1902" s="6">
        <v>930</v>
      </c>
      <c r="O1902" s="6">
        <f t="shared" si="490"/>
        <v>-930</v>
      </c>
      <c r="P1902" s="6">
        <f t="shared" si="474"/>
        <v>0</v>
      </c>
      <c r="Q1902" s="7">
        <f t="shared" si="475"/>
        <v>3368200.9500000011</v>
      </c>
      <c r="R1902" s="44" t="str">
        <f>VLOOKUP(F1902,'Set up'!$A$2:$E$70,5,FALSE)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479"/>
        <v>7</v>
      </c>
      <c r="C1903" s="5">
        <f t="shared" si="480"/>
        <v>2023</v>
      </c>
      <c r="D1903" s="88" t="s">
        <v>1729</v>
      </c>
      <c r="E1903" s="5" t="str">
        <f>VLOOKUP(F1903,'Set up'!$A$2:$C$70,2,FALSE)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up'!$A$2:$C$70,3,FALSE)</f>
        <v>Cash</v>
      </c>
      <c r="J1903" s="5">
        <f>VLOOKUP(F1903,'Set up'!$A$2:$D$70,4,FALSE)</f>
        <v>0</v>
      </c>
      <c r="K1903" s="4">
        <f t="shared" si="481"/>
        <v>45131</v>
      </c>
      <c r="L1903" s="5">
        <f t="shared" si="482"/>
        <v>7</v>
      </c>
      <c r="M1903" s="5">
        <f t="shared" si="483"/>
        <v>2023</v>
      </c>
      <c r="N1903" s="6">
        <v>3652</v>
      </c>
      <c r="O1903" s="6">
        <f t="shared" ref="O1903:O1909" si="491">-N1903</f>
        <v>-3652</v>
      </c>
      <c r="P1903" s="6">
        <f t="shared" si="474"/>
        <v>0</v>
      </c>
      <c r="Q1903" s="7">
        <f t="shared" si="475"/>
        <v>3371852.9500000011</v>
      </c>
      <c r="R1903" s="44" t="str">
        <f>VLOOKUP(F1903,'Set up'!$A$2:$E$70,5,FALSE)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479"/>
        <v>7</v>
      </c>
      <c r="C1904" s="5">
        <f t="shared" si="480"/>
        <v>2023</v>
      </c>
      <c r="D1904" s="88" t="s">
        <v>1729</v>
      </c>
      <c r="E1904" s="5" t="str">
        <f>VLOOKUP(F1904,'Set up'!$A$2:$C$70,2,FALSE)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up'!$A$2:$C$70,3,FALSE)</f>
        <v>Cash</v>
      </c>
      <c r="J1904" s="5">
        <f>VLOOKUP(F1904,'Set up'!$A$2:$D$70,4,FALSE)</f>
        <v>0</v>
      </c>
      <c r="K1904" s="4">
        <f t="shared" si="481"/>
        <v>45131</v>
      </c>
      <c r="L1904" s="5">
        <f t="shared" si="482"/>
        <v>7</v>
      </c>
      <c r="M1904" s="5">
        <f t="shared" si="483"/>
        <v>2023</v>
      </c>
      <c r="N1904" s="6">
        <v>675</v>
      </c>
      <c r="O1904" s="6">
        <f t="shared" si="491"/>
        <v>-675</v>
      </c>
      <c r="P1904" s="6">
        <f t="shared" si="474"/>
        <v>0</v>
      </c>
      <c r="Q1904" s="7">
        <f t="shared" si="475"/>
        <v>3372527.9500000011</v>
      </c>
      <c r="R1904" s="44" t="str">
        <f>VLOOKUP(F1904,'Set up'!$A$2:$E$70,5,FALSE)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479"/>
        <v>7</v>
      </c>
      <c r="C1905" s="5">
        <f t="shared" si="480"/>
        <v>2023</v>
      </c>
      <c r="D1905" s="88" t="s">
        <v>1729</v>
      </c>
      <c r="E1905" s="5" t="str">
        <f>VLOOKUP(F1905,'Set up'!$A$2:$C$70,2,FALSE)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up'!$A$2:$C$70,3,FALSE)</f>
        <v>Cash</v>
      </c>
      <c r="J1905" s="5">
        <f>VLOOKUP(F1905,'Set up'!$A$2:$D$70,4,FALSE)</f>
        <v>0</v>
      </c>
      <c r="K1905" s="4">
        <f t="shared" si="481"/>
        <v>45131</v>
      </c>
      <c r="L1905" s="5">
        <f t="shared" si="482"/>
        <v>7</v>
      </c>
      <c r="M1905" s="5">
        <f t="shared" si="483"/>
        <v>2023</v>
      </c>
      <c r="N1905" s="6">
        <v>236</v>
      </c>
      <c r="O1905" s="6">
        <f t="shared" si="491"/>
        <v>-236</v>
      </c>
      <c r="P1905" s="6">
        <f t="shared" si="474"/>
        <v>0</v>
      </c>
      <c r="Q1905" s="7">
        <f t="shared" si="475"/>
        <v>3372763.9500000011</v>
      </c>
      <c r="R1905" s="44" t="str">
        <f>VLOOKUP(F1905,'Set up'!$A$2:$E$70,5,FALSE)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479"/>
        <v>7</v>
      </c>
      <c r="C1906" s="5">
        <f t="shared" si="480"/>
        <v>2023</v>
      </c>
      <c r="D1906" s="88" t="s">
        <v>1729</v>
      </c>
      <c r="E1906" s="5" t="str">
        <f>VLOOKUP(F1906,'Set up'!$A$2:$C$70,2,FALSE)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up'!$A$2:$C$70,3,FALSE)</f>
        <v>Cash</v>
      </c>
      <c r="J1906" s="5">
        <f>VLOOKUP(F1906,'Set up'!$A$2:$D$70,4,FALSE)</f>
        <v>0</v>
      </c>
      <c r="K1906" s="4">
        <f t="shared" si="481"/>
        <v>45131</v>
      </c>
      <c r="L1906" s="5">
        <f t="shared" si="482"/>
        <v>7</v>
      </c>
      <c r="M1906" s="5">
        <f t="shared" si="483"/>
        <v>2023</v>
      </c>
      <c r="N1906" s="6">
        <v>190</v>
      </c>
      <c r="O1906" s="6">
        <f t="shared" si="491"/>
        <v>-190</v>
      </c>
      <c r="P1906" s="6">
        <f t="shared" si="474"/>
        <v>0</v>
      </c>
      <c r="Q1906" s="7">
        <f t="shared" si="475"/>
        <v>3372953.9500000011</v>
      </c>
      <c r="R1906" s="44" t="str">
        <f>VLOOKUP(F1906,'Set up'!$A$2:$E$70,5,FALSE)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479"/>
        <v>7</v>
      </c>
      <c r="C1907" s="5">
        <f t="shared" si="480"/>
        <v>2023</v>
      </c>
      <c r="D1907" s="88" t="s">
        <v>1729</v>
      </c>
      <c r="E1907" s="5" t="str">
        <f>VLOOKUP(F1907,'Set up'!$A$2:$C$70,2,FALSE)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up'!$A$2:$C$70,3,FALSE)</f>
        <v>Cash</v>
      </c>
      <c r="J1907" s="5">
        <f>VLOOKUP(F1907,'Set up'!$A$2:$D$70,4,FALSE)</f>
        <v>0</v>
      </c>
      <c r="K1907" s="4">
        <f t="shared" si="481"/>
        <v>45131</v>
      </c>
      <c r="L1907" s="5">
        <f t="shared" si="482"/>
        <v>7</v>
      </c>
      <c r="M1907" s="5">
        <f t="shared" si="483"/>
        <v>2023</v>
      </c>
      <c r="N1907" s="6">
        <v>187.5</v>
      </c>
      <c r="O1907" s="6">
        <f>-187-0.5</f>
        <v>-187.5</v>
      </c>
      <c r="P1907" s="6">
        <f t="shared" si="474"/>
        <v>0</v>
      </c>
      <c r="Q1907" s="7">
        <f t="shared" si="475"/>
        <v>3373141.4500000011</v>
      </c>
      <c r="R1907" s="44" t="str">
        <f>VLOOKUP(F1907,'Set up'!$A$2:$E$70,5,FALSE)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479"/>
        <v>7</v>
      </c>
      <c r="C1908" s="5">
        <f t="shared" si="480"/>
        <v>2023</v>
      </c>
      <c r="D1908" s="88" t="s">
        <v>1730</v>
      </c>
      <c r="E1908" s="5" t="str">
        <f>VLOOKUP(F1908,'Set up'!$A$2:$C$70,2,FALSE)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up'!$A$2:$C$70,3,FALSE)</f>
        <v>Cash</v>
      </c>
      <c r="J1908" s="5">
        <f>VLOOKUP(F1908,'Set up'!$A$2:$D$70,4,FALSE)</f>
        <v>0</v>
      </c>
      <c r="K1908" s="4">
        <f t="shared" si="481"/>
        <v>45132</v>
      </c>
      <c r="L1908" s="5">
        <f t="shared" si="482"/>
        <v>7</v>
      </c>
      <c r="M1908" s="5">
        <f t="shared" si="483"/>
        <v>2023</v>
      </c>
      <c r="N1908" s="6">
        <v>350</v>
      </c>
      <c r="O1908" s="6">
        <f t="shared" si="491"/>
        <v>-350</v>
      </c>
      <c r="P1908" s="6">
        <f t="shared" si="474"/>
        <v>0</v>
      </c>
      <c r="Q1908" s="7">
        <f t="shared" si="475"/>
        <v>3373491.4500000011</v>
      </c>
      <c r="R1908" s="44" t="str">
        <f>VLOOKUP(F1908,'Set up'!$A$2:$E$70,5,FALSE)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si="479"/>
        <v>7</v>
      </c>
      <c r="C1909" s="5">
        <f t="shared" si="480"/>
        <v>2023</v>
      </c>
      <c r="D1909" s="88" t="s">
        <v>1730</v>
      </c>
      <c r="E1909" s="5" t="str">
        <f>VLOOKUP(F1909,'Set up'!$A$2:$C$70,2,FALSE)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up'!$A$2:$C$70,3,FALSE)</f>
        <v>Cash</v>
      </c>
      <c r="J1909" s="5">
        <f>VLOOKUP(F1909,'Set up'!$A$2:$D$70,4,FALSE)</f>
        <v>0</v>
      </c>
      <c r="K1909" s="4">
        <f t="shared" si="481"/>
        <v>45132</v>
      </c>
      <c r="L1909" s="5">
        <f t="shared" si="482"/>
        <v>7</v>
      </c>
      <c r="M1909" s="5">
        <f t="shared" si="483"/>
        <v>2023</v>
      </c>
      <c r="N1909" s="6">
        <v>55</v>
      </c>
      <c r="O1909" s="6">
        <f t="shared" si="491"/>
        <v>-55</v>
      </c>
      <c r="P1909" s="6">
        <f t="shared" ref="P1909:P1935" si="492">SUM(N1909+O1909)</f>
        <v>0</v>
      </c>
      <c r="Q1909" s="7">
        <f t="shared" ref="Q1909:Q1935" si="493">SUM(Q1908+N1909)</f>
        <v>3373546.4500000011</v>
      </c>
      <c r="R1909" s="44" t="str">
        <f>VLOOKUP(F1909,'Set up'!$A$2:$E$70,5,FALSE)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479"/>
        <v>7</v>
      </c>
      <c r="C1910" s="5">
        <f t="shared" si="480"/>
        <v>2023</v>
      </c>
      <c r="D1910" s="88" t="s">
        <v>1731</v>
      </c>
      <c r="E1910" s="5" t="str">
        <f>VLOOKUP(F1910,'Set up'!$A$2:$C$70,2,FALSE)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up'!$A$2:$C$70,3,FALSE)</f>
        <v>Cash</v>
      </c>
      <c r="J1910" s="5">
        <f>VLOOKUP(F1910,'Set up'!$A$2:$D$70,4,FALSE)</f>
        <v>0</v>
      </c>
      <c r="K1910" s="4">
        <f t="shared" si="481"/>
        <v>45133</v>
      </c>
      <c r="L1910" s="5">
        <f t="shared" si="482"/>
        <v>7</v>
      </c>
      <c r="M1910" s="5">
        <f t="shared" si="483"/>
        <v>2023</v>
      </c>
      <c r="N1910" s="6">
        <v>3080</v>
      </c>
      <c r="O1910" s="6">
        <f>-N1910</f>
        <v>-3080</v>
      </c>
      <c r="P1910" s="6">
        <f t="shared" si="492"/>
        <v>0</v>
      </c>
      <c r="Q1910" s="7">
        <f t="shared" si="493"/>
        <v>3376626.4500000011</v>
      </c>
      <c r="R1910" s="44" t="str">
        <f>VLOOKUP(F1910,'Set up'!$A$2:$E$70,5,FALSE)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479"/>
        <v>7</v>
      </c>
      <c r="C1911" s="5">
        <f t="shared" si="480"/>
        <v>2023</v>
      </c>
      <c r="D1911" s="88" t="s">
        <v>1731</v>
      </c>
      <c r="E1911" s="5" t="str">
        <f>VLOOKUP(F1911,'Set up'!$A$2:$C$70,2,FALSE)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up'!$A$2:$C$70,3,FALSE)</f>
        <v>Cash</v>
      </c>
      <c r="J1911" s="5">
        <f>VLOOKUP(F1911,'Set up'!$A$2:$D$70,4,FALSE)</f>
        <v>0</v>
      </c>
      <c r="K1911" s="4">
        <f t="shared" si="481"/>
        <v>45133</v>
      </c>
      <c r="L1911" s="5">
        <f t="shared" si="482"/>
        <v>7</v>
      </c>
      <c r="M1911" s="5">
        <f t="shared" si="483"/>
        <v>2023</v>
      </c>
      <c r="N1911" s="6">
        <v>1134</v>
      </c>
      <c r="O1911" s="6">
        <f>-N1911</f>
        <v>-1134</v>
      </c>
      <c r="P1911" s="6">
        <f t="shared" si="492"/>
        <v>0</v>
      </c>
      <c r="Q1911" s="7">
        <f t="shared" si="493"/>
        <v>3377760.4500000011</v>
      </c>
      <c r="R1911" s="44" t="str">
        <f>VLOOKUP(F1911,'Set up'!$A$2:$E$70,5,FALSE)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479"/>
        <v>7</v>
      </c>
      <c r="C1912" s="5">
        <f t="shared" si="480"/>
        <v>2023</v>
      </c>
      <c r="D1912" s="88" t="s">
        <v>1731</v>
      </c>
      <c r="E1912" s="5" t="str">
        <f>VLOOKUP(F1912,'Set up'!$A$2:$C$70,2,FALSE)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up'!$A$2:$C$70,3,FALSE)</f>
        <v>Cash</v>
      </c>
      <c r="J1912" s="5">
        <f>VLOOKUP(F1912,'Set up'!$A$2:$D$70,4,FALSE)</f>
        <v>0</v>
      </c>
      <c r="K1912" s="4">
        <f t="shared" si="481"/>
        <v>45133</v>
      </c>
      <c r="L1912" s="5">
        <f t="shared" si="482"/>
        <v>7</v>
      </c>
      <c r="M1912" s="5">
        <f t="shared" si="483"/>
        <v>2023</v>
      </c>
      <c r="N1912" s="6">
        <v>600</v>
      </c>
      <c r="O1912" s="6">
        <f>-N1912</f>
        <v>-600</v>
      </c>
      <c r="P1912" s="6">
        <f t="shared" si="492"/>
        <v>0</v>
      </c>
      <c r="Q1912" s="7">
        <f t="shared" si="493"/>
        <v>3378360.4500000011</v>
      </c>
      <c r="R1912" s="44" t="str">
        <f>VLOOKUP(F1912,'Set up'!$A$2:$E$70,5,FALSE)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479"/>
        <v>7</v>
      </c>
      <c r="C1913" s="5">
        <f t="shared" si="480"/>
        <v>2023</v>
      </c>
      <c r="D1913" s="88" t="s">
        <v>1731</v>
      </c>
      <c r="E1913" s="5" t="str">
        <f>VLOOKUP(F1913,'Set up'!$A$2:$C$70,2,FALSE)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up'!$A$2:$C$70,3,FALSE)</f>
        <v>Cash</v>
      </c>
      <c r="J1913" s="5">
        <f>VLOOKUP(F1913,'Set up'!$A$2:$D$70,4,FALSE)</f>
        <v>0</v>
      </c>
      <c r="K1913" s="4">
        <f t="shared" si="481"/>
        <v>45133</v>
      </c>
      <c r="L1913" s="5">
        <f t="shared" si="482"/>
        <v>7</v>
      </c>
      <c r="M1913" s="5">
        <f t="shared" si="483"/>
        <v>2023</v>
      </c>
      <c r="N1913" s="6">
        <v>380</v>
      </c>
      <c r="O1913" s="6">
        <f>-N1913</f>
        <v>-380</v>
      </c>
      <c r="P1913" s="6">
        <f t="shared" si="492"/>
        <v>0</v>
      </c>
      <c r="Q1913" s="7">
        <f t="shared" si="493"/>
        <v>3378740.4500000011</v>
      </c>
      <c r="R1913" s="44" t="str">
        <f>VLOOKUP(F1913,'Set up'!$A$2:$E$70,5,FALSE)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479"/>
        <v>7</v>
      </c>
      <c r="C1914" s="5">
        <f t="shared" si="480"/>
        <v>2023</v>
      </c>
      <c r="D1914" s="88" t="s">
        <v>1731</v>
      </c>
      <c r="E1914" s="5" t="str">
        <f>VLOOKUP(F1914,'Set up'!$A$2:$C$70,2,FALSE)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up'!$A$2:$C$70,3,FALSE)</f>
        <v>Cash</v>
      </c>
      <c r="J1914" s="5">
        <f>VLOOKUP(F1914,'Set up'!$A$2:$D$70,4,FALSE)</f>
        <v>0</v>
      </c>
      <c r="K1914" s="4">
        <f t="shared" si="481"/>
        <v>45133</v>
      </c>
      <c r="L1914" s="5">
        <f t="shared" si="482"/>
        <v>7</v>
      </c>
      <c r="M1914" s="5">
        <f t="shared" si="483"/>
        <v>2023</v>
      </c>
      <c r="N1914" s="6">
        <v>1000</v>
      </c>
      <c r="O1914" s="6">
        <f>-N1914</f>
        <v>-1000</v>
      </c>
      <c r="P1914" s="6">
        <f t="shared" si="492"/>
        <v>0</v>
      </c>
      <c r="Q1914" s="7">
        <f t="shared" si="493"/>
        <v>3379740.4500000011</v>
      </c>
      <c r="R1914" s="44" t="str">
        <f>VLOOKUP(F1914,'Set up'!$A$2:$E$70,5,FALSE)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479"/>
        <v>7</v>
      </c>
      <c r="C1915" s="5">
        <f t="shared" si="480"/>
        <v>2023</v>
      </c>
      <c r="D1915" s="88" t="s">
        <v>1734</v>
      </c>
      <c r="E1915" s="5" t="str">
        <f>VLOOKUP(F1915,'Set up'!$A$2:$C$70,2,FALSE)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up'!$A$2:$C$70,3,FALSE)</f>
        <v>Cash</v>
      </c>
      <c r="J1915" s="5">
        <f>VLOOKUP(F1915,'Set up'!$A$2:$D$70,4,FALSE)</f>
        <v>0</v>
      </c>
      <c r="K1915" s="4">
        <f t="shared" si="481"/>
        <v>45134</v>
      </c>
      <c r="L1915" s="5">
        <f t="shared" si="482"/>
        <v>7</v>
      </c>
      <c r="M1915" s="5">
        <f t="shared" si="483"/>
        <v>2023</v>
      </c>
      <c r="N1915" s="6">
        <v>1826</v>
      </c>
      <c r="O1915" s="6">
        <f t="shared" ref="O1915:O1918" si="494">-N1915</f>
        <v>-1826</v>
      </c>
      <c r="P1915" s="6">
        <f t="shared" si="492"/>
        <v>0</v>
      </c>
      <c r="Q1915" s="7">
        <f t="shared" si="493"/>
        <v>3381566.4500000011</v>
      </c>
      <c r="R1915" s="44" t="str">
        <f>VLOOKUP(F1915,'Set up'!$A$2:$E$70,5,FALSE)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479"/>
        <v>7</v>
      </c>
      <c r="C1916" s="5">
        <f t="shared" si="480"/>
        <v>2023</v>
      </c>
      <c r="D1916" s="88" t="s">
        <v>1734</v>
      </c>
      <c r="E1916" s="5" t="str">
        <f>VLOOKUP(F1916,'Set up'!$A$2:$C$70,2,FALSE)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up'!$A$2:$C$70,3,FALSE)</f>
        <v>Cash</v>
      </c>
      <c r="J1916" s="5">
        <f>VLOOKUP(F1916,'Set up'!$A$2:$D$70,4,FALSE)</f>
        <v>0</v>
      </c>
      <c r="K1916" s="4">
        <f t="shared" si="481"/>
        <v>45134</v>
      </c>
      <c r="L1916" s="5">
        <f t="shared" si="482"/>
        <v>7</v>
      </c>
      <c r="M1916" s="5">
        <f t="shared" si="483"/>
        <v>2023</v>
      </c>
      <c r="N1916" s="6">
        <v>498</v>
      </c>
      <c r="O1916" s="6">
        <f t="shared" si="494"/>
        <v>-498</v>
      </c>
      <c r="P1916" s="6">
        <f t="shared" si="492"/>
        <v>0</v>
      </c>
      <c r="Q1916" s="7">
        <f t="shared" si="493"/>
        <v>3382064.4500000011</v>
      </c>
      <c r="R1916" s="44" t="str">
        <f>VLOOKUP(F1916,'Set up'!$A$2:$E$70,5,FALSE)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479"/>
        <v>7</v>
      </c>
      <c r="C1917" s="5">
        <f t="shared" si="480"/>
        <v>2023</v>
      </c>
      <c r="D1917" s="88" t="s">
        <v>1734</v>
      </c>
      <c r="E1917" s="5" t="str">
        <f>VLOOKUP(F1917,'Set up'!$A$2:$C$70,2,FALSE)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up'!$A$2:$C$70,3,FALSE)</f>
        <v>Cash</v>
      </c>
      <c r="J1917" s="5">
        <f>VLOOKUP(F1917,'Set up'!$A$2:$D$70,4,FALSE)</f>
        <v>0</v>
      </c>
      <c r="K1917" s="4">
        <f t="shared" si="481"/>
        <v>45134</v>
      </c>
      <c r="L1917" s="5">
        <f t="shared" si="482"/>
        <v>7</v>
      </c>
      <c r="M1917" s="5">
        <f t="shared" si="483"/>
        <v>2023</v>
      </c>
      <c r="N1917" s="6">
        <v>95</v>
      </c>
      <c r="O1917" s="6">
        <f t="shared" si="494"/>
        <v>-95</v>
      </c>
      <c r="P1917" s="6">
        <f t="shared" si="492"/>
        <v>0</v>
      </c>
      <c r="Q1917" s="7">
        <f t="shared" si="493"/>
        <v>3382159.4500000011</v>
      </c>
      <c r="R1917" s="44" t="str">
        <f>VLOOKUP(F1917,'Set up'!$A$2:$E$70,5,FALSE)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479"/>
        <v>7</v>
      </c>
      <c r="C1918" s="5">
        <f t="shared" si="480"/>
        <v>2023</v>
      </c>
      <c r="D1918" s="88" t="s">
        <v>1734</v>
      </c>
      <c r="E1918" s="5" t="str">
        <f>VLOOKUP(F1918,'Set up'!$A$2:$C$70,2,FALSE)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up'!$A$2:$C$70,3,FALSE)</f>
        <v>Cash</v>
      </c>
      <c r="J1918" s="5">
        <f>VLOOKUP(F1918,'Set up'!$A$2:$D$70,4,FALSE)</f>
        <v>0</v>
      </c>
      <c r="K1918" s="4">
        <f t="shared" si="481"/>
        <v>45134</v>
      </c>
      <c r="L1918" s="5">
        <f t="shared" si="482"/>
        <v>7</v>
      </c>
      <c r="M1918" s="5">
        <f t="shared" si="483"/>
        <v>2023</v>
      </c>
      <c r="N1918" s="6">
        <v>225</v>
      </c>
      <c r="O1918" s="6">
        <f t="shared" si="494"/>
        <v>-225</v>
      </c>
      <c r="P1918" s="6">
        <f t="shared" si="492"/>
        <v>0</v>
      </c>
      <c r="Q1918" s="7">
        <f t="shared" si="493"/>
        <v>3382384.4500000011</v>
      </c>
      <c r="R1918" s="44" t="str">
        <f>VLOOKUP(F1918,'Set up'!$A$2:$E$70,5,FALSE)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479"/>
        <v>7</v>
      </c>
      <c r="C1919" s="5">
        <f t="shared" si="480"/>
        <v>2023</v>
      </c>
      <c r="D1919" s="88" t="s">
        <v>1735</v>
      </c>
      <c r="E1919" s="5" t="str">
        <f>VLOOKUP(F1919,'Set up'!$A$2:$C$70,2,FALSE)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up'!$A$2:$C$70,3,FALSE)</f>
        <v>Cash</v>
      </c>
      <c r="J1919" s="5">
        <f>VLOOKUP(F1919,'Set up'!$A$2:$D$70,4,FALSE)</f>
        <v>0</v>
      </c>
      <c r="K1919" s="4">
        <f t="shared" si="481"/>
        <v>45134</v>
      </c>
      <c r="L1919" s="5">
        <f t="shared" si="482"/>
        <v>7</v>
      </c>
      <c r="M1919" s="5">
        <f t="shared" si="483"/>
        <v>2023</v>
      </c>
      <c r="N1919" s="6">
        <v>187.5</v>
      </c>
      <c r="O1919" s="6">
        <f t="shared" ref="O1919:O1924" si="495">-N1919</f>
        <v>-187.5</v>
      </c>
      <c r="P1919" s="6">
        <f t="shared" si="492"/>
        <v>0</v>
      </c>
      <c r="Q1919" s="7">
        <f t="shared" si="493"/>
        <v>3382571.9500000011</v>
      </c>
      <c r="R1919" s="44" t="str">
        <f>VLOOKUP(F1919,'Set up'!$A$2:$E$70,5,FALSE)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479"/>
        <v>7</v>
      </c>
      <c r="C1920" s="5">
        <f t="shared" si="480"/>
        <v>2023</v>
      </c>
      <c r="D1920" s="88" t="s">
        <v>1736</v>
      </c>
      <c r="E1920" s="5" t="str">
        <f>VLOOKUP(F1920,'Set up'!$A$2:$C$70,2,FALSE)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up'!$A$2:$C$70,3,FALSE)</f>
        <v>Cash</v>
      </c>
      <c r="J1920" s="5">
        <f>VLOOKUP(F1920,'Set up'!$A$2:$D$70,4,FALSE)</f>
        <v>0</v>
      </c>
      <c r="K1920" s="4">
        <f t="shared" si="481"/>
        <v>45134</v>
      </c>
      <c r="L1920" s="5">
        <f t="shared" si="482"/>
        <v>7</v>
      </c>
      <c r="M1920" s="5">
        <f t="shared" si="483"/>
        <v>2023</v>
      </c>
      <c r="N1920" s="6">
        <v>4620</v>
      </c>
      <c r="O1920" s="6">
        <f t="shared" si="495"/>
        <v>-4620</v>
      </c>
      <c r="P1920" s="6">
        <f t="shared" si="492"/>
        <v>0</v>
      </c>
      <c r="Q1920" s="7">
        <f t="shared" si="493"/>
        <v>3387191.9500000011</v>
      </c>
      <c r="R1920" s="44" t="str">
        <f>VLOOKUP(F1920,'Set up'!$A$2:$E$70,5,FALSE)</f>
        <v>Trsf</v>
      </c>
      <c r="S1920" s="1" t="s">
        <v>2483</v>
      </c>
    </row>
    <row r="1921" spans="1:21" ht="15" customHeight="1" x14ac:dyDescent="0.35">
      <c r="A1921" s="4">
        <v>45134</v>
      </c>
      <c r="B1921" s="5">
        <f t="shared" si="479"/>
        <v>7</v>
      </c>
      <c r="C1921" s="5">
        <f t="shared" si="480"/>
        <v>2023</v>
      </c>
      <c r="D1921" s="88" t="s">
        <v>1736</v>
      </c>
      <c r="E1921" s="5" t="str">
        <f>VLOOKUP(F1921,'Set up'!$A$2:$C$70,2,FALSE)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up'!$A$2:$C$70,3,FALSE)</f>
        <v>Cash</v>
      </c>
      <c r="J1921" s="5">
        <f>VLOOKUP(F1921,'Set up'!$A$2:$D$70,4,FALSE)</f>
        <v>0</v>
      </c>
      <c r="K1921" s="4">
        <f t="shared" si="481"/>
        <v>45134</v>
      </c>
      <c r="L1921" s="5">
        <f t="shared" si="482"/>
        <v>7</v>
      </c>
      <c r="M1921" s="5">
        <f t="shared" si="483"/>
        <v>2023</v>
      </c>
      <c r="N1921" s="6">
        <v>1701</v>
      </c>
      <c r="O1921" s="6">
        <f t="shared" si="495"/>
        <v>-1701</v>
      </c>
      <c r="P1921" s="6">
        <f t="shared" si="492"/>
        <v>0</v>
      </c>
      <c r="Q1921" s="7">
        <f t="shared" si="493"/>
        <v>3388892.9500000011</v>
      </c>
      <c r="R1921" s="44" t="str">
        <f>VLOOKUP(F1921,'Set up'!$A$2:$E$70,5,FALSE)</f>
        <v>Trsf</v>
      </c>
      <c r="S1921" s="1" t="s">
        <v>2484</v>
      </c>
    </row>
    <row r="1922" spans="1:21" ht="15" customHeight="1" x14ac:dyDescent="0.35">
      <c r="A1922" s="4">
        <v>45134</v>
      </c>
      <c r="B1922" s="5">
        <f t="shared" si="479"/>
        <v>7</v>
      </c>
      <c r="C1922" s="5">
        <f t="shared" si="480"/>
        <v>2023</v>
      </c>
      <c r="D1922" s="88" t="s">
        <v>1736</v>
      </c>
      <c r="E1922" s="5" t="str">
        <f>VLOOKUP(F1922,'Set up'!$A$2:$C$70,2,FALSE)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up'!$A$2:$C$70,3,FALSE)</f>
        <v>Cash</v>
      </c>
      <c r="J1922" s="5">
        <f>VLOOKUP(F1922,'Set up'!$A$2:$D$70,4,FALSE)</f>
        <v>0</v>
      </c>
      <c r="K1922" s="4">
        <f t="shared" si="481"/>
        <v>45134</v>
      </c>
      <c r="L1922" s="5">
        <f t="shared" si="482"/>
        <v>7</v>
      </c>
      <c r="M1922" s="5">
        <f t="shared" si="483"/>
        <v>2023</v>
      </c>
      <c r="N1922" s="6">
        <v>800</v>
      </c>
      <c r="O1922" s="6">
        <f t="shared" si="495"/>
        <v>-800</v>
      </c>
      <c r="P1922" s="6">
        <f t="shared" si="492"/>
        <v>0</v>
      </c>
      <c r="Q1922" s="7">
        <f t="shared" si="493"/>
        <v>3389692.9500000011</v>
      </c>
      <c r="R1922" s="44" t="str">
        <f>VLOOKUP(F1922,'Set up'!$A$2:$E$70,5,FALSE)</f>
        <v>Trsf</v>
      </c>
      <c r="S1922" s="1" t="s">
        <v>2485</v>
      </c>
    </row>
    <row r="1923" spans="1:21" ht="15" customHeight="1" x14ac:dyDescent="0.35">
      <c r="A1923" s="4">
        <v>45134</v>
      </c>
      <c r="B1923" s="5">
        <f t="shared" ref="B1923:B1986" si="496">MONTH(A1923)</f>
        <v>7</v>
      </c>
      <c r="C1923" s="5">
        <f t="shared" ref="C1923:C1986" si="497">YEAR(A1923)</f>
        <v>2023</v>
      </c>
      <c r="D1923" s="88" t="s">
        <v>1737</v>
      </c>
      <c r="E1923" s="5" t="str">
        <f>VLOOKUP(F1923,'Set up'!$A$2:$C$70,2,FALSE)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up'!$A$2:$C$70,3,FALSE)</f>
        <v>45</v>
      </c>
      <c r="J1923" s="5">
        <f>VLOOKUP(F1923,'Set up'!$A$2:$D$70,4,FALSE)</f>
        <v>45</v>
      </c>
      <c r="K1923" s="4">
        <f t="shared" ref="K1923:K1986" si="498">A1923+J1923</f>
        <v>45179</v>
      </c>
      <c r="L1923" s="5">
        <f t="shared" ref="L1923:L1986" si="499">MONTH(K1923)</f>
        <v>9</v>
      </c>
      <c r="M1923" s="5">
        <f t="shared" ref="M1923:M1986" si="500">YEAR(K1923)</f>
        <v>2023</v>
      </c>
      <c r="N1923" s="6">
        <v>3740</v>
      </c>
      <c r="O1923" s="6">
        <f t="shared" si="495"/>
        <v>-3740</v>
      </c>
      <c r="P1923" s="6">
        <f t="shared" si="492"/>
        <v>0</v>
      </c>
      <c r="Q1923" s="7">
        <f t="shared" si="493"/>
        <v>3393432.9500000011</v>
      </c>
      <c r="R1923" s="44" t="str">
        <f>VLOOKUP(F1923,'Set up'!$A$2:$E$70,5,FALSE)</f>
        <v>PD Chq</v>
      </c>
      <c r="S1923" s="1" t="s">
        <v>1976</v>
      </c>
      <c r="U1923" s="1" t="s">
        <v>3603</v>
      </c>
    </row>
    <row r="1924" spans="1:21" ht="15" customHeight="1" x14ac:dyDescent="0.35">
      <c r="A1924" s="4">
        <v>45135</v>
      </c>
      <c r="B1924" s="5">
        <f t="shared" si="496"/>
        <v>7</v>
      </c>
      <c r="C1924" s="5">
        <f t="shared" si="497"/>
        <v>2023</v>
      </c>
      <c r="D1924" s="88" t="s">
        <v>1737</v>
      </c>
      <c r="E1924" s="5" t="str">
        <f>VLOOKUP(F1924,'Set up'!$A$2:$C$70,2,FALSE)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up'!$A$2:$C$70,3,FALSE)</f>
        <v>45</v>
      </c>
      <c r="J1924" s="5">
        <f>VLOOKUP(F1924,'Set up'!$A$2:$D$70,4,FALSE)</f>
        <v>45</v>
      </c>
      <c r="K1924" s="4">
        <f t="shared" si="498"/>
        <v>45180</v>
      </c>
      <c r="L1924" s="5">
        <f t="shared" si="499"/>
        <v>9</v>
      </c>
      <c r="M1924" s="5">
        <f t="shared" si="500"/>
        <v>2023</v>
      </c>
      <c r="N1924" s="6">
        <v>220</v>
      </c>
      <c r="O1924" s="6">
        <f t="shared" si="495"/>
        <v>-220</v>
      </c>
      <c r="P1924" s="6">
        <f t="shared" si="492"/>
        <v>0</v>
      </c>
      <c r="Q1924" s="7">
        <f t="shared" si="493"/>
        <v>3393652.9500000011</v>
      </c>
      <c r="R1924" s="44" t="str">
        <f>VLOOKUP(F1924,'Set up'!$A$2:$E$70,5,FALSE)</f>
        <v>PD Chq</v>
      </c>
      <c r="S1924" s="1" t="s">
        <v>1976</v>
      </c>
      <c r="U1924" s="1" t="s">
        <v>3603</v>
      </c>
    </row>
    <row r="1925" spans="1:21" ht="15" customHeight="1" x14ac:dyDescent="0.35">
      <c r="A1925" s="4">
        <v>45138</v>
      </c>
      <c r="B1925" s="5">
        <f t="shared" si="496"/>
        <v>7</v>
      </c>
      <c r="C1925" s="5">
        <f t="shared" si="497"/>
        <v>2023</v>
      </c>
      <c r="D1925" s="88" t="s">
        <v>1747</v>
      </c>
      <c r="E1925" s="5" t="str">
        <f>VLOOKUP(F1925,'Set up'!$A$2:$C$70,2,FALSE)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up'!$A$2:$C$70,3,FALSE)</f>
        <v>Cash</v>
      </c>
      <c r="J1925" s="5">
        <f>VLOOKUP(F1925,'Set up'!$A$2:$D$70,4,FALSE)</f>
        <v>0</v>
      </c>
      <c r="K1925" s="4">
        <f t="shared" si="498"/>
        <v>45138</v>
      </c>
      <c r="L1925" s="5">
        <f t="shared" si="499"/>
        <v>7</v>
      </c>
      <c r="M1925" s="5">
        <f t="shared" si="500"/>
        <v>2023</v>
      </c>
      <c r="N1925" s="96">
        <v>7304</v>
      </c>
      <c r="O1925" s="6">
        <f t="shared" ref="O1925:O1935" si="501">-N1925</f>
        <v>-7304</v>
      </c>
      <c r="P1925" s="6">
        <f t="shared" si="492"/>
        <v>0</v>
      </c>
      <c r="Q1925" s="7">
        <f t="shared" si="493"/>
        <v>3400956.9500000011</v>
      </c>
      <c r="R1925" s="44" t="str">
        <f>VLOOKUP(F1925,'Set up'!$A$2:$E$70,5,FALSE)</f>
        <v>Chq</v>
      </c>
      <c r="S1925" s="1" t="s">
        <v>1788</v>
      </c>
    </row>
    <row r="1926" spans="1:21" ht="15" customHeight="1" x14ac:dyDescent="0.35">
      <c r="A1926" s="4">
        <v>45138</v>
      </c>
      <c r="B1926" s="5">
        <f t="shared" si="496"/>
        <v>7</v>
      </c>
      <c r="C1926" s="5">
        <f t="shared" si="497"/>
        <v>2023</v>
      </c>
      <c r="D1926" s="88" t="s">
        <v>1747</v>
      </c>
      <c r="E1926" s="5" t="str">
        <f>VLOOKUP(F1926,'Set up'!$A$2:$C$70,2,FALSE)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up'!$A$2:$C$70,3,FALSE)</f>
        <v>Cash</v>
      </c>
      <c r="J1926" s="5">
        <f>VLOOKUP(F1926,'Set up'!$A$2:$D$70,4,FALSE)</f>
        <v>0</v>
      </c>
      <c r="K1926" s="4">
        <f t="shared" si="498"/>
        <v>45138</v>
      </c>
      <c r="L1926" s="5">
        <f t="shared" si="499"/>
        <v>7</v>
      </c>
      <c r="M1926" s="5">
        <f t="shared" si="500"/>
        <v>2023</v>
      </c>
      <c r="N1926" s="96">
        <v>2133</v>
      </c>
      <c r="O1926" s="6">
        <f t="shared" si="501"/>
        <v>-2133</v>
      </c>
      <c r="P1926" s="6">
        <f t="shared" si="492"/>
        <v>0</v>
      </c>
      <c r="Q1926" s="7">
        <f t="shared" si="493"/>
        <v>3403089.9500000011</v>
      </c>
      <c r="R1926" s="44" t="str">
        <f>VLOOKUP(F1926,'Set up'!$A$2:$E$70,5,FALSE)</f>
        <v>Chq</v>
      </c>
      <c r="S1926" s="1" t="s">
        <v>1788</v>
      </c>
    </row>
    <row r="1927" spans="1:21" ht="15" customHeight="1" x14ac:dyDescent="0.35">
      <c r="A1927" s="4">
        <v>45138</v>
      </c>
      <c r="B1927" s="5">
        <f t="shared" si="496"/>
        <v>7</v>
      </c>
      <c r="C1927" s="5">
        <f t="shared" si="497"/>
        <v>2023</v>
      </c>
      <c r="D1927" s="88" t="s">
        <v>1747</v>
      </c>
      <c r="E1927" s="5" t="str">
        <f>VLOOKUP(F1927,'Set up'!$A$2:$C$70,2,FALSE)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up'!$A$2:$C$70,3,FALSE)</f>
        <v>Cash</v>
      </c>
      <c r="J1927" s="5">
        <f>VLOOKUP(F1927,'Set up'!$A$2:$D$70,4,FALSE)</f>
        <v>0</v>
      </c>
      <c r="K1927" s="4">
        <f t="shared" si="498"/>
        <v>45138</v>
      </c>
      <c r="L1927" s="5">
        <f t="shared" si="499"/>
        <v>7</v>
      </c>
      <c r="M1927" s="5">
        <f t="shared" si="500"/>
        <v>2023</v>
      </c>
      <c r="N1927" s="96">
        <v>1279.8000000000002</v>
      </c>
      <c r="O1927" s="6">
        <f t="shared" si="501"/>
        <v>-1279.8000000000002</v>
      </c>
      <c r="P1927" s="6">
        <f t="shared" si="492"/>
        <v>0</v>
      </c>
      <c r="Q1927" s="7">
        <f t="shared" si="493"/>
        <v>3404369.7500000009</v>
      </c>
      <c r="R1927" s="44" t="str">
        <f>VLOOKUP(F1927,'Set up'!$A$2:$E$70,5,FALSE)</f>
        <v>Chq</v>
      </c>
      <c r="S1927" s="1" t="s">
        <v>1788</v>
      </c>
    </row>
    <row r="1928" spans="1:21" ht="15" customHeight="1" x14ac:dyDescent="0.35">
      <c r="A1928" s="4">
        <v>45138</v>
      </c>
      <c r="B1928" s="5">
        <f t="shared" si="496"/>
        <v>7</v>
      </c>
      <c r="C1928" s="5">
        <f t="shared" si="497"/>
        <v>2023</v>
      </c>
      <c r="D1928" s="88" t="s">
        <v>1747</v>
      </c>
      <c r="E1928" s="5" t="str">
        <f>VLOOKUP(F1928,'Set up'!$A$2:$C$70,2,FALSE)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up'!$A$2:$C$70,3,FALSE)</f>
        <v>Cash</v>
      </c>
      <c r="J1928" s="5">
        <f>VLOOKUP(F1928,'Set up'!$A$2:$D$70,4,FALSE)</f>
        <v>0</v>
      </c>
      <c r="K1928" s="4">
        <f t="shared" si="498"/>
        <v>45138</v>
      </c>
      <c r="L1928" s="5">
        <f t="shared" si="499"/>
        <v>7</v>
      </c>
      <c r="M1928" s="5">
        <f t="shared" si="500"/>
        <v>2023</v>
      </c>
      <c r="N1928" s="96">
        <v>4128</v>
      </c>
      <c r="O1928" s="6">
        <f t="shared" si="501"/>
        <v>-4128</v>
      </c>
      <c r="P1928" s="6">
        <f t="shared" si="492"/>
        <v>0</v>
      </c>
      <c r="Q1928" s="7">
        <f t="shared" si="493"/>
        <v>3408497.7500000009</v>
      </c>
      <c r="R1928" s="44" t="str">
        <f>VLOOKUP(F1928,'Set up'!$A$2:$E$70,5,FALSE)</f>
        <v>Chq</v>
      </c>
      <c r="S1928" s="1" t="s">
        <v>1788</v>
      </c>
    </row>
    <row r="1929" spans="1:21" ht="15" customHeight="1" x14ac:dyDescent="0.35">
      <c r="A1929" s="4">
        <v>45138</v>
      </c>
      <c r="B1929" s="5">
        <f t="shared" si="496"/>
        <v>7</v>
      </c>
      <c r="C1929" s="5">
        <f t="shared" si="497"/>
        <v>2023</v>
      </c>
      <c r="D1929" s="88" t="s">
        <v>1747</v>
      </c>
      <c r="E1929" s="5" t="str">
        <f>VLOOKUP(F1929,'Set up'!$A$2:$C$70,2,FALSE)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up'!$A$2:$C$70,3,FALSE)</f>
        <v>Cash</v>
      </c>
      <c r="J1929" s="5">
        <f>VLOOKUP(F1929,'Set up'!$A$2:$D$70,4,FALSE)</f>
        <v>0</v>
      </c>
      <c r="K1929" s="4">
        <f t="shared" si="498"/>
        <v>45138</v>
      </c>
      <c r="L1929" s="5">
        <f t="shared" si="499"/>
        <v>7</v>
      </c>
      <c r="M1929" s="5">
        <f t="shared" si="500"/>
        <v>2023</v>
      </c>
      <c r="N1929" s="96">
        <v>2625</v>
      </c>
      <c r="O1929" s="6">
        <f t="shared" si="501"/>
        <v>-2625</v>
      </c>
      <c r="P1929" s="6">
        <f t="shared" si="492"/>
        <v>0</v>
      </c>
      <c r="Q1929" s="7">
        <f t="shared" si="493"/>
        <v>3411122.7500000009</v>
      </c>
      <c r="R1929" s="44" t="str">
        <f>VLOOKUP(F1929,'Set up'!$A$2:$E$70,5,FALSE)</f>
        <v>Chq</v>
      </c>
      <c r="S1929" s="1" t="s">
        <v>1788</v>
      </c>
    </row>
    <row r="1930" spans="1:21" ht="15" customHeight="1" x14ac:dyDescent="0.35">
      <c r="A1930" s="4">
        <v>45138</v>
      </c>
      <c r="B1930" s="5">
        <f t="shared" si="496"/>
        <v>7</v>
      </c>
      <c r="C1930" s="5">
        <f t="shared" si="497"/>
        <v>2023</v>
      </c>
      <c r="D1930" s="88" t="s">
        <v>1747</v>
      </c>
      <c r="E1930" s="5" t="str">
        <f>VLOOKUP(F1930,'Set up'!$A$2:$C$70,2,FALSE)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up'!$A$2:$C$70,3,FALSE)</f>
        <v>Cash</v>
      </c>
      <c r="J1930" s="5">
        <f>VLOOKUP(F1930,'Set up'!$A$2:$D$70,4,FALSE)</f>
        <v>0</v>
      </c>
      <c r="K1930" s="4">
        <f t="shared" si="498"/>
        <v>45138</v>
      </c>
      <c r="L1930" s="5">
        <f t="shared" si="499"/>
        <v>7</v>
      </c>
      <c r="M1930" s="5">
        <f t="shared" si="500"/>
        <v>2023</v>
      </c>
      <c r="N1930" s="96">
        <v>1290</v>
      </c>
      <c r="O1930" s="6">
        <f t="shared" si="501"/>
        <v>-1290</v>
      </c>
      <c r="P1930" s="6">
        <f t="shared" si="492"/>
        <v>0</v>
      </c>
      <c r="Q1930" s="7">
        <f t="shared" si="493"/>
        <v>3412412.7500000009</v>
      </c>
      <c r="R1930" s="44" t="str">
        <f>VLOOKUP(F1930,'Set up'!$A$2:$E$70,5,FALSE)</f>
        <v>Chq</v>
      </c>
      <c r="S1930" s="1" t="s">
        <v>1788</v>
      </c>
    </row>
    <row r="1931" spans="1:21" ht="15" customHeight="1" x14ac:dyDescent="0.35">
      <c r="A1931" s="4">
        <v>45138</v>
      </c>
      <c r="B1931" s="5">
        <f t="shared" si="496"/>
        <v>7</v>
      </c>
      <c r="C1931" s="5">
        <f t="shared" si="497"/>
        <v>2023</v>
      </c>
      <c r="D1931" s="88" t="s">
        <v>1747</v>
      </c>
      <c r="E1931" s="5" t="str">
        <f>VLOOKUP(F1931,'Set up'!$A$2:$C$70,2,FALSE)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up'!$A$2:$C$70,3,FALSE)</f>
        <v>Cash</v>
      </c>
      <c r="J1931" s="5">
        <f>VLOOKUP(F1931,'Set up'!$A$2:$D$70,4,FALSE)</f>
        <v>0</v>
      </c>
      <c r="K1931" s="4">
        <f t="shared" si="498"/>
        <v>45138</v>
      </c>
      <c r="L1931" s="5">
        <f t="shared" si="499"/>
        <v>7</v>
      </c>
      <c r="M1931" s="5">
        <f t="shared" si="500"/>
        <v>2023</v>
      </c>
      <c r="N1931" s="96">
        <v>120</v>
      </c>
      <c r="O1931" s="6">
        <f t="shared" si="501"/>
        <v>-120</v>
      </c>
      <c r="P1931" s="6">
        <f t="shared" si="492"/>
        <v>0</v>
      </c>
      <c r="Q1931" s="7">
        <f t="shared" si="493"/>
        <v>3412532.7500000009</v>
      </c>
      <c r="R1931" s="44" t="str">
        <f>VLOOKUP(F1931,'Set up'!$A$2:$E$70,5,FALSE)</f>
        <v>Chq</v>
      </c>
      <c r="S1931" s="1" t="s">
        <v>1788</v>
      </c>
    </row>
    <row r="1932" spans="1:21" ht="15" customHeight="1" x14ac:dyDescent="0.35">
      <c r="A1932" s="4">
        <v>45138</v>
      </c>
      <c r="B1932" s="5">
        <f t="shared" si="496"/>
        <v>7</v>
      </c>
      <c r="C1932" s="5">
        <f t="shared" si="497"/>
        <v>2023</v>
      </c>
      <c r="D1932" s="88" t="s">
        <v>1747</v>
      </c>
      <c r="E1932" s="5" t="str">
        <f>VLOOKUP(F1932,'Set up'!$A$2:$C$70,2,FALSE)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up'!$A$2:$C$70,3,FALSE)</f>
        <v>Cash</v>
      </c>
      <c r="J1932" s="5">
        <f>VLOOKUP(F1932,'Set up'!$A$2:$D$70,4,FALSE)</f>
        <v>0</v>
      </c>
      <c r="K1932" s="4">
        <f t="shared" si="498"/>
        <v>45138</v>
      </c>
      <c r="L1932" s="5">
        <f t="shared" si="499"/>
        <v>7</v>
      </c>
      <c r="M1932" s="5">
        <f t="shared" si="500"/>
        <v>2023</v>
      </c>
      <c r="N1932" s="96">
        <v>55.2</v>
      </c>
      <c r="O1932" s="6">
        <f t="shared" si="501"/>
        <v>-55.2</v>
      </c>
      <c r="P1932" s="6">
        <f t="shared" si="492"/>
        <v>0</v>
      </c>
      <c r="Q1932" s="7">
        <f t="shared" si="493"/>
        <v>3412587.9500000011</v>
      </c>
      <c r="R1932" s="44" t="str">
        <f>VLOOKUP(F1932,'Set up'!$A$2:$E$70,5,FALSE)</f>
        <v>Chq</v>
      </c>
      <c r="S1932" s="1" t="s">
        <v>1788</v>
      </c>
    </row>
    <row r="1933" spans="1:21" ht="15" customHeight="1" x14ac:dyDescent="0.35">
      <c r="A1933" s="4">
        <v>45138</v>
      </c>
      <c r="B1933" s="5">
        <f t="shared" si="496"/>
        <v>7</v>
      </c>
      <c r="C1933" s="5">
        <f t="shared" si="497"/>
        <v>2023</v>
      </c>
      <c r="D1933" s="88" t="s">
        <v>1747</v>
      </c>
      <c r="E1933" s="5" t="str">
        <f>VLOOKUP(F1933,'Set up'!$A$2:$C$70,2,FALSE)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up'!$A$2:$C$70,3,FALSE)</f>
        <v>Cash</v>
      </c>
      <c r="J1933" s="5">
        <f>VLOOKUP(F1933,'Set up'!$A$2:$D$70,4,FALSE)</f>
        <v>0</v>
      </c>
      <c r="K1933" s="4">
        <f t="shared" si="498"/>
        <v>45138</v>
      </c>
      <c r="L1933" s="5">
        <f t="shared" si="499"/>
        <v>7</v>
      </c>
      <c r="M1933" s="5">
        <f t="shared" si="500"/>
        <v>2023</v>
      </c>
      <c r="N1933" s="96">
        <v>1108.4000000000001</v>
      </c>
      <c r="O1933" s="6">
        <f t="shared" si="501"/>
        <v>-1108.4000000000001</v>
      </c>
      <c r="P1933" s="6">
        <f t="shared" si="492"/>
        <v>0</v>
      </c>
      <c r="Q1933" s="7">
        <f t="shared" si="493"/>
        <v>3413696.350000001</v>
      </c>
      <c r="R1933" s="44" t="str">
        <f>VLOOKUP(F1933,'Set up'!$A$2:$E$70,5,FALSE)</f>
        <v>Chq</v>
      </c>
      <c r="S1933" s="1" t="s">
        <v>1788</v>
      </c>
    </row>
    <row r="1934" spans="1:21" ht="15" customHeight="1" x14ac:dyDescent="0.35">
      <c r="A1934" s="4">
        <v>45138</v>
      </c>
      <c r="B1934" s="5">
        <f t="shared" si="496"/>
        <v>7</v>
      </c>
      <c r="C1934" s="5">
        <f t="shared" si="497"/>
        <v>2023</v>
      </c>
      <c r="D1934" s="88" t="s">
        <v>1747</v>
      </c>
      <c r="E1934" s="5" t="str">
        <f>VLOOKUP(F1934,'Set up'!$A$2:$C$70,2,FALSE)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up'!$A$2:$C$70,3,FALSE)</f>
        <v>Cash</v>
      </c>
      <c r="J1934" s="5">
        <f>VLOOKUP(F1934,'Set up'!$A$2:$D$70,4,FALSE)</f>
        <v>0</v>
      </c>
      <c r="K1934" s="4">
        <f t="shared" si="498"/>
        <v>45138</v>
      </c>
      <c r="L1934" s="5">
        <f t="shared" si="499"/>
        <v>7</v>
      </c>
      <c r="M1934" s="5">
        <f t="shared" si="500"/>
        <v>2023</v>
      </c>
      <c r="N1934" s="96">
        <v>280</v>
      </c>
      <c r="O1934" s="6">
        <f t="shared" si="501"/>
        <v>-280</v>
      </c>
      <c r="P1934" s="6">
        <f t="shared" si="492"/>
        <v>0</v>
      </c>
      <c r="Q1934" s="7">
        <f t="shared" si="493"/>
        <v>3413976.350000001</v>
      </c>
      <c r="R1934" s="44" t="str">
        <f>VLOOKUP(F1934,'Set up'!$A$2:$E$70,5,FALSE)</f>
        <v>Chq</v>
      </c>
      <c r="S1934" s="1" t="s">
        <v>1788</v>
      </c>
    </row>
    <row r="1935" spans="1:21" ht="15" customHeight="1" x14ac:dyDescent="0.35">
      <c r="A1935" s="4">
        <v>45138</v>
      </c>
      <c r="B1935" s="5">
        <f t="shared" si="496"/>
        <v>7</v>
      </c>
      <c r="C1935" s="5">
        <f t="shared" si="497"/>
        <v>2023</v>
      </c>
      <c r="D1935" s="88" t="s">
        <v>1747</v>
      </c>
      <c r="E1935" s="5" t="str">
        <f>VLOOKUP(F1935,'Set up'!$A$2:$C$70,2,FALSE)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up'!$A$2:$C$70,3,FALSE)</f>
        <v>Cash</v>
      </c>
      <c r="J1935" s="5">
        <f>VLOOKUP(F1935,'Set up'!$A$2:$D$70,4,FALSE)</f>
        <v>0</v>
      </c>
      <c r="K1935" s="4">
        <f t="shared" si="498"/>
        <v>45138</v>
      </c>
      <c r="L1935" s="5">
        <f t="shared" si="499"/>
        <v>7</v>
      </c>
      <c r="M1935" s="5">
        <f t="shared" si="500"/>
        <v>2023</v>
      </c>
      <c r="N1935" s="96">
        <v>260</v>
      </c>
      <c r="O1935" s="6">
        <f t="shared" si="501"/>
        <v>-260</v>
      </c>
      <c r="P1935" s="6">
        <f t="shared" si="492"/>
        <v>0</v>
      </c>
      <c r="Q1935" s="7">
        <f t="shared" si="493"/>
        <v>3414236.350000001</v>
      </c>
      <c r="R1935" s="44" t="str">
        <f>VLOOKUP(F1935,'Set up'!$A$2:$E$70,5,FALSE)</f>
        <v>Chq</v>
      </c>
      <c r="S1935" s="1" t="s">
        <v>1788</v>
      </c>
    </row>
    <row r="1936" spans="1:21" ht="15" customHeight="1" x14ac:dyDescent="0.35">
      <c r="A1936" s="4">
        <v>45139</v>
      </c>
      <c r="B1936" s="5">
        <f t="shared" si="496"/>
        <v>8</v>
      </c>
      <c r="C1936" s="5">
        <f t="shared" si="497"/>
        <v>2023</v>
      </c>
      <c r="D1936" s="88" t="s">
        <v>1791</v>
      </c>
      <c r="E1936" s="5" t="str">
        <f>VLOOKUP(F1936,'Set up'!$A$2:$C$70,2,FALSE)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up'!$A$2:$C$70,3,FALSE)</f>
        <v>Cash</v>
      </c>
      <c r="J1936" s="5">
        <f>VLOOKUP(F1936,'Set up'!$A$2:$D$70,4,FALSE)</f>
        <v>0</v>
      </c>
      <c r="K1936" s="4">
        <f t="shared" si="498"/>
        <v>45139</v>
      </c>
      <c r="L1936" s="5">
        <f t="shared" si="499"/>
        <v>8</v>
      </c>
      <c r="M1936" s="5">
        <f t="shared" si="500"/>
        <v>2023</v>
      </c>
      <c r="N1936" s="96">
        <v>420</v>
      </c>
      <c r="O1936" s="6">
        <f>-0.2-10-100-309.8</f>
        <v>-420</v>
      </c>
      <c r="P1936" s="6">
        <f t="shared" ref="P1936:P1999" si="502">SUM(N1936+O1936)</f>
        <v>0</v>
      </c>
      <c r="Q1936" s="7">
        <f t="shared" ref="Q1936:Q1999" si="503">SUM(Q1935+N1936)</f>
        <v>3414656.350000001</v>
      </c>
      <c r="R1936" s="44" t="str">
        <f>VLOOKUP(F1936,'Set up'!$A$2:$E$70,5,FALSE)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496"/>
        <v>8</v>
      </c>
      <c r="C1937" s="5">
        <f t="shared" si="497"/>
        <v>2023</v>
      </c>
      <c r="D1937" s="88" t="s">
        <v>1791</v>
      </c>
      <c r="E1937" s="5" t="str">
        <f>VLOOKUP(F1937,'Set up'!$A$2:$C$70,2,FALSE)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up'!$A$2:$C$70,3,FALSE)</f>
        <v>Cash</v>
      </c>
      <c r="J1937" s="5">
        <f>VLOOKUP(F1937,'Set up'!$A$2:$D$70,4,FALSE)</f>
        <v>0</v>
      </c>
      <c r="K1937" s="4">
        <f t="shared" si="498"/>
        <v>45139</v>
      </c>
      <c r="L1937" s="5">
        <f t="shared" si="499"/>
        <v>8</v>
      </c>
      <c r="M1937" s="5">
        <f t="shared" si="500"/>
        <v>2023</v>
      </c>
      <c r="N1937" s="96">
        <v>225</v>
      </c>
      <c r="O1937" s="6">
        <f t="shared" ref="O1937:O1939" si="504">-N1937</f>
        <v>-225</v>
      </c>
      <c r="P1937" s="6">
        <f t="shared" si="502"/>
        <v>0</v>
      </c>
      <c r="Q1937" s="7">
        <f t="shared" si="503"/>
        <v>3414881.350000001</v>
      </c>
      <c r="R1937" s="44" t="str">
        <f>VLOOKUP(F1937,'Set up'!$A$2:$E$70,5,FALSE)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496"/>
        <v>8</v>
      </c>
      <c r="C1938" s="5">
        <f t="shared" si="497"/>
        <v>2023</v>
      </c>
      <c r="D1938" s="88" t="s">
        <v>1791</v>
      </c>
      <c r="E1938" s="5" t="str">
        <f>VLOOKUP(F1938,'Set up'!$A$2:$C$70,2,FALSE)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up'!$A$2:$C$70,3,FALSE)</f>
        <v>Cash</v>
      </c>
      <c r="J1938" s="5">
        <f>VLOOKUP(F1938,'Set up'!$A$2:$D$70,4,FALSE)</f>
        <v>0</v>
      </c>
      <c r="K1938" s="4">
        <f t="shared" si="498"/>
        <v>45139</v>
      </c>
      <c r="L1938" s="5">
        <f t="shared" si="499"/>
        <v>8</v>
      </c>
      <c r="M1938" s="5">
        <f t="shared" si="500"/>
        <v>2023</v>
      </c>
      <c r="N1938" s="96">
        <v>160</v>
      </c>
      <c r="O1938" s="6">
        <f t="shared" si="504"/>
        <v>-160</v>
      </c>
      <c r="P1938" s="6">
        <f t="shared" si="502"/>
        <v>0</v>
      </c>
      <c r="Q1938" s="7">
        <f t="shared" si="503"/>
        <v>3415041.350000001</v>
      </c>
      <c r="R1938" s="44" t="str">
        <f>VLOOKUP(F1938,'Set up'!$A$2:$E$70,5,FALSE)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496"/>
        <v>8</v>
      </c>
      <c r="C1939" s="5">
        <f t="shared" si="497"/>
        <v>2023</v>
      </c>
      <c r="D1939" s="88" t="s">
        <v>1792</v>
      </c>
      <c r="E1939" s="5" t="str">
        <f>VLOOKUP(F1939,'Set up'!$A$2:$C$70,2,FALSE)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up'!$A$2:$C$70,3,FALSE)</f>
        <v>60</v>
      </c>
      <c r="J1939" s="5">
        <f>VLOOKUP(F1939,'Set up'!$A$2:$D$70,4,FALSE)</f>
        <v>60</v>
      </c>
      <c r="K1939" s="4">
        <f t="shared" si="498"/>
        <v>45199</v>
      </c>
      <c r="L1939" s="5">
        <f t="shared" si="499"/>
        <v>9</v>
      </c>
      <c r="M1939" s="5">
        <f t="shared" si="500"/>
        <v>2023</v>
      </c>
      <c r="N1939" s="98">
        <v>3124</v>
      </c>
      <c r="O1939" s="6">
        <f t="shared" si="504"/>
        <v>-3124</v>
      </c>
      <c r="P1939" s="6">
        <f t="shared" si="502"/>
        <v>0</v>
      </c>
      <c r="Q1939" s="7">
        <f t="shared" si="503"/>
        <v>3418165.350000001</v>
      </c>
      <c r="R1939" s="44" t="str">
        <f>VLOOKUP(F1939,'Set up'!$A$2:$E$70,5,FALSE)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496"/>
        <v>8</v>
      </c>
      <c r="C1940" s="5">
        <f t="shared" si="497"/>
        <v>2023</v>
      </c>
      <c r="D1940" s="88" t="s">
        <v>1794</v>
      </c>
      <c r="E1940" s="5" t="str">
        <f>VLOOKUP(F1940,'Set up'!$A$2:$C$70,2,FALSE)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up'!$A$2:$C$70,3,FALSE)</f>
        <v>Cash</v>
      </c>
      <c r="J1940" s="5">
        <f>VLOOKUP(F1940,'Set up'!$A$2:$D$70,4,FALSE)</f>
        <v>0</v>
      </c>
      <c r="K1940" s="4">
        <f t="shared" si="498"/>
        <v>45139</v>
      </c>
      <c r="L1940" s="5">
        <f t="shared" si="499"/>
        <v>8</v>
      </c>
      <c r="M1940" s="5">
        <f t="shared" si="500"/>
        <v>2023</v>
      </c>
      <c r="N1940" s="96">
        <v>3388</v>
      </c>
      <c r="O1940" s="6">
        <f t="shared" ref="O1940:O1942" si="505">-N1940</f>
        <v>-3388</v>
      </c>
      <c r="P1940" s="6">
        <f t="shared" si="502"/>
        <v>0</v>
      </c>
      <c r="Q1940" s="7">
        <f t="shared" si="503"/>
        <v>3421553.350000001</v>
      </c>
      <c r="R1940" s="44" t="str">
        <f>VLOOKUP(F1940,'Set up'!$A$2:$E$70,5,FALSE)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496"/>
        <v>8</v>
      </c>
      <c r="C1941" s="5">
        <f t="shared" si="497"/>
        <v>2023</v>
      </c>
      <c r="D1941" s="88" t="s">
        <v>1794</v>
      </c>
      <c r="E1941" s="5" t="str">
        <f>VLOOKUP(F1941,'Set up'!$A$2:$C$70,2,FALSE)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up'!$A$2:$C$70,3,FALSE)</f>
        <v>Cash</v>
      </c>
      <c r="J1941" s="5">
        <f>VLOOKUP(F1941,'Set up'!$A$2:$D$70,4,FALSE)</f>
        <v>0</v>
      </c>
      <c r="K1941" s="4">
        <f t="shared" si="498"/>
        <v>45139</v>
      </c>
      <c r="L1941" s="5">
        <f t="shared" si="499"/>
        <v>8</v>
      </c>
      <c r="M1941" s="5">
        <f t="shared" si="500"/>
        <v>2023</v>
      </c>
      <c r="N1941" s="96">
        <v>936</v>
      </c>
      <c r="O1941" s="6">
        <f t="shared" si="505"/>
        <v>-936</v>
      </c>
      <c r="P1941" s="6">
        <f t="shared" si="502"/>
        <v>0</v>
      </c>
      <c r="Q1941" s="7">
        <f t="shared" si="503"/>
        <v>3422489.350000001</v>
      </c>
      <c r="R1941" s="44" t="str">
        <f>VLOOKUP(F1941,'Set up'!$A$2:$E$70,5,FALSE)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496"/>
        <v>8</v>
      </c>
      <c r="C1942" s="5">
        <f t="shared" si="497"/>
        <v>2023</v>
      </c>
      <c r="D1942" s="88" t="s">
        <v>1794</v>
      </c>
      <c r="E1942" s="5" t="str">
        <f>VLOOKUP(F1942,'Set up'!$A$2:$C$70,2,FALSE)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up'!$A$2:$C$70,3,FALSE)</f>
        <v>Cash</v>
      </c>
      <c r="J1942" s="5">
        <f>VLOOKUP(F1942,'Set up'!$A$2:$D$70,4,FALSE)</f>
        <v>0</v>
      </c>
      <c r="K1942" s="4">
        <f t="shared" si="498"/>
        <v>45139</v>
      </c>
      <c r="L1942" s="5">
        <f t="shared" si="499"/>
        <v>8</v>
      </c>
      <c r="M1942" s="5">
        <f t="shared" si="500"/>
        <v>2023</v>
      </c>
      <c r="N1942" s="96">
        <v>62.5</v>
      </c>
      <c r="O1942" s="6">
        <f t="shared" si="505"/>
        <v>-62.5</v>
      </c>
      <c r="P1942" s="6">
        <f t="shared" si="502"/>
        <v>0</v>
      </c>
      <c r="Q1942" s="7">
        <f t="shared" si="503"/>
        <v>3422551.850000001</v>
      </c>
      <c r="R1942" s="44" t="str">
        <f>VLOOKUP(F1942,'Set up'!$A$2:$E$70,5,FALSE)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496"/>
        <v>8</v>
      </c>
      <c r="C1943" s="5">
        <f t="shared" si="497"/>
        <v>2023</v>
      </c>
      <c r="D1943" s="88" t="s">
        <v>1795</v>
      </c>
      <c r="E1943" s="5" t="str">
        <f>VLOOKUP(F1943,'Set up'!$A$2:$C$70,2,FALSE)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up'!$A$2:$C$70,3,FALSE)</f>
        <v>120</v>
      </c>
      <c r="J1943" s="5">
        <f>VLOOKUP(F1943,'Set up'!$A$2:$D$70,4,FALSE)</f>
        <v>120</v>
      </c>
      <c r="K1943" s="4">
        <f t="shared" si="498"/>
        <v>45260</v>
      </c>
      <c r="L1943" s="5">
        <f t="shared" si="499"/>
        <v>11</v>
      </c>
      <c r="M1943" s="5">
        <f t="shared" si="500"/>
        <v>2023</v>
      </c>
      <c r="N1943" s="96">
        <v>9636</v>
      </c>
      <c r="O1943" s="6">
        <f t="shared" ref="O1943:O1958" si="506">-N1943</f>
        <v>-9636</v>
      </c>
      <c r="P1943" s="6">
        <f t="shared" si="502"/>
        <v>0</v>
      </c>
      <c r="Q1943" s="7">
        <f t="shared" si="503"/>
        <v>3432187.850000001</v>
      </c>
      <c r="R1943" s="44" t="str">
        <f>VLOOKUP(F1943,'Set up'!$A$2:$E$70,5,FALSE)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496"/>
        <v>8</v>
      </c>
      <c r="C1944" s="5">
        <f t="shared" si="497"/>
        <v>2023</v>
      </c>
      <c r="D1944" s="88" t="s">
        <v>1795</v>
      </c>
      <c r="E1944" s="5" t="str">
        <f>VLOOKUP(F1944,'Set up'!$A$2:$C$70,2,FALSE)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up'!$A$2:$C$70,3,FALSE)</f>
        <v>120</v>
      </c>
      <c r="J1944" s="5">
        <f>VLOOKUP(F1944,'Set up'!$A$2:$D$70,4,FALSE)</f>
        <v>120</v>
      </c>
      <c r="K1944" s="4">
        <f t="shared" si="498"/>
        <v>45260</v>
      </c>
      <c r="L1944" s="5">
        <f t="shared" si="499"/>
        <v>11</v>
      </c>
      <c r="M1944" s="5">
        <f t="shared" si="500"/>
        <v>2023</v>
      </c>
      <c r="N1944" s="96">
        <v>1800</v>
      </c>
      <c r="O1944" s="6">
        <f t="shared" si="506"/>
        <v>-1800</v>
      </c>
      <c r="P1944" s="6">
        <f t="shared" si="502"/>
        <v>0</v>
      </c>
      <c r="Q1944" s="7">
        <f t="shared" si="503"/>
        <v>3433987.850000001</v>
      </c>
      <c r="R1944" s="44" t="str">
        <f>VLOOKUP(F1944,'Set up'!$A$2:$E$70,5,FALSE)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496"/>
        <v>8</v>
      </c>
      <c r="C1945" s="5">
        <f t="shared" si="497"/>
        <v>2023</v>
      </c>
      <c r="D1945" s="88" t="s">
        <v>1795</v>
      </c>
      <c r="E1945" s="5" t="str">
        <f>VLOOKUP(F1945,'Set up'!$A$2:$C$70,2,FALSE)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up'!$A$2:$C$70,3,FALSE)</f>
        <v>120</v>
      </c>
      <c r="J1945" s="5">
        <f>VLOOKUP(F1945,'Set up'!$A$2:$D$70,4,FALSE)</f>
        <v>120</v>
      </c>
      <c r="K1945" s="4">
        <f t="shared" si="498"/>
        <v>45260</v>
      </c>
      <c r="L1945" s="5">
        <f t="shared" si="499"/>
        <v>11</v>
      </c>
      <c r="M1945" s="5">
        <f t="shared" si="500"/>
        <v>2023</v>
      </c>
      <c r="N1945" s="96">
        <v>862.5</v>
      </c>
      <c r="O1945" s="6">
        <f t="shared" si="506"/>
        <v>-862.5</v>
      </c>
      <c r="P1945" s="6">
        <f t="shared" si="502"/>
        <v>0</v>
      </c>
      <c r="Q1945" s="7">
        <f t="shared" si="503"/>
        <v>3434850.350000001</v>
      </c>
      <c r="R1945" s="44" t="str">
        <f>VLOOKUP(F1945,'Set up'!$A$2:$E$70,5,FALSE)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496"/>
        <v>8</v>
      </c>
      <c r="C1946" s="5">
        <f t="shared" si="497"/>
        <v>2023</v>
      </c>
      <c r="D1946" s="88" t="s">
        <v>1795</v>
      </c>
      <c r="E1946" s="5" t="str">
        <f>VLOOKUP(F1946,'Set up'!$A$2:$C$70,2,FALSE)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up'!$A$2:$C$70,3,FALSE)</f>
        <v>120</v>
      </c>
      <c r="J1946" s="5">
        <f>VLOOKUP(F1946,'Set up'!$A$2:$D$70,4,FALSE)</f>
        <v>120</v>
      </c>
      <c r="K1946" s="4">
        <f t="shared" si="498"/>
        <v>45260</v>
      </c>
      <c r="L1946" s="5">
        <f t="shared" si="499"/>
        <v>11</v>
      </c>
      <c r="M1946" s="5">
        <f t="shared" si="500"/>
        <v>2023</v>
      </c>
      <c r="N1946" s="96">
        <v>420</v>
      </c>
      <c r="O1946" s="6">
        <f t="shared" si="506"/>
        <v>-420</v>
      </c>
      <c r="P1946" s="6">
        <f t="shared" si="502"/>
        <v>0</v>
      </c>
      <c r="Q1946" s="7">
        <f t="shared" si="503"/>
        <v>3435270.350000001</v>
      </c>
      <c r="R1946" s="44" t="str">
        <f>VLOOKUP(F1946,'Set up'!$A$2:$E$70,5,FALSE)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496"/>
        <v>8</v>
      </c>
      <c r="C1947" s="5">
        <f t="shared" si="497"/>
        <v>2023</v>
      </c>
      <c r="D1947" s="88" t="s">
        <v>1795</v>
      </c>
      <c r="E1947" s="5" t="str">
        <f>VLOOKUP(F1947,'Set up'!$A$2:$C$70,2,FALSE)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up'!$A$2:$C$70,3,FALSE)</f>
        <v>120</v>
      </c>
      <c r="J1947" s="5">
        <f>VLOOKUP(F1947,'Set up'!$A$2:$D$70,4,FALSE)</f>
        <v>120</v>
      </c>
      <c r="K1947" s="4">
        <f t="shared" si="498"/>
        <v>45260</v>
      </c>
      <c r="L1947" s="5">
        <f t="shared" si="499"/>
        <v>11</v>
      </c>
      <c r="M1947" s="5">
        <f t="shared" si="500"/>
        <v>2023</v>
      </c>
      <c r="N1947" s="96">
        <v>420</v>
      </c>
      <c r="O1947" s="6">
        <f t="shared" si="506"/>
        <v>-420</v>
      </c>
      <c r="P1947" s="6">
        <f t="shared" si="502"/>
        <v>0</v>
      </c>
      <c r="Q1947" s="7">
        <f t="shared" si="503"/>
        <v>3435690.350000001</v>
      </c>
      <c r="R1947" s="44" t="str">
        <f>VLOOKUP(F1947,'Set up'!$A$2:$E$70,5,FALSE)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496"/>
        <v>8</v>
      </c>
      <c r="C1948" s="5">
        <f t="shared" si="497"/>
        <v>2023</v>
      </c>
      <c r="D1948" s="88" t="s">
        <v>1795</v>
      </c>
      <c r="E1948" s="5" t="str">
        <f>VLOOKUP(F1948,'Set up'!$A$2:$C$70,2,FALSE)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up'!$A$2:$C$70,3,FALSE)</f>
        <v>120</v>
      </c>
      <c r="J1948" s="5">
        <f>VLOOKUP(F1948,'Set up'!$A$2:$D$70,4,FALSE)</f>
        <v>120</v>
      </c>
      <c r="K1948" s="4">
        <f t="shared" si="498"/>
        <v>45260</v>
      </c>
      <c r="L1948" s="5">
        <f t="shared" si="499"/>
        <v>11</v>
      </c>
      <c r="M1948" s="5">
        <f t="shared" si="500"/>
        <v>2023</v>
      </c>
      <c r="N1948" s="96">
        <v>395</v>
      </c>
      <c r="O1948" s="6">
        <f t="shared" si="506"/>
        <v>-395</v>
      </c>
      <c r="P1948" s="6">
        <f t="shared" si="502"/>
        <v>0</v>
      </c>
      <c r="Q1948" s="7">
        <f t="shared" si="503"/>
        <v>3436085.350000001</v>
      </c>
      <c r="R1948" s="44" t="str">
        <f>VLOOKUP(F1948,'Set up'!$A$2:$E$70,5,FALSE)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496"/>
        <v>8</v>
      </c>
      <c r="C1949" s="5">
        <f t="shared" si="497"/>
        <v>2023</v>
      </c>
      <c r="D1949" s="88" t="s">
        <v>1797</v>
      </c>
      <c r="E1949" s="5" t="str">
        <f>VLOOKUP(F1949,'Set up'!$A$2:$C$70,2,FALSE)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up'!$A$2:$C$70,3,FALSE)</f>
        <v>Cash</v>
      </c>
      <c r="J1949" s="5">
        <f>VLOOKUP(F1949,'Set up'!$A$2:$D$70,4,FALSE)</f>
        <v>0</v>
      </c>
      <c r="K1949" s="4">
        <f t="shared" si="498"/>
        <v>45141</v>
      </c>
      <c r="L1949" s="5">
        <f t="shared" si="499"/>
        <v>8</v>
      </c>
      <c r="M1949" s="5">
        <f t="shared" si="500"/>
        <v>2023</v>
      </c>
      <c r="N1949" s="96">
        <v>1738</v>
      </c>
      <c r="O1949" s="6">
        <f t="shared" si="506"/>
        <v>-1738</v>
      </c>
      <c r="P1949" s="6">
        <f t="shared" si="502"/>
        <v>0</v>
      </c>
      <c r="Q1949" s="7">
        <f t="shared" si="503"/>
        <v>3437823.350000001</v>
      </c>
      <c r="R1949" s="44" t="str">
        <f>VLOOKUP(F1949,'Set up'!$A$2:$E$70,5,FALSE)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496"/>
        <v>8</v>
      </c>
      <c r="C1950" s="5">
        <f t="shared" si="497"/>
        <v>2023</v>
      </c>
      <c r="D1950" s="88" t="s">
        <v>1797</v>
      </c>
      <c r="E1950" s="5" t="str">
        <f>VLOOKUP(F1950,'Set up'!$A$2:$C$70,2,FALSE)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up'!$A$2:$C$70,3,FALSE)</f>
        <v>Cash</v>
      </c>
      <c r="J1950" s="5">
        <f>VLOOKUP(F1950,'Set up'!$A$2:$D$70,4,FALSE)</f>
        <v>0</v>
      </c>
      <c r="K1950" s="4">
        <f t="shared" si="498"/>
        <v>45141</v>
      </c>
      <c r="L1950" s="5">
        <f t="shared" si="499"/>
        <v>8</v>
      </c>
      <c r="M1950" s="5">
        <f t="shared" si="500"/>
        <v>2023</v>
      </c>
      <c r="N1950" s="96">
        <v>468</v>
      </c>
      <c r="O1950" s="6">
        <f t="shared" si="506"/>
        <v>-468</v>
      </c>
      <c r="P1950" s="6">
        <f t="shared" si="502"/>
        <v>0</v>
      </c>
      <c r="Q1950" s="7">
        <f t="shared" si="503"/>
        <v>3438291.350000001</v>
      </c>
      <c r="R1950" s="44" t="str">
        <f>VLOOKUP(F1950,'Set up'!$A$2:$E$70,5,FALSE)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496"/>
        <v>8</v>
      </c>
      <c r="C1951" s="5">
        <f t="shared" si="497"/>
        <v>2023</v>
      </c>
      <c r="D1951" s="88" t="s">
        <v>1797</v>
      </c>
      <c r="E1951" s="5" t="str">
        <f>VLOOKUP(F1951,'Set up'!$A$2:$C$70,2,FALSE)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up'!$A$2:$C$70,3,FALSE)</f>
        <v>Cash</v>
      </c>
      <c r="J1951" s="5">
        <f>VLOOKUP(F1951,'Set up'!$A$2:$D$70,4,FALSE)</f>
        <v>0</v>
      </c>
      <c r="K1951" s="4">
        <f t="shared" si="498"/>
        <v>45141</v>
      </c>
      <c r="L1951" s="5">
        <f t="shared" si="499"/>
        <v>8</v>
      </c>
      <c r="M1951" s="5">
        <f t="shared" si="500"/>
        <v>2023</v>
      </c>
      <c r="N1951" s="96">
        <v>175</v>
      </c>
      <c r="O1951" s="6">
        <f t="shared" si="506"/>
        <v>-175</v>
      </c>
      <c r="P1951" s="6">
        <f t="shared" si="502"/>
        <v>0</v>
      </c>
      <c r="Q1951" s="7">
        <f t="shared" si="503"/>
        <v>3438466.350000001</v>
      </c>
      <c r="R1951" s="44" t="str">
        <f>VLOOKUP(F1951,'Set up'!$A$2:$E$70,5,FALSE)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496"/>
        <v>8</v>
      </c>
      <c r="C1952" s="5">
        <f t="shared" si="497"/>
        <v>2023</v>
      </c>
      <c r="D1952" s="88" t="s">
        <v>1798</v>
      </c>
      <c r="E1952" s="5" t="str">
        <f>VLOOKUP(F1952,'Set up'!$A$2:$C$70,2,FALSE)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up'!$A$2:$C$70,3,FALSE)</f>
        <v>Cash</v>
      </c>
      <c r="J1952" s="5">
        <f>VLOOKUP(F1952,'Set up'!$A$2:$D$70,4,FALSE)</f>
        <v>0</v>
      </c>
      <c r="K1952" s="4">
        <f t="shared" si="498"/>
        <v>45142</v>
      </c>
      <c r="L1952" s="5">
        <f t="shared" si="499"/>
        <v>8</v>
      </c>
      <c r="M1952" s="5">
        <f t="shared" si="500"/>
        <v>2023</v>
      </c>
      <c r="N1952" s="96">
        <v>1738</v>
      </c>
      <c r="O1952" s="6">
        <f>-499.3-1000-238.7</f>
        <v>-1738</v>
      </c>
      <c r="P1952" s="6">
        <f t="shared" si="502"/>
        <v>0</v>
      </c>
      <c r="Q1952" s="7">
        <f t="shared" si="503"/>
        <v>3440204.350000001</v>
      </c>
      <c r="R1952" s="44" t="str">
        <f>VLOOKUP(F1952,'Set up'!$A$2:$E$70,5,FALSE)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496"/>
        <v>8</v>
      </c>
      <c r="C1953" s="5">
        <f t="shared" si="497"/>
        <v>2023</v>
      </c>
      <c r="D1953" s="88" t="s">
        <v>1798</v>
      </c>
      <c r="E1953" s="5" t="str">
        <f>VLOOKUP(F1953,'Set up'!$A$2:$C$70,2,FALSE)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up'!$A$2:$C$70,3,FALSE)</f>
        <v>Cash</v>
      </c>
      <c r="J1953" s="5">
        <f>VLOOKUP(F1953,'Set up'!$A$2:$D$70,4,FALSE)</f>
        <v>0</v>
      </c>
      <c r="K1953" s="4">
        <f t="shared" si="498"/>
        <v>45142</v>
      </c>
      <c r="L1953" s="5">
        <f t="shared" si="499"/>
        <v>8</v>
      </c>
      <c r="M1953" s="5">
        <f t="shared" si="500"/>
        <v>2023</v>
      </c>
      <c r="N1953" s="96">
        <v>125</v>
      </c>
      <c r="O1953" s="6">
        <f t="shared" si="506"/>
        <v>-125</v>
      </c>
      <c r="P1953" s="6">
        <f t="shared" si="502"/>
        <v>0</v>
      </c>
      <c r="Q1953" s="7">
        <f t="shared" si="503"/>
        <v>3440329.350000001</v>
      </c>
      <c r="R1953" s="44" t="str">
        <f>VLOOKUP(F1953,'Set up'!$A$2:$E$70,5,FALSE)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496"/>
        <v>8</v>
      </c>
      <c r="C1954" s="5">
        <f t="shared" si="497"/>
        <v>2023</v>
      </c>
      <c r="D1954" s="88" t="s">
        <v>1798</v>
      </c>
      <c r="E1954" s="5" t="str">
        <f>VLOOKUP(F1954,'Set up'!$A$2:$C$70,2,FALSE)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up'!$A$2:$C$70,3,FALSE)</f>
        <v>Cash</v>
      </c>
      <c r="J1954" s="5">
        <f>VLOOKUP(F1954,'Set up'!$A$2:$D$70,4,FALSE)</f>
        <v>0</v>
      </c>
      <c r="K1954" s="4">
        <f t="shared" si="498"/>
        <v>45142</v>
      </c>
      <c r="L1954" s="5">
        <f t="shared" si="499"/>
        <v>8</v>
      </c>
      <c r="M1954" s="5">
        <f t="shared" si="500"/>
        <v>2023</v>
      </c>
      <c r="N1954" s="96">
        <v>390</v>
      </c>
      <c r="O1954" s="6">
        <f t="shared" si="506"/>
        <v>-390</v>
      </c>
      <c r="P1954" s="6">
        <f t="shared" si="502"/>
        <v>0</v>
      </c>
      <c r="Q1954" s="7">
        <f t="shared" si="503"/>
        <v>3440719.350000001</v>
      </c>
      <c r="R1954" s="44" t="str">
        <f>VLOOKUP(F1954,'Set up'!$A$2:$E$70,5,FALSE)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496"/>
        <v>8</v>
      </c>
      <c r="C1955" s="5">
        <f t="shared" si="497"/>
        <v>2023</v>
      </c>
      <c r="D1955" s="88" t="s">
        <v>1798</v>
      </c>
      <c r="E1955" s="5" t="str">
        <f>VLOOKUP(F1955,'Set up'!$A$2:$C$70,2,FALSE)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up'!$A$2:$C$70,3,FALSE)</f>
        <v>Cash</v>
      </c>
      <c r="J1955" s="5">
        <f>VLOOKUP(F1955,'Set up'!$A$2:$D$70,4,FALSE)</f>
        <v>0</v>
      </c>
      <c r="K1955" s="4">
        <f t="shared" si="498"/>
        <v>45142</v>
      </c>
      <c r="L1955" s="5">
        <f t="shared" si="499"/>
        <v>8</v>
      </c>
      <c r="M1955" s="5">
        <f t="shared" si="500"/>
        <v>2023</v>
      </c>
      <c r="N1955" s="96">
        <v>420</v>
      </c>
      <c r="O1955" s="6">
        <f>-246.3-173.7</f>
        <v>-420</v>
      </c>
      <c r="P1955" s="6">
        <f t="shared" si="502"/>
        <v>0</v>
      </c>
      <c r="Q1955" s="7">
        <f t="shared" si="503"/>
        <v>3441139.350000001</v>
      </c>
      <c r="R1955" s="44" t="str">
        <f>VLOOKUP(F1955,'Set up'!$A$2:$E$70,5,FALSE)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496"/>
        <v>8</v>
      </c>
      <c r="C1956" s="5">
        <f t="shared" si="497"/>
        <v>2023</v>
      </c>
      <c r="D1956" s="88" t="s">
        <v>1798</v>
      </c>
      <c r="E1956" s="5" t="str">
        <f>VLOOKUP(F1956,'Set up'!$A$2:$C$70,2,FALSE)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up'!$A$2:$C$70,3,FALSE)</f>
        <v>Cash</v>
      </c>
      <c r="J1956" s="5">
        <f>VLOOKUP(F1956,'Set up'!$A$2:$D$70,4,FALSE)</f>
        <v>0</v>
      </c>
      <c r="K1956" s="4">
        <f t="shared" si="498"/>
        <v>45142</v>
      </c>
      <c r="L1956" s="5">
        <f t="shared" si="499"/>
        <v>8</v>
      </c>
      <c r="M1956" s="5">
        <f t="shared" si="500"/>
        <v>2023</v>
      </c>
      <c r="N1956" s="96">
        <v>160</v>
      </c>
      <c r="O1956" s="6">
        <f t="shared" si="506"/>
        <v>-160</v>
      </c>
      <c r="P1956" s="6">
        <f t="shared" si="502"/>
        <v>0</v>
      </c>
      <c r="Q1956" s="7">
        <f t="shared" si="503"/>
        <v>3441299.350000001</v>
      </c>
      <c r="R1956" s="44" t="str">
        <f>VLOOKUP(F1956,'Set up'!$A$2:$E$70,5,FALSE)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496"/>
        <v>8</v>
      </c>
      <c r="C1957" s="5">
        <f t="shared" si="497"/>
        <v>2023</v>
      </c>
      <c r="D1957" s="88" t="s">
        <v>1798</v>
      </c>
      <c r="E1957" s="5" t="str">
        <f>VLOOKUP(F1957,'Set up'!$A$2:$C$70,2,FALSE)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up'!$A$2:$C$70,3,FALSE)</f>
        <v>Cash</v>
      </c>
      <c r="J1957" s="5">
        <f>VLOOKUP(F1957,'Set up'!$A$2:$D$70,4,FALSE)</f>
        <v>0</v>
      </c>
      <c r="K1957" s="4">
        <f t="shared" si="498"/>
        <v>45142</v>
      </c>
      <c r="L1957" s="5">
        <f t="shared" si="499"/>
        <v>8</v>
      </c>
      <c r="M1957" s="5">
        <f t="shared" si="500"/>
        <v>2023</v>
      </c>
      <c r="N1957" s="96">
        <v>150</v>
      </c>
      <c r="O1957" s="6">
        <f t="shared" si="506"/>
        <v>-150</v>
      </c>
      <c r="P1957" s="6">
        <f t="shared" si="502"/>
        <v>0</v>
      </c>
      <c r="Q1957" s="7">
        <f t="shared" si="503"/>
        <v>3441449.350000001</v>
      </c>
      <c r="R1957" s="44" t="str">
        <f>VLOOKUP(F1957,'Set up'!$A$2:$E$70,5,FALSE)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496"/>
        <v>8</v>
      </c>
      <c r="C1958" s="5">
        <f t="shared" si="497"/>
        <v>2023</v>
      </c>
      <c r="D1958" s="88" t="s">
        <v>1798</v>
      </c>
      <c r="E1958" s="5" t="str">
        <f>VLOOKUP(F1958,'Set up'!$A$2:$C$70,2,FALSE)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up'!$A$2:$C$70,3,FALSE)</f>
        <v>Cash</v>
      </c>
      <c r="J1958" s="5">
        <f>VLOOKUP(F1958,'Set up'!$A$2:$D$70,4,FALSE)</f>
        <v>0</v>
      </c>
      <c r="K1958" s="4">
        <f t="shared" si="498"/>
        <v>45142</v>
      </c>
      <c r="L1958" s="5">
        <f t="shared" si="499"/>
        <v>8</v>
      </c>
      <c r="M1958" s="5">
        <f t="shared" si="500"/>
        <v>2023</v>
      </c>
      <c r="N1958" s="96">
        <v>260</v>
      </c>
      <c r="O1958" s="6">
        <f t="shared" si="506"/>
        <v>-260</v>
      </c>
      <c r="P1958" s="6">
        <f t="shared" si="502"/>
        <v>0</v>
      </c>
      <c r="Q1958" s="7">
        <f t="shared" si="503"/>
        <v>3441709.350000001</v>
      </c>
      <c r="R1958" s="44" t="str">
        <f>VLOOKUP(F1958,'Set up'!$A$2:$E$70,5,FALSE)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496"/>
        <v>8</v>
      </c>
      <c r="C1959" s="5">
        <f t="shared" si="497"/>
        <v>2023</v>
      </c>
      <c r="D1959" s="88" t="s">
        <v>1798</v>
      </c>
      <c r="E1959" s="5" t="str">
        <f>VLOOKUP(F1959,'Set up'!$A$2:$C$70,2,FALSE)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up'!$A$2:$C$70,3,FALSE)</f>
        <v>Cash</v>
      </c>
      <c r="J1959" s="5">
        <f>VLOOKUP(F1959,'Set up'!$A$2:$D$70,4,FALSE)</f>
        <v>0</v>
      </c>
      <c r="K1959" s="4">
        <f t="shared" si="498"/>
        <v>45142</v>
      </c>
      <c r="L1959" s="5">
        <f t="shared" si="499"/>
        <v>8</v>
      </c>
      <c r="M1959" s="5">
        <f t="shared" si="500"/>
        <v>2023</v>
      </c>
      <c r="N1959" s="96">
        <v>322.5</v>
      </c>
      <c r="O1959" s="6">
        <f>-256.3-66.2</f>
        <v>-322.5</v>
      </c>
      <c r="P1959" s="6">
        <f t="shared" si="502"/>
        <v>0</v>
      </c>
      <c r="Q1959" s="7">
        <f t="shared" si="503"/>
        <v>3442031.850000001</v>
      </c>
      <c r="R1959" s="44" t="str">
        <f>VLOOKUP(F1959,'Set up'!$A$2:$E$70,5,FALSE)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496"/>
        <v>8</v>
      </c>
      <c r="C1960" s="5">
        <f t="shared" si="497"/>
        <v>2023</v>
      </c>
      <c r="D1960" s="88" t="s">
        <v>1799</v>
      </c>
      <c r="E1960" s="5" t="str">
        <f>VLOOKUP(F1960,'Set up'!$A$2:$C$70,2,FALSE)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up'!$A$2:$C$70,3,FALSE)</f>
        <v>Cash</v>
      </c>
      <c r="J1960" s="5">
        <f>VLOOKUP(F1960,'Set up'!$A$2:$D$70,4,FALSE)</f>
        <v>0</v>
      </c>
      <c r="K1960" s="4">
        <f t="shared" si="498"/>
        <v>45142</v>
      </c>
      <c r="L1960" s="5">
        <f t="shared" si="499"/>
        <v>8</v>
      </c>
      <c r="M1960" s="5">
        <f t="shared" si="500"/>
        <v>2023</v>
      </c>
      <c r="N1960" s="96">
        <v>3124</v>
      </c>
      <c r="O1960" s="6">
        <f>-N1960</f>
        <v>-3124</v>
      </c>
      <c r="P1960" s="6">
        <f t="shared" si="502"/>
        <v>0</v>
      </c>
      <c r="Q1960" s="7">
        <f t="shared" si="503"/>
        <v>3445155.850000001</v>
      </c>
      <c r="R1960" s="44" t="str">
        <f>VLOOKUP(F1960,'Set up'!$A$2:$E$70,5,FALSE)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496"/>
        <v>8</v>
      </c>
      <c r="C1961" s="5">
        <f t="shared" si="497"/>
        <v>2023</v>
      </c>
      <c r="D1961" s="88" t="s">
        <v>1799</v>
      </c>
      <c r="E1961" s="5" t="str">
        <f>VLOOKUP(F1961,'Set up'!$A$2:$C$70,2,FALSE)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up'!$A$2:$C$70,3,FALSE)</f>
        <v>Cash</v>
      </c>
      <c r="J1961" s="5">
        <f>VLOOKUP(F1961,'Set up'!$A$2:$D$70,4,FALSE)</f>
        <v>0</v>
      </c>
      <c r="K1961" s="4">
        <f t="shared" si="498"/>
        <v>45142</v>
      </c>
      <c r="L1961" s="5">
        <f t="shared" si="499"/>
        <v>8</v>
      </c>
      <c r="M1961" s="5">
        <f t="shared" si="500"/>
        <v>2023</v>
      </c>
      <c r="N1961" s="96">
        <v>1134</v>
      </c>
      <c r="O1961" s="6">
        <f>-N1961</f>
        <v>-1134</v>
      </c>
      <c r="P1961" s="6">
        <f t="shared" si="502"/>
        <v>0</v>
      </c>
      <c r="Q1961" s="7">
        <f t="shared" si="503"/>
        <v>3446289.850000001</v>
      </c>
      <c r="R1961" s="44" t="str">
        <f>VLOOKUP(F1961,'Set up'!$A$2:$E$70,5,FALSE)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496"/>
        <v>8</v>
      </c>
      <c r="C1962" s="5">
        <f t="shared" si="497"/>
        <v>2023</v>
      </c>
      <c r="D1962" s="88" t="s">
        <v>1799</v>
      </c>
      <c r="E1962" s="5" t="str">
        <f>VLOOKUP(F1962,'Set up'!$A$2:$C$70,2,FALSE)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up'!$A$2:$C$70,3,FALSE)</f>
        <v>Cash</v>
      </c>
      <c r="J1962" s="5">
        <f>VLOOKUP(F1962,'Set up'!$A$2:$D$70,4,FALSE)</f>
        <v>0</v>
      </c>
      <c r="K1962" s="4">
        <f t="shared" si="498"/>
        <v>45142</v>
      </c>
      <c r="L1962" s="5">
        <f t="shared" si="499"/>
        <v>8</v>
      </c>
      <c r="M1962" s="5">
        <f t="shared" si="500"/>
        <v>2023</v>
      </c>
      <c r="N1962" s="96">
        <v>600</v>
      </c>
      <c r="O1962" s="6">
        <f>-N1962</f>
        <v>-600</v>
      </c>
      <c r="P1962" s="6">
        <f t="shared" si="502"/>
        <v>0</v>
      </c>
      <c r="Q1962" s="7">
        <f t="shared" si="503"/>
        <v>3446889.850000001</v>
      </c>
      <c r="R1962" s="44" t="str">
        <f>VLOOKUP(F1962,'Set up'!$A$2:$E$70,5,FALSE)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496"/>
        <v>8</v>
      </c>
      <c r="C1963" s="5">
        <f t="shared" si="497"/>
        <v>2023</v>
      </c>
      <c r="D1963" s="88" t="s">
        <v>1799</v>
      </c>
      <c r="E1963" s="5" t="str">
        <f>VLOOKUP(F1963,'Set up'!$A$2:$C$70,2,FALSE)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up'!$A$2:$C$70,3,FALSE)</f>
        <v>Cash</v>
      </c>
      <c r="J1963" s="5">
        <f>VLOOKUP(F1963,'Set up'!$A$2:$D$70,4,FALSE)</f>
        <v>0</v>
      </c>
      <c r="K1963" s="4">
        <f t="shared" si="498"/>
        <v>45142</v>
      </c>
      <c r="L1963" s="5">
        <f t="shared" si="499"/>
        <v>8</v>
      </c>
      <c r="M1963" s="5">
        <f t="shared" si="500"/>
        <v>2023</v>
      </c>
      <c r="N1963" s="96">
        <v>1000</v>
      </c>
      <c r="O1963" s="6">
        <f>-N1963</f>
        <v>-1000</v>
      </c>
      <c r="P1963" s="6">
        <f t="shared" si="502"/>
        <v>0</v>
      </c>
      <c r="Q1963" s="7">
        <f t="shared" si="503"/>
        <v>3447889.850000001</v>
      </c>
      <c r="R1963" s="44" t="str">
        <f>VLOOKUP(F1963,'Set up'!$A$2:$E$70,5,FALSE)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496"/>
        <v>8</v>
      </c>
      <c r="C1964" s="5">
        <f t="shared" si="497"/>
        <v>2023</v>
      </c>
      <c r="D1964" s="88" t="s">
        <v>1804</v>
      </c>
      <c r="E1964" s="5" t="str">
        <f>VLOOKUP(F1964,'Set up'!$A$2:$C$70,2,FALSE)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up'!$A$2:$C$70,3,FALSE)</f>
        <v>Cash</v>
      </c>
      <c r="J1964" s="5">
        <f>VLOOKUP(F1964,'Set up'!$A$2:$D$70,4,FALSE)</f>
        <v>0</v>
      </c>
      <c r="K1964" s="4">
        <f t="shared" si="498"/>
        <v>45145</v>
      </c>
      <c r="L1964" s="5">
        <f t="shared" si="499"/>
        <v>8</v>
      </c>
      <c r="M1964" s="5">
        <f t="shared" si="500"/>
        <v>2023</v>
      </c>
      <c r="N1964" s="96">
        <v>645</v>
      </c>
      <c r="O1964" s="6">
        <f t="shared" ref="O1964:O1967" si="507">-N1964</f>
        <v>-645</v>
      </c>
      <c r="P1964" s="6">
        <f t="shared" si="502"/>
        <v>0</v>
      </c>
      <c r="Q1964" s="7">
        <f t="shared" si="503"/>
        <v>3448534.850000001</v>
      </c>
      <c r="R1964" s="44" t="str">
        <f>VLOOKUP(F1964,'Set up'!$A$2:$E$70,5,FALSE)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496"/>
        <v>8</v>
      </c>
      <c r="C1965" s="5">
        <f t="shared" si="497"/>
        <v>2023</v>
      </c>
      <c r="D1965" s="88" t="s">
        <v>1804</v>
      </c>
      <c r="E1965" s="5" t="str">
        <f>VLOOKUP(F1965,'Set up'!$A$2:$C$70,2,FALSE)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up'!$A$2:$C$70,3,FALSE)</f>
        <v>Cash</v>
      </c>
      <c r="J1965" s="5">
        <f>VLOOKUP(F1965,'Set up'!$A$2:$D$70,4,FALSE)</f>
        <v>0</v>
      </c>
      <c r="K1965" s="4">
        <f t="shared" si="498"/>
        <v>45145</v>
      </c>
      <c r="L1965" s="5">
        <f t="shared" si="499"/>
        <v>8</v>
      </c>
      <c r="M1965" s="5">
        <f t="shared" si="500"/>
        <v>2023</v>
      </c>
      <c r="N1965" s="96">
        <v>283.8</v>
      </c>
      <c r="O1965" s="6">
        <f t="shared" si="507"/>
        <v>-283.8</v>
      </c>
      <c r="P1965" s="6">
        <f t="shared" si="502"/>
        <v>0</v>
      </c>
      <c r="Q1965" s="7">
        <f t="shared" si="503"/>
        <v>3448818.6500000008</v>
      </c>
      <c r="R1965" s="44" t="str">
        <f>VLOOKUP(F1965,'Set up'!$A$2:$E$70,5,FALSE)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496"/>
        <v>8</v>
      </c>
      <c r="C1966" s="5">
        <f t="shared" si="497"/>
        <v>2023</v>
      </c>
      <c r="D1966" s="88" t="s">
        <v>1804</v>
      </c>
      <c r="E1966" s="5" t="str">
        <f>VLOOKUP(F1966,'Set up'!$A$2:$C$70,2,FALSE)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up'!$A$2:$C$70,3,FALSE)</f>
        <v>Cash</v>
      </c>
      <c r="J1966" s="5">
        <f>VLOOKUP(F1966,'Set up'!$A$2:$D$70,4,FALSE)</f>
        <v>0</v>
      </c>
      <c r="K1966" s="4">
        <f t="shared" si="498"/>
        <v>45145</v>
      </c>
      <c r="L1966" s="5">
        <f t="shared" si="499"/>
        <v>8</v>
      </c>
      <c r="M1966" s="5">
        <f t="shared" si="500"/>
        <v>2023</v>
      </c>
      <c r="N1966" s="96">
        <v>160</v>
      </c>
      <c r="O1966" s="6">
        <f t="shared" si="507"/>
        <v>-160</v>
      </c>
      <c r="P1966" s="6">
        <f t="shared" si="502"/>
        <v>0</v>
      </c>
      <c r="Q1966" s="7">
        <f t="shared" si="503"/>
        <v>3448978.6500000008</v>
      </c>
      <c r="R1966" s="44" t="str">
        <f>VLOOKUP(F1966,'Set up'!$A$2:$E$70,5,FALSE)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496"/>
        <v>8</v>
      </c>
      <c r="C1967" s="5">
        <f t="shared" si="497"/>
        <v>2023</v>
      </c>
      <c r="D1967" s="124" t="s">
        <v>1804</v>
      </c>
      <c r="E1967" s="5" t="str">
        <f>VLOOKUP(F1967,'Set up'!$A$2:$C$70,2,FALSE)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up'!$A$2:$C$70,3,FALSE)</f>
        <v>Cash</v>
      </c>
      <c r="J1967" s="5">
        <f>VLOOKUP(F1967,'Set up'!$A$2:$D$70,4,FALSE)</f>
        <v>0</v>
      </c>
      <c r="K1967" s="4">
        <f t="shared" si="498"/>
        <v>45145</v>
      </c>
      <c r="L1967" s="5">
        <f t="shared" si="499"/>
        <v>8</v>
      </c>
      <c r="M1967" s="5">
        <f t="shared" si="500"/>
        <v>2023</v>
      </c>
      <c r="N1967" s="96">
        <v>0</v>
      </c>
      <c r="O1967" s="6">
        <f t="shared" si="507"/>
        <v>0</v>
      </c>
      <c r="P1967" s="6">
        <f t="shared" si="502"/>
        <v>0</v>
      </c>
      <c r="Q1967" s="7">
        <f t="shared" si="503"/>
        <v>3448978.6500000008</v>
      </c>
      <c r="R1967" s="44" t="str">
        <f>VLOOKUP(F1967,'Set up'!$A$2:$E$70,5,FALSE)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496"/>
        <v>8</v>
      </c>
      <c r="C1968" s="5">
        <f t="shared" si="497"/>
        <v>2023</v>
      </c>
      <c r="D1968" s="124" t="s">
        <v>1805</v>
      </c>
      <c r="E1968" s="5" t="str">
        <f>VLOOKUP(F1968,'Set up'!$A$2:$C$70,2,FALSE)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up'!$A$2:$C$70,3,FALSE)</f>
        <v>Cash</v>
      </c>
      <c r="J1968" s="5">
        <f>VLOOKUP(F1968,'Set up'!$A$2:$D$70,4,FALSE)</f>
        <v>0</v>
      </c>
      <c r="K1968" s="4">
        <f t="shared" si="498"/>
        <v>45145</v>
      </c>
      <c r="L1968" s="5">
        <f t="shared" si="499"/>
        <v>8</v>
      </c>
      <c r="M1968" s="5">
        <f t="shared" si="500"/>
        <v>2023</v>
      </c>
      <c r="N1968" s="96">
        <v>250</v>
      </c>
      <c r="O1968" s="6">
        <f>-N1968</f>
        <v>-250</v>
      </c>
      <c r="P1968" s="6">
        <f t="shared" si="502"/>
        <v>0</v>
      </c>
      <c r="Q1968" s="7">
        <f t="shared" si="503"/>
        <v>3449228.6500000008</v>
      </c>
      <c r="R1968" s="44" t="str">
        <f>VLOOKUP(F1968,'Set up'!$A$2:$E$70,5,FALSE)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496"/>
        <v>8</v>
      </c>
      <c r="C1969" s="5">
        <f t="shared" si="497"/>
        <v>2023</v>
      </c>
      <c r="D1969" s="124" t="s">
        <v>1806</v>
      </c>
      <c r="E1969" s="5" t="str">
        <f>VLOOKUP(F1969,'Set up'!$A$2:$C$70,2,FALSE)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up'!$A$2:$C$70,3,FALSE)</f>
        <v>Cash</v>
      </c>
      <c r="J1969" s="5">
        <f>VLOOKUP(F1969,'Set up'!$A$2:$D$70,4,FALSE)</f>
        <v>0</v>
      </c>
      <c r="K1969" s="4">
        <f t="shared" si="498"/>
        <v>45145</v>
      </c>
      <c r="L1969" s="5">
        <f t="shared" si="499"/>
        <v>8</v>
      </c>
      <c r="M1969" s="5">
        <f t="shared" si="500"/>
        <v>2023</v>
      </c>
      <c r="N1969" s="96">
        <v>3124</v>
      </c>
      <c r="O1969" s="6">
        <f>-N1969</f>
        <v>-3124</v>
      </c>
      <c r="P1969" s="6">
        <f t="shared" si="502"/>
        <v>0</v>
      </c>
      <c r="Q1969" s="7">
        <f t="shared" si="503"/>
        <v>3452352.6500000008</v>
      </c>
      <c r="R1969" s="44" t="str">
        <f>VLOOKUP(F1969,'Set up'!$A$2:$E$70,5,FALSE)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496"/>
        <v>8</v>
      </c>
      <c r="C1970" s="5">
        <f t="shared" si="497"/>
        <v>2023</v>
      </c>
      <c r="D1970" s="124" t="s">
        <v>1806</v>
      </c>
      <c r="E1970" s="5" t="str">
        <f>VLOOKUP(F1970,'Set up'!$A$2:$C$70,2,FALSE)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up'!$A$2:$C$70,3,FALSE)</f>
        <v>Cash</v>
      </c>
      <c r="J1970" s="5">
        <f>VLOOKUP(F1970,'Set up'!$A$2:$D$70,4,FALSE)</f>
        <v>0</v>
      </c>
      <c r="K1970" s="4">
        <f t="shared" si="498"/>
        <v>45145</v>
      </c>
      <c r="L1970" s="5">
        <f t="shared" si="499"/>
        <v>8</v>
      </c>
      <c r="M1970" s="5">
        <f t="shared" si="500"/>
        <v>2023</v>
      </c>
      <c r="N1970" s="96">
        <v>1134</v>
      </c>
      <c r="O1970" s="6">
        <f>-N1970</f>
        <v>-1134</v>
      </c>
      <c r="P1970" s="6">
        <f t="shared" si="502"/>
        <v>0</v>
      </c>
      <c r="Q1970" s="7">
        <f t="shared" si="503"/>
        <v>3453486.6500000008</v>
      </c>
      <c r="R1970" s="44" t="str">
        <f>VLOOKUP(F1970,'Set up'!$A$2:$E$70,5,FALSE)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496"/>
        <v>8</v>
      </c>
      <c r="C1971" s="5">
        <f t="shared" si="497"/>
        <v>2023</v>
      </c>
      <c r="D1971" s="124" t="s">
        <v>1806</v>
      </c>
      <c r="E1971" s="5" t="str">
        <f>VLOOKUP(F1971,'Set up'!$A$2:$C$70,2,FALSE)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up'!$A$2:$C$70,3,FALSE)</f>
        <v>Cash</v>
      </c>
      <c r="J1971" s="5">
        <f>VLOOKUP(F1971,'Set up'!$A$2:$D$70,4,FALSE)</f>
        <v>0</v>
      </c>
      <c r="K1971" s="4">
        <f t="shared" si="498"/>
        <v>45145</v>
      </c>
      <c r="L1971" s="5">
        <f t="shared" si="499"/>
        <v>8</v>
      </c>
      <c r="M1971" s="5">
        <f t="shared" si="500"/>
        <v>2023</v>
      </c>
      <c r="N1971" s="96">
        <v>600</v>
      </c>
      <c r="O1971" s="6">
        <f>-N1971</f>
        <v>-600</v>
      </c>
      <c r="P1971" s="6">
        <f t="shared" si="502"/>
        <v>0</v>
      </c>
      <c r="Q1971" s="7">
        <f t="shared" si="503"/>
        <v>3454086.6500000008</v>
      </c>
      <c r="R1971" s="44" t="str">
        <f>VLOOKUP(F1971,'Set up'!$A$2:$E$70,5,FALSE)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496"/>
        <v>8</v>
      </c>
      <c r="C1972" s="5">
        <f t="shared" si="497"/>
        <v>2023</v>
      </c>
      <c r="D1972" s="124" t="s">
        <v>1806</v>
      </c>
      <c r="E1972" s="5" t="str">
        <f>VLOOKUP(F1972,'Set up'!$A$2:$C$70,2,FALSE)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up'!$A$2:$C$70,3,FALSE)</f>
        <v>Cash</v>
      </c>
      <c r="J1972" s="5">
        <f>VLOOKUP(F1972,'Set up'!$A$2:$D$70,4,FALSE)</f>
        <v>0</v>
      </c>
      <c r="K1972" s="4">
        <f t="shared" si="498"/>
        <v>45145</v>
      </c>
      <c r="L1972" s="5">
        <f t="shared" si="499"/>
        <v>8</v>
      </c>
      <c r="M1972" s="5">
        <f t="shared" si="500"/>
        <v>2023</v>
      </c>
      <c r="N1972" s="96">
        <v>1000</v>
      </c>
      <c r="O1972" s="6">
        <f>-N1972</f>
        <v>-1000</v>
      </c>
      <c r="P1972" s="6">
        <f t="shared" si="502"/>
        <v>0</v>
      </c>
      <c r="Q1972" s="7">
        <f t="shared" si="503"/>
        <v>3455086.6500000008</v>
      </c>
      <c r="R1972" s="44" t="str">
        <f>VLOOKUP(F1972,'Set up'!$A$2:$E$70,5,FALSE)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496"/>
        <v>8</v>
      </c>
      <c r="C1973" s="5">
        <f t="shared" si="497"/>
        <v>2023</v>
      </c>
      <c r="D1973" s="88" t="s">
        <v>1807</v>
      </c>
      <c r="E1973" s="5" t="str">
        <f>VLOOKUP(F1973,'Set up'!$A$2:$C$70,2,FALSE)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up'!$A$2:$C$70,3,FALSE)</f>
        <v>Cash</v>
      </c>
      <c r="J1973" s="5">
        <f>VLOOKUP(F1973,'Set up'!$A$2:$D$70,4,FALSE)</f>
        <v>0</v>
      </c>
      <c r="K1973" s="4">
        <f t="shared" si="498"/>
        <v>45145</v>
      </c>
      <c r="L1973" s="5">
        <f t="shared" si="499"/>
        <v>8</v>
      </c>
      <c r="M1973" s="5">
        <f t="shared" si="500"/>
        <v>2023</v>
      </c>
      <c r="N1973" s="96">
        <v>225</v>
      </c>
      <c r="O1973" s="6">
        <f t="shared" ref="O1973" si="508">-N1973</f>
        <v>-225</v>
      </c>
      <c r="P1973" s="6">
        <f t="shared" si="502"/>
        <v>0</v>
      </c>
      <c r="Q1973" s="7">
        <f t="shared" si="503"/>
        <v>3455311.6500000008</v>
      </c>
      <c r="R1973" s="44" t="str">
        <f>VLOOKUP(F1973,'Set up'!$A$2:$E$70,5,FALSE)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496"/>
        <v>8</v>
      </c>
      <c r="C1974" s="5">
        <f t="shared" si="497"/>
        <v>2023</v>
      </c>
      <c r="D1974" s="88" t="s">
        <v>1807</v>
      </c>
      <c r="E1974" s="5" t="str">
        <f>VLOOKUP(F1974,'Set up'!$A$2:$C$70,2,FALSE)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up'!$A$2:$C$70,3,FALSE)</f>
        <v>Cash</v>
      </c>
      <c r="J1974" s="5">
        <f>VLOOKUP(F1974,'Set up'!$A$2:$D$70,4,FALSE)</f>
        <v>0</v>
      </c>
      <c r="K1974" s="4">
        <f t="shared" si="498"/>
        <v>45145</v>
      </c>
      <c r="L1974" s="5">
        <f t="shared" si="499"/>
        <v>8</v>
      </c>
      <c r="M1974" s="5">
        <f t="shared" si="500"/>
        <v>2023</v>
      </c>
      <c r="N1974" s="96">
        <v>695</v>
      </c>
      <c r="O1974" s="6">
        <f>-79.7-615.3</f>
        <v>-695</v>
      </c>
      <c r="P1974" s="6">
        <f t="shared" si="502"/>
        <v>0</v>
      </c>
      <c r="Q1974" s="7">
        <f t="shared" si="503"/>
        <v>3456006.6500000008</v>
      </c>
      <c r="R1974" s="44" t="str">
        <f>VLOOKUP(F1974,'Set up'!$A$2:$E$70,5,FALSE)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496"/>
        <v>8</v>
      </c>
      <c r="C1975" s="5">
        <f t="shared" si="497"/>
        <v>2023</v>
      </c>
      <c r="D1975" s="88" t="s">
        <v>1808</v>
      </c>
      <c r="E1975" s="5" t="str">
        <f>VLOOKUP(F1975,'Set up'!$A$2:$C$70,2,FALSE)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up'!$A$2:$C$70,3,FALSE)</f>
        <v>30</v>
      </c>
      <c r="J1975" s="5">
        <f>VLOOKUP(F1975,'Set up'!$A$2:$D$70,4,FALSE)</f>
        <v>30</v>
      </c>
      <c r="K1975" s="4">
        <f t="shared" si="498"/>
        <v>45176</v>
      </c>
      <c r="L1975" s="5">
        <f t="shared" si="499"/>
        <v>9</v>
      </c>
      <c r="M1975" s="5">
        <f t="shared" si="500"/>
        <v>2023</v>
      </c>
      <c r="N1975" s="96">
        <v>421.2</v>
      </c>
      <c r="O1975" s="6">
        <f t="shared" ref="O1975:O1977" si="509">-N1975</f>
        <v>-421.2</v>
      </c>
      <c r="P1975" s="6">
        <f t="shared" si="502"/>
        <v>0</v>
      </c>
      <c r="Q1975" s="7">
        <f t="shared" si="503"/>
        <v>3456427.850000001</v>
      </c>
      <c r="R1975" s="44" t="str">
        <f>VLOOKUP(F1975,'Set up'!$A$2:$E$70,5,FALSE)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496"/>
        <v>8</v>
      </c>
      <c r="C1976" s="5">
        <f t="shared" si="497"/>
        <v>2023</v>
      </c>
      <c r="D1976" s="88" t="s">
        <v>1808</v>
      </c>
      <c r="E1976" s="5" t="str">
        <f>VLOOKUP(F1976,'Set up'!$A$2:$C$70,2,FALSE)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up'!$A$2:$C$70,3,FALSE)</f>
        <v>30</v>
      </c>
      <c r="J1976" s="5">
        <f>VLOOKUP(F1976,'Set up'!$A$2:$D$70,4,FALSE)</f>
        <v>30</v>
      </c>
      <c r="K1976" s="4">
        <f t="shared" si="498"/>
        <v>45176</v>
      </c>
      <c r="L1976" s="5">
        <f t="shared" si="499"/>
        <v>9</v>
      </c>
      <c r="M1976" s="5">
        <f t="shared" si="500"/>
        <v>2023</v>
      </c>
      <c r="N1976" s="96">
        <v>144</v>
      </c>
      <c r="O1976" s="6">
        <f t="shared" si="509"/>
        <v>-144</v>
      </c>
      <c r="P1976" s="6">
        <f t="shared" si="502"/>
        <v>0</v>
      </c>
      <c r="Q1976" s="7">
        <f t="shared" si="503"/>
        <v>3456571.850000001</v>
      </c>
      <c r="R1976" s="44" t="str">
        <f>VLOOKUP(F1976,'Set up'!$A$2:$E$70,5,FALSE)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496"/>
        <v>8</v>
      </c>
      <c r="C1977" s="5">
        <f t="shared" si="497"/>
        <v>2023</v>
      </c>
      <c r="D1977" s="88" t="s">
        <v>1809</v>
      </c>
      <c r="E1977" s="5" t="str">
        <f>VLOOKUP(F1977,'Set up'!$A$2:$C$70,2,FALSE)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up'!$A$2:$C$70,3,FALSE)</f>
        <v>60</v>
      </c>
      <c r="J1977" s="5">
        <f>VLOOKUP(F1977,'Set up'!$A$2:$D$70,4,FALSE)</f>
        <v>60</v>
      </c>
      <c r="K1977" s="4">
        <f t="shared" si="498"/>
        <v>45207</v>
      </c>
      <c r="L1977" s="5">
        <f t="shared" si="499"/>
        <v>10</v>
      </c>
      <c r="M1977" s="5">
        <f t="shared" si="500"/>
        <v>2023</v>
      </c>
      <c r="N1977" s="96">
        <v>220</v>
      </c>
      <c r="O1977" s="6">
        <f t="shared" si="509"/>
        <v>-220</v>
      </c>
      <c r="P1977" s="6">
        <f t="shared" si="502"/>
        <v>0</v>
      </c>
      <c r="Q1977" s="7">
        <f t="shared" si="503"/>
        <v>3456791.850000001</v>
      </c>
      <c r="R1977" s="44" t="str">
        <f>VLOOKUP(F1977,'Set up'!$A$2:$E$70,5,FALSE)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496"/>
        <v>8</v>
      </c>
      <c r="C1978" s="5">
        <f t="shared" si="497"/>
        <v>2023</v>
      </c>
      <c r="D1978" s="88" t="s">
        <v>1810</v>
      </c>
      <c r="E1978" s="5" t="str">
        <f>VLOOKUP(F1978,'Set up'!$A$2:$C$70,2,FALSE)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up'!$A$2:$C$70,3,FALSE)</f>
        <v>Cash</v>
      </c>
      <c r="J1978" s="5">
        <f>VLOOKUP(F1978,'Set up'!$A$2:$D$70,4,FALSE)</f>
        <v>0</v>
      </c>
      <c r="K1978" s="4">
        <f t="shared" si="498"/>
        <v>45152</v>
      </c>
      <c r="L1978" s="5">
        <f t="shared" si="499"/>
        <v>8</v>
      </c>
      <c r="M1978" s="5">
        <f t="shared" si="500"/>
        <v>2023</v>
      </c>
      <c r="N1978" s="96">
        <v>150</v>
      </c>
      <c r="O1978" s="6">
        <f t="shared" ref="O1978:O1984" si="510">-N1978</f>
        <v>-150</v>
      </c>
      <c r="P1978" s="6">
        <f t="shared" si="502"/>
        <v>0</v>
      </c>
      <c r="Q1978" s="7">
        <f t="shared" si="503"/>
        <v>3456941.850000001</v>
      </c>
      <c r="R1978" s="44" t="str">
        <f>VLOOKUP(F1978,'Set up'!$A$2:$E$70,5,FALSE)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496"/>
        <v>8</v>
      </c>
      <c r="C1979" s="5">
        <f t="shared" si="497"/>
        <v>2023</v>
      </c>
      <c r="D1979" s="88" t="s">
        <v>1810</v>
      </c>
      <c r="E1979" s="5" t="str">
        <f>VLOOKUP(F1979,'Set up'!$A$2:$C$70,2,FALSE)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up'!$A$2:$C$70,3,FALSE)</f>
        <v>Cash</v>
      </c>
      <c r="J1979" s="5">
        <f>VLOOKUP(F1979,'Set up'!$A$2:$D$70,4,FALSE)</f>
        <v>0</v>
      </c>
      <c r="K1979" s="4">
        <f t="shared" si="498"/>
        <v>45152</v>
      </c>
      <c r="L1979" s="5">
        <f t="shared" si="499"/>
        <v>8</v>
      </c>
      <c r="M1979" s="5">
        <f t="shared" si="500"/>
        <v>2023</v>
      </c>
      <c r="N1979" s="96">
        <v>834</v>
      </c>
      <c r="O1979" s="6">
        <f t="shared" si="510"/>
        <v>-834</v>
      </c>
      <c r="P1979" s="6">
        <f t="shared" si="502"/>
        <v>0</v>
      </c>
      <c r="Q1979" s="7">
        <f t="shared" si="503"/>
        <v>3457775.850000001</v>
      </c>
      <c r="R1979" s="44" t="str">
        <f>VLOOKUP(F1979,'Set up'!$A$2:$E$70,5,FALSE)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496"/>
        <v>8</v>
      </c>
      <c r="C1980" s="5">
        <f t="shared" si="497"/>
        <v>2023</v>
      </c>
      <c r="D1980" s="88" t="s">
        <v>1811</v>
      </c>
      <c r="E1980" s="5" t="str">
        <f>VLOOKUP(F1980,'Set up'!$A$2:$C$70,2,FALSE)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up'!$A$2:$C$70,3,FALSE)</f>
        <v>Cash</v>
      </c>
      <c r="J1980" s="5">
        <f>VLOOKUP(F1980,'Set up'!$A$2:$D$70,4,FALSE)</f>
        <v>0</v>
      </c>
      <c r="K1980" s="4">
        <f t="shared" si="498"/>
        <v>45153</v>
      </c>
      <c r="L1980" s="5">
        <f t="shared" si="499"/>
        <v>8</v>
      </c>
      <c r="M1980" s="5">
        <f t="shared" si="500"/>
        <v>2023</v>
      </c>
      <c r="N1980" s="96">
        <v>1562</v>
      </c>
      <c r="O1980" s="6">
        <f t="shared" si="510"/>
        <v>-1562</v>
      </c>
      <c r="P1980" s="6">
        <f t="shared" si="502"/>
        <v>0</v>
      </c>
      <c r="Q1980" s="7">
        <f t="shared" si="503"/>
        <v>3459337.850000001</v>
      </c>
      <c r="R1980" s="44" t="str">
        <f>VLOOKUP(F1980,'Set up'!$A$2:$E$70,5,FALSE)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496"/>
        <v>8</v>
      </c>
      <c r="C1981" s="5">
        <f t="shared" si="497"/>
        <v>2023</v>
      </c>
      <c r="D1981" s="88" t="s">
        <v>1811</v>
      </c>
      <c r="E1981" s="5" t="str">
        <f>VLOOKUP(F1981,'Set up'!$A$2:$C$70,2,FALSE)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up'!$A$2:$C$70,3,FALSE)</f>
        <v>Cash</v>
      </c>
      <c r="J1981" s="5">
        <f>VLOOKUP(F1981,'Set up'!$A$2:$D$70,4,FALSE)</f>
        <v>0</v>
      </c>
      <c r="K1981" s="4">
        <f t="shared" si="498"/>
        <v>45153</v>
      </c>
      <c r="L1981" s="5">
        <f t="shared" si="499"/>
        <v>8</v>
      </c>
      <c r="M1981" s="5">
        <f t="shared" si="500"/>
        <v>2023</v>
      </c>
      <c r="N1981" s="96">
        <v>378</v>
      </c>
      <c r="O1981" s="6">
        <f t="shared" si="510"/>
        <v>-378</v>
      </c>
      <c r="P1981" s="6">
        <f t="shared" si="502"/>
        <v>0</v>
      </c>
      <c r="Q1981" s="7">
        <f t="shared" si="503"/>
        <v>3459715.850000001</v>
      </c>
      <c r="R1981" s="44" t="str">
        <f>VLOOKUP(F1981,'Set up'!$A$2:$E$70,5,FALSE)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496"/>
        <v>8</v>
      </c>
      <c r="C1982" s="5">
        <f t="shared" si="497"/>
        <v>2023</v>
      </c>
      <c r="D1982" s="88" t="s">
        <v>1811</v>
      </c>
      <c r="E1982" s="5" t="str">
        <f>VLOOKUP(F1982,'Set up'!$A$2:$C$70,2,FALSE)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up'!$A$2:$C$70,3,FALSE)</f>
        <v>Cash</v>
      </c>
      <c r="J1982" s="5">
        <f>VLOOKUP(F1982,'Set up'!$A$2:$D$70,4,FALSE)</f>
        <v>0</v>
      </c>
      <c r="K1982" s="4">
        <f t="shared" si="498"/>
        <v>45153</v>
      </c>
      <c r="L1982" s="5">
        <f t="shared" si="499"/>
        <v>8</v>
      </c>
      <c r="M1982" s="5">
        <f t="shared" si="500"/>
        <v>2023</v>
      </c>
      <c r="N1982" s="96">
        <v>62.5</v>
      </c>
      <c r="O1982" s="6">
        <f t="shared" si="510"/>
        <v>-62.5</v>
      </c>
      <c r="P1982" s="6">
        <f t="shared" si="502"/>
        <v>0</v>
      </c>
      <c r="Q1982" s="7">
        <f t="shared" si="503"/>
        <v>3459778.350000001</v>
      </c>
      <c r="R1982" s="44" t="str">
        <f>VLOOKUP(F1982,'Set up'!$A$2:$E$70,5,FALSE)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496"/>
        <v>8</v>
      </c>
      <c r="C1983" s="5">
        <f t="shared" si="497"/>
        <v>2023</v>
      </c>
      <c r="D1983" s="88" t="s">
        <v>1811</v>
      </c>
      <c r="E1983" s="5" t="str">
        <f>VLOOKUP(F1983,'Set up'!$A$2:$C$70,2,FALSE)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up'!$A$2:$C$70,3,FALSE)</f>
        <v>Cash</v>
      </c>
      <c r="J1983" s="5">
        <f>VLOOKUP(F1983,'Set up'!$A$2:$D$70,4,FALSE)</f>
        <v>0</v>
      </c>
      <c r="K1983" s="4">
        <f t="shared" si="498"/>
        <v>45153</v>
      </c>
      <c r="L1983" s="5">
        <f t="shared" si="499"/>
        <v>8</v>
      </c>
      <c r="M1983" s="5">
        <f t="shared" si="500"/>
        <v>2023</v>
      </c>
      <c r="N1983" s="96">
        <v>380</v>
      </c>
      <c r="O1983" s="6">
        <f t="shared" si="510"/>
        <v>-380</v>
      </c>
      <c r="P1983" s="6">
        <f t="shared" si="502"/>
        <v>0</v>
      </c>
      <c r="Q1983" s="7">
        <f t="shared" si="503"/>
        <v>3460158.350000001</v>
      </c>
      <c r="R1983" s="44" t="str">
        <f>VLOOKUP(F1983,'Set up'!$A$2:$E$70,5,FALSE)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496"/>
        <v>8</v>
      </c>
      <c r="C1984" s="5">
        <f t="shared" si="497"/>
        <v>2023</v>
      </c>
      <c r="D1984" s="88" t="s">
        <v>1812</v>
      </c>
      <c r="E1984" s="5" t="str">
        <f>VLOOKUP(F1984,'Set up'!$A$2:$C$70,2,FALSE)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up'!$A$2:$C$70,3,FALSE)</f>
        <v>Cash</v>
      </c>
      <c r="J1984" s="5">
        <f>VLOOKUP(F1984,'Set up'!$A$2:$D$70,4,FALSE)</f>
        <v>0</v>
      </c>
      <c r="K1984" s="4">
        <f t="shared" si="498"/>
        <v>45153</v>
      </c>
      <c r="L1984" s="5">
        <f t="shared" si="499"/>
        <v>8</v>
      </c>
      <c r="M1984" s="5">
        <f t="shared" si="500"/>
        <v>2023</v>
      </c>
      <c r="N1984" s="96">
        <v>1738</v>
      </c>
      <c r="O1984" s="6">
        <f t="shared" si="510"/>
        <v>-1738</v>
      </c>
      <c r="P1984" s="6">
        <f t="shared" si="502"/>
        <v>0</v>
      </c>
      <c r="Q1984" s="7">
        <f t="shared" si="503"/>
        <v>3461896.350000001</v>
      </c>
      <c r="R1984" s="44" t="str">
        <f>VLOOKUP(F1984,'Set up'!$A$2:$E$70,5,FALSE)</f>
        <v>Trsf</v>
      </c>
      <c r="S1984" s="1" t="s">
        <v>2492</v>
      </c>
    </row>
    <row r="1985" spans="1:21" ht="15" customHeight="1" x14ac:dyDescent="0.35">
      <c r="A1985" s="4" t="s">
        <v>1815</v>
      </c>
      <c r="B1985" s="5">
        <f t="shared" si="496"/>
        <v>8</v>
      </c>
      <c r="C1985" s="5">
        <f t="shared" si="497"/>
        <v>2023</v>
      </c>
      <c r="D1985" s="88" t="s">
        <v>1813</v>
      </c>
      <c r="E1985" s="5" t="str">
        <f>VLOOKUP(F1985,'Set up'!$A$2:$C$70,2,FALSE)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up'!$A$2:$C$70,3,FALSE)</f>
        <v>Cash</v>
      </c>
      <c r="J1985" s="5">
        <f>VLOOKUP(F1985,'Set up'!$A$2:$D$70,4,FALSE)</f>
        <v>0</v>
      </c>
      <c r="K1985" s="4">
        <f t="shared" si="498"/>
        <v>45153</v>
      </c>
      <c r="L1985" s="5">
        <f t="shared" si="499"/>
        <v>8</v>
      </c>
      <c r="M1985" s="5">
        <f t="shared" si="500"/>
        <v>2023</v>
      </c>
      <c r="N1985" s="96">
        <v>125</v>
      </c>
      <c r="O1985" s="6">
        <f>-N1985</f>
        <v>-125</v>
      </c>
      <c r="P1985" s="6">
        <f t="shared" si="502"/>
        <v>0</v>
      </c>
      <c r="Q1985" s="7">
        <f t="shared" si="503"/>
        <v>3462021.350000001</v>
      </c>
      <c r="R1985" s="44" t="str">
        <f>VLOOKUP(F1985,'Set up'!$A$2:$E$70,5,FALSE)</f>
        <v>Trsf</v>
      </c>
      <c r="S1985" s="1" t="s">
        <v>2488</v>
      </c>
    </row>
    <row r="1986" spans="1:21" ht="15" customHeight="1" x14ac:dyDescent="0.35">
      <c r="A1986" s="4" t="s">
        <v>1815</v>
      </c>
      <c r="B1986" s="5">
        <f t="shared" si="496"/>
        <v>8</v>
      </c>
      <c r="C1986" s="5">
        <f t="shared" si="497"/>
        <v>2023</v>
      </c>
      <c r="D1986" s="88" t="s">
        <v>1814</v>
      </c>
      <c r="E1986" s="5" t="str">
        <f>VLOOKUP(F1986,'Set up'!$A$2:$C$70,2,FALSE)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up'!$A$2:$C$70,3,FALSE)</f>
        <v>Cash</v>
      </c>
      <c r="J1986" s="5">
        <f>VLOOKUP(F1986,'Set up'!$A$2:$D$70,4,FALSE)</f>
        <v>0</v>
      </c>
      <c r="K1986" s="4">
        <f t="shared" si="498"/>
        <v>45153</v>
      </c>
      <c r="L1986" s="5">
        <f t="shared" si="499"/>
        <v>8</v>
      </c>
      <c r="M1986" s="5">
        <f t="shared" si="500"/>
        <v>2023</v>
      </c>
      <c r="N1986" s="96">
        <v>3124</v>
      </c>
      <c r="O1986" s="6">
        <f>-N1986</f>
        <v>-3124</v>
      </c>
      <c r="P1986" s="6">
        <f t="shared" si="502"/>
        <v>0</v>
      </c>
      <c r="Q1986" s="7">
        <f t="shared" si="503"/>
        <v>3465145.350000001</v>
      </c>
      <c r="R1986" s="44" t="str">
        <f>VLOOKUP(F1986,'Set up'!$A$2:$E$70,5,FALSE)</f>
        <v>Trsf</v>
      </c>
      <c r="S1986" s="1" t="s">
        <v>2486</v>
      </c>
    </row>
    <row r="1987" spans="1:21" ht="15" customHeight="1" x14ac:dyDescent="0.35">
      <c r="A1987" s="4" t="s">
        <v>1815</v>
      </c>
      <c r="B1987" s="5">
        <f t="shared" ref="B1987:B2050" si="511">MONTH(A1987)</f>
        <v>8</v>
      </c>
      <c r="C1987" s="5">
        <f t="shared" ref="C1987:C2050" si="512">YEAR(A1987)</f>
        <v>2023</v>
      </c>
      <c r="D1987" s="88" t="s">
        <v>1814</v>
      </c>
      <c r="E1987" s="5" t="str">
        <f>VLOOKUP(F1987,'Set up'!$A$2:$C$70,2,FALSE)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up'!$A$2:$C$70,3,FALSE)</f>
        <v>Cash</v>
      </c>
      <c r="J1987" s="5">
        <f>VLOOKUP(F1987,'Set up'!$A$2:$D$70,4,FALSE)</f>
        <v>0</v>
      </c>
      <c r="K1987" s="4">
        <f t="shared" ref="K1987:K2050" si="513">A1987+J1987</f>
        <v>45153</v>
      </c>
      <c r="L1987" s="5">
        <f t="shared" ref="L1987:L2050" si="514">MONTH(K1987)</f>
        <v>8</v>
      </c>
      <c r="M1987" s="5">
        <f t="shared" ref="M1987:M2050" si="515">YEAR(K1987)</f>
        <v>2023</v>
      </c>
      <c r="N1987" s="96">
        <v>1323</v>
      </c>
      <c r="O1987" s="6">
        <f>-N1987</f>
        <v>-1323</v>
      </c>
      <c r="P1987" s="6">
        <f t="shared" si="502"/>
        <v>0</v>
      </c>
      <c r="Q1987" s="7">
        <f t="shared" si="503"/>
        <v>3466468.350000001</v>
      </c>
      <c r="R1987" s="44" t="str">
        <f>VLOOKUP(F1987,'Set up'!$A$2:$E$70,5,FALSE)</f>
        <v>Trsf</v>
      </c>
      <c r="S1987" s="1" t="s">
        <v>2489</v>
      </c>
    </row>
    <row r="1988" spans="1:21" ht="15" customHeight="1" x14ac:dyDescent="0.35">
      <c r="A1988" s="4" t="s">
        <v>1815</v>
      </c>
      <c r="B1988" s="5">
        <f t="shared" si="511"/>
        <v>8</v>
      </c>
      <c r="C1988" s="5">
        <f t="shared" si="512"/>
        <v>2023</v>
      </c>
      <c r="D1988" s="88" t="s">
        <v>1814</v>
      </c>
      <c r="E1988" s="5" t="str">
        <f>VLOOKUP(F1988,'Set up'!$A$2:$C$70,2,FALSE)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up'!$A$2:$C$70,3,FALSE)</f>
        <v>Cash</v>
      </c>
      <c r="J1988" s="5">
        <f>VLOOKUP(F1988,'Set up'!$A$2:$D$70,4,FALSE)</f>
        <v>0</v>
      </c>
      <c r="K1988" s="4">
        <f t="shared" si="513"/>
        <v>45153</v>
      </c>
      <c r="L1988" s="5">
        <f t="shared" si="514"/>
        <v>8</v>
      </c>
      <c r="M1988" s="5">
        <f t="shared" si="515"/>
        <v>2023</v>
      </c>
      <c r="N1988" s="96">
        <v>600</v>
      </c>
      <c r="O1988" s="6">
        <f>-N1988</f>
        <v>-600</v>
      </c>
      <c r="P1988" s="6">
        <f t="shared" si="502"/>
        <v>0</v>
      </c>
      <c r="Q1988" s="7">
        <f t="shared" si="503"/>
        <v>3467068.350000001</v>
      </c>
      <c r="R1988" s="44" t="str">
        <f>VLOOKUP(F1988,'Set up'!$A$2:$E$70,5,FALSE)</f>
        <v>Trsf</v>
      </c>
      <c r="S1988" s="1" t="s">
        <v>2479</v>
      </c>
    </row>
    <row r="1989" spans="1:21" ht="15" customHeight="1" x14ac:dyDescent="0.35">
      <c r="A1989" s="4" t="s">
        <v>1815</v>
      </c>
      <c r="B1989" s="5">
        <f t="shared" si="511"/>
        <v>8</v>
      </c>
      <c r="C1989" s="5">
        <f t="shared" si="512"/>
        <v>2023</v>
      </c>
      <c r="D1989" s="88" t="s">
        <v>1814</v>
      </c>
      <c r="E1989" s="5" t="str">
        <f>VLOOKUP(F1989,'Set up'!$A$2:$C$70,2,FALSE)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up'!$A$2:$C$70,3,FALSE)</f>
        <v>Cash</v>
      </c>
      <c r="J1989" s="5">
        <f>VLOOKUP(F1989,'Set up'!$A$2:$D$70,4,FALSE)</f>
        <v>0</v>
      </c>
      <c r="K1989" s="4">
        <f t="shared" si="513"/>
        <v>45153</v>
      </c>
      <c r="L1989" s="5">
        <f t="shared" si="514"/>
        <v>8</v>
      </c>
      <c r="M1989" s="5">
        <f t="shared" si="515"/>
        <v>2023</v>
      </c>
      <c r="N1989" s="96">
        <v>380</v>
      </c>
      <c r="O1989" s="6">
        <f>-N1989</f>
        <v>-380</v>
      </c>
      <c r="P1989" s="6">
        <f t="shared" si="502"/>
        <v>0</v>
      </c>
      <c r="Q1989" s="7">
        <f t="shared" si="503"/>
        <v>3467448.350000001</v>
      </c>
      <c r="R1989" s="44" t="str">
        <f>VLOOKUP(F1989,'Set up'!$A$2:$E$70,5,FALSE)</f>
        <v>Trsf</v>
      </c>
      <c r="S1989" s="1" t="s">
        <v>2480</v>
      </c>
    </row>
    <row r="1990" spans="1:21" ht="15" customHeight="1" x14ac:dyDescent="0.35">
      <c r="A1990" s="4">
        <v>45154</v>
      </c>
      <c r="B1990" s="5">
        <f t="shared" si="511"/>
        <v>8</v>
      </c>
      <c r="C1990" s="5">
        <f t="shared" si="512"/>
        <v>2023</v>
      </c>
      <c r="D1990" s="88" t="s">
        <v>1816</v>
      </c>
      <c r="E1990" s="5" t="str">
        <f>VLOOKUP(F1990,'Set up'!$A$2:$C$70,2,FALSE)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up'!$A$2:$C$70,3,FALSE)</f>
        <v>Cash</v>
      </c>
      <c r="J1990" s="5">
        <f>VLOOKUP(F1990,'Set up'!$A$2:$D$70,4,FALSE)</f>
        <v>0</v>
      </c>
      <c r="K1990" s="4">
        <f t="shared" si="513"/>
        <v>45154</v>
      </c>
      <c r="L1990" s="5">
        <f t="shared" si="514"/>
        <v>8</v>
      </c>
      <c r="M1990" s="5">
        <f t="shared" si="515"/>
        <v>2023</v>
      </c>
      <c r="N1990" s="96">
        <v>3476</v>
      </c>
      <c r="O1990" s="6">
        <f>-2400.7-1075.3</f>
        <v>-3476</v>
      </c>
      <c r="P1990" s="6">
        <f t="shared" si="502"/>
        <v>0</v>
      </c>
      <c r="Q1990" s="7">
        <f t="shared" si="503"/>
        <v>3470924.350000001</v>
      </c>
      <c r="R1990" s="44" t="str">
        <f>VLOOKUP(F1990,'Set up'!$A$2:$E$70,5,FALSE)</f>
        <v>Trsf</v>
      </c>
      <c r="S1990" s="1" t="s">
        <v>1875</v>
      </c>
    </row>
    <row r="1991" spans="1:21" ht="15" customHeight="1" x14ac:dyDescent="0.35">
      <c r="A1991" s="4">
        <v>45154</v>
      </c>
      <c r="B1991" s="5">
        <f t="shared" si="511"/>
        <v>8</v>
      </c>
      <c r="C1991" s="5">
        <f t="shared" si="512"/>
        <v>2023</v>
      </c>
      <c r="D1991" s="88" t="s">
        <v>1816</v>
      </c>
      <c r="E1991" s="5" t="str">
        <f>VLOOKUP(F1991,'Set up'!$A$2:$C$70,2,FALSE)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up'!$A$2:$C$70,3,FALSE)</f>
        <v>Cash</v>
      </c>
      <c r="J1991" s="5">
        <f>VLOOKUP(F1991,'Set up'!$A$2:$D$70,4,FALSE)</f>
        <v>0</v>
      </c>
      <c r="K1991" s="4">
        <f t="shared" si="513"/>
        <v>45154</v>
      </c>
      <c r="L1991" s="5">
        <f t="shared" si="514"/>
        <v>8</v>
      </c>
      <c r="M1991" s="5">
        <f t="shared" si="515"/>
        <v>2023</v>
      </c>
      <c r="N1991" s="96">
        <v>876</v>
      </c>
      <c r="O1991" s="6">
        <f t="shared" ref="O1991:O1998" si="516">-N1991</f>
        <v>-876</v>
      </c>
      <c r="P1991" s="6">
        <f t="shared" si="502"/>
        <v>0</v>
      </c>
      <c r="Q1991" s="7">
        <f t="shared" si="503"/>
        <v>3471800.350000001</v>
      </c>
      <c r="R1991" s="44" t="str">
        <f>VLOOKUP(F1991,'Set up'!$A$2:$E$70,5,FALSE)</f>
        <v>Trsf</v>
      </c>
      <c r="S1991" s="1" t="s">
        <v>1852</v>
      </c>
    </row>
    <row r="1992" spans="1:21" ht="15" customHeight="1" x14ac:dyDescent="0.35">
      <c r="A1992" s="4">
        <v>45154</v>
      </c>
      <c r="B1992" s="5">
        <f t="shared" si="511"/>
        <v>8</v>
      </c>
      <c r="C1992" s="5">
        <f t="shared" si="512"/>
        <v>2023</v>
      </c>
      <c r="D1992" s="88" t="s">
        <v>1816</v>
      </c>
      <c r="E1992" s="5" t="str">
        <f>VLOOKUP(F1992,'Set up'!$A$2:$C$70,2,FALSE)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up'!$A$2:$C$70,3,FALSE)</f>
        <v>Cash</v>
      </c>
      <c r="J1992" s="5">
        <f>VLOOKUP(F1992,'Set up'!$A$2:$D$70,4,FALSE)</f>
        <v>0</v>
      </c>
      <c r="K1992" s="4">
        <f t="shared" si="513"/>
        <v>45154</v>
      </c>
      <c r="L1992" s="5">
        <f t="shared" si="514"/>
        <v>8</v>
      </c>
      <c r="M1992" s="5">
        <f t="shared" si="515"/>
        <v>2023</v>
      </c>
      <c r="N1992" s="96">
        <v>1095</v>
      </c>
      <c r="O1992" s="6">
        <f t="shared" si="516"/>
        <v>-1095</v>
      </c>
      <c r="P1992" s="6">
        <f t="shared" si="502"/>
        <v>0</v>
      </c>
      <c r="Q1992" s="7">
        <f t="shared" si="503"/>
        <v>3472895.350000001</v>
      </c>
      <c r="R1992" s="44" t="str">
        <f>VLOOKUP(F1992,'Set up'!$A$2:$E$70,5,FALSE)</f>
        <v>Trsf</v>
      </c>
      <c r="S1992" s="1" t="s">
        <v>1853</v>
      </c>
    </row>
    <row r="1993" spans="1:21" ht="15" customHeight="1" x14ac:dyDescent="0.35">
      <c r="A1993" s="4">
        <v>45154</v>
      </c>
      <c r="B1993" s="5">
        <f t="shared" si="511"/>
        <v>8</v>
      </c>
      <c r="C1993" s="5">
        <f t="shared" si="512"/>
        <v>2023</v>
      </c>
      <c r="D1993" s="88" t="s">
        <v>1816</v>
      </c>
      <c r="E1993" s="5" t="str">
        <f>VLOOKUP(F1993,'Set up'!$A$2:$C$70,2,FALSE)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up'!$A$2:$C$70,3,FALSE)</f>
        <v>Cash</v>
      </c>
      <c r="J1993" s="5">
        <f>VLOOKUP(F1993,'Set up'!$A$2:$D$70,4,FALSE)</f>
        <v>0</v>
      </c>
      <c r="K1993" s="4">
        <f t="shared" si="513"/>
        <v>45154</v>
      </c>
      <c r="L1993" s="5">
        <f t="shared" si="514"/>
        <v>8</v>
      </c>
      <c r="M1993" s="5">
        <f t="shared" si="515"/>
        <v>2023</v>
      </c>
      <c r="N1993" s="96">
        <v>708</v>
      </c>
      <c r="O1993" s="6">
        <f t="shared" si="516"/>
        <v>-708</v>
      </c>
      <c r="P1993" s="6">
        <f t="shared" si="502"/>
        <v>0</v>
      </c>
      <c r="Q1993" s="7">
        <f t="shared" si="503"/>
        <v>3473603.350000001</v>
      </c>
      <c r="R1993" s="44" t="str">
        <f>VLOOKUP(F1993,'Set up'!$A$2:$E$70,5,FALSE)</f>
        <v>Trsf</v>
      </c>
      <c r="S1993" s="1" t="s">
        <v>1854</v>
      </c>
    </row>
    <row r="1994" spans="1:21" ht="15" customHeight="1" x14ac:dyDescent="0.35">
      <c r="A1994" s="4">
        <v>45154</v>
      </c>
      <c r="B1994" s="5">
        <f t="shared" si="511"/>
        <v>8</v>
      </c>
      <c r="C1994" s="5">
        <f t="shared" si="512"/>
        <v>2023</v>
      </c>
      <c r="D1994" s="88" t="s">
        <v>1816</v>
      </c>
      <c r="E1994" s="5" t="str">
        <f>VLOOKUP(F1994,'Set up'!$A$2:$C$70,2,FALSE)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up'!$A$2:$C$70,3,FALSE)</f>
        <v>Cash</v>
      </c>
      <c r="J1994" s="5">
        <f>VLOOKUP(F1994,'Set up'!$A$2:$D$70,4,FALSE)</f>
        <v>0</v>
      </c>
      <c r="K1994" s="4">
        <f t="shared" si="513"/>
        <v>45154</v>
      </c>
      <c r="L1994" s="5">
        <f t="shared" si="514"/>
        <v>8</v>
      </c>
      <c r="M1994" s="5">
        <f t="shared" si="515"/>
        <v>2023</v>
      </c>
      <c r="N1994" s="96">
        <v>285</v>
      </c>
      <c r="O1994" s="6">
        <f>-245.7-39.3</f>
        <v>-285</v>
      </c>
      <c r="P1994" s="6">
        <f t="shared" si="502"/>
        <v>0</v>
      </c>
      <c r="Q1994" s="7">
        <f t="shared" si="503"/>
        <v>3473888.350000001</v>
      </c>
      <c r="R1994" s="44" t="str">
        <f>VLOOKUP(F1994,'Set up'!$A$2:$E$70,5,FALSE)</f>
        <v>Trsf</v>
      </c>
      <c r="S1994" s="1" t="s">
        <v>1947</v>
      </c>
    </row>
    <row r="1995" spans="1:21" ht="15" customHeight="1" x14ac:dyDescent="0.35">
      <c r="A1995" s="4">
        <v>45154</v>
      </c>
      <c r="B1995" s="5">
        <f t="shared" si="511"/>
        <v>8</v>
      </c>
      <c r="C1995" s="5">
        <f t="shared" si="512"/>
        <v>2023</v>
      </c>
      <c r="D1995" s="88" t="s">
        <v>1816</v>
      </c>
      <c r="E1995" s="5" t="str">
        <f>VLOOKUP(F1995,'Set up'!$A$2:$C$70,2,FALSE)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up'!$A$2:$C$70,3,FALSE)</f>
        <v>Cash</v>
      </c>
      <c r="J1995" s="5">
        <f>VLOOKUP(F1995,'Set up'!$A$2:$D$70,4,FALSE)</f>
        <v>0</v>
      </c>
      <c r="K1995" s="4">
        <f t="shared" si="513"/>
        <v>45154</v>
      </c>
      <c r="L1995" s="5">
        <f t="shared" si="514"/>
        <v>8</v>
      </c>
      <c r="M1995" s="5">
        <f t="shared" si="515"/>
        <v>2023</v>
      </c>
      <c r="N1995" s="96">
        <v>187.5</v>
      </c>
      <c r="O1995" s="6">
        <f t="shared" si="516"/>
        <v>-187.5</v>
      </c>
      <c r="P1995" s="6">
        <f t="shared" si="502"/>
        <v>0</v>
      </c>
      <c r="Q1995" s="7">
        <f t="shared" si="503"/>
        <v>3474075.850000001</v>
      </c>
      <c r="R1995" s="44" t="str">
        <f>VLOOKUP(F1995,'Set up'!$A$2:$E$70,5,FALSE)</f>
        <v>Trsf</v>
      </c>
      <c r="S1995" s="1" t="s">
        <v>1948</v>
      </c>
    </row>
    <row r="1996" spans="1:21" ht="15" customHeight="1" x14ac:dyDescent="0.35">
      <c r="A1996" s="4">
        <v>45154</v>
      </c>
      <c r="B1996" s="5">
        <f t="shared" si="511"/>
        <v>8</v>
      </c>
      <c r="C1996" s="5">
        <f t="shared" si="512"/>
        <v>2023</v>
      </c>
      <c r="D1996" s="88" t="s">
        <v>1816</v>
      </c>
      <c r="E1996" s="5" t="str">
        <f>VLOOKUP(F1996,'Set up'!$A$2:$C$70,2,FALSE)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up'!$A$2:$C$70,3,FALSE)</f>
        <v>Cash</v>
      </c>
      <c r="J1996" s="5">
        <f>VLOOKUP(F1996,'Set up'!$A$2:$D$70,4,FALSE)</f>
        <v>0</v>
      </c>
      <c r="K1996" s="4">
        <f t="shared" si="513"/>
        <v>45154</v>
      </c>
      <c r="L1996" s="5">
        <f t="shared" si="514"/>
        <v>8</v>
      </c>
      <c r="M1996" s="5">
        <f t="shared" si="515"/>
        <v>2023</v>
      </c>
      <c r="N1996" s="96">
        <v>100</v>
      </c>
      <c r="O1996" s="6">
        <f t="shared" si="516"/>
        <v>-100</v>
      </c>
      <c r="P1996" s="6">
        <f t="shared" si="502"/>
        <v>0</v>
      </c>
      <c r="Q1996" s="7">
        <f t="shared" si="503"/>
        <v>3474175.850000001</v>
      </c>
      <c r="R1996" s="44" t="str">
        <f>VLOOKUP(F1996,'Set up'!$A$2:$E$70,5,FALSE)</f>
        <v>Trsf</v>
      </c>
      <c r="S1996" s="1" t="s">
        <v>1949</v>
      </c>
    </row>
    <row r="1997" spans="1:21" ht="15" customHeight="1" x14ac:dyDescent="0.35">
      <c r="A1997" s="4">
        <v>45154</v>
      </c>
      <c r="B1997" s="5">
        <f t="shared" si="511"/>
        <v>8</v>
      </c>
      <c r="C1997" s="5">
        <f t="shared" si="512"/>
        <v>2023</v>
      </c>
      <c r="D1997" s="88" t="s">
        <v>1816</v>
      </c>
      <c r="E1997" s="5" t="str">
        <f>VLOOKUP(F1997,'Set up'!$A$2:$C$70,2,FALSE)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up'!$A$2:$C$70,3,FALSE)</f>
        <v>Cash</v>
      </c>
      <c r="J1997" s="5">
        <f>VLOOKUP(F1997,'Set up'!$A$2:$D$70,4,FALSE)</f>
        <v>0</v>
      </c>
      <c r="K1997" s="4">
        <f t="shared" si="513"/>
        <v>45154</v>
      </c>
      <c r="L1997" s="5">
        <f t="shared" si="514"/>
        <v>8</v>
      </c>
      <c r="M1997" s="5">
        <f t="shared" si="515"/>
        <v>2023</v>
      </c>
      <c r="N1997" s="96">
        <v>160</v>
      </c>
      <c r="O1997" s="6">
        <f t="shared" si="516"/>
        <v>-160</v>
      </c>
      <c r="P1997" s="6">
        <f t="shared" si="502"/>
        <v>0</v>
      </c>
      <c r="Q1997" s="7">
        <f t="shared" si="503"/>
        <v>3474335.850000001</v>
      </c>
      <c r="R1997" s="44" t="str">
        <f>VLOOKUP(F1997,'Set up'!$A$2:$E$70,5,FALSE)</f>
        <v>Trsf</v>
      </c>
      <c r="S1997" s="1" t="s">
        <v>1950</v>
      </c>
    </row>
    <row r="1998" spans="1:21" ht="15" customHeight="1" x14ac:dyDescent="0.35">
      <c r="A1998" s="4">
        <v>45154</v>
      </c>
      <c r="B1998" s="5">
        <f t="shared" si="511"/>
        <v>8</v>
      </c>
      <c r="C1998" s="5">
        <f t="shared" si="512"/>
        <v>2023</v>
      </c>
      <c r="D1998" s="88" t="s">
        <v>1816</v>
      </c>
      <c r="E1998" s="5" t="str">
        <f>VLOOKUP(F1998,'Set up'!$A$2:$C$70,2,FALSE)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up'!$A$2:$C$70,3,FALSE)</f>
        <v>Cash</v>
      </c>
      <c r="J1998" s="5">
        <f>VLOOKUP(F1998,'Set up'!$A$2:$D$70,4,FALSE)</f>
        <v>0</v>
      </c>
      <c r="K1998" s="4">
        <f t="shared" si="513"/>
        <v>45154</v>
      </c>
      <c r="L1998" s="5">
        <f t="shared" si="514"/>
        <v>8</v>
      </c>
      <c r="M1998" s="5">
        <f t="shared" si="515"/>
        <v>2023</v>
      </c>
      <c r="N1998" s="96">
        <v>165</v>
      </c>
      <c r="O1998" s="6">
        <f t="shared" si="516"/>
        <v>-165</v>
      </c>
      <c r="P1998" s="6">
        <f t="shared" si="502"/>
        <v>0</v>
      </c>
      <c r="Q1998" s="7">
        <f t="shared" si="503"/>
        <v>3474500.850000001</v>
      </c>
      <c r="R1998" s="44" t="str">
        <f>VLOOKUP(F1998,'Set up'!$A$2:$E$70,5,FALSE)</f>
        <v>Trsf</v>
      </c>
      <c r="S1998" s="1" t="s">
        <v>1951</v>
      </c>
    </row>
    <row r="1999" spans="1:21" ht="15" customHeight="1" x14ac:dyDescent="0.35">
      <c r="A1999" s="4">
        <v>45154</v>
      </c>
      <c r="B1999" s="5">
        <f t="shared" si="511"/>
        <v>8</v>
      </c>
      <c r="C1999" s="5">
        <f t="shared" si="512"/>
        <v>2023</v>
      </c>
      <c r="D1999" s="88" t="s">
        <v>1819</v>
      </c>
      <c r="E1999" s="5" t="str">
        <f>VLOOKUP(F1999,'Set up'!$A$2:$C$70,2,FALSE)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up'!$A$2:$C$70,3,FALSE)</f>
        <v>45</v>
      </c>
      <c r="J1999" s="5">
        <f>VLOOKUP(F1999,'Set up'!$A$2:$D$70,4,FALSE)</f>
        <v>45</v>
      </c>
      <c r="K1999" s="4">
        <f t="shared" si="513"/>
        <v>45199</v>
      </c>
      <c r="L1999" s="5">
        <f t="shared" si="514"/>
        <v>9</v>
      </c>
      <c r="M1999" s="5">
        <f t="shared" si="515"/>
        <v>2023</v>
      </c>
      <c r="N1999" s="96">
        <v>255</v>
      </c>
      <c r="O1999" s="6">
        <f>-N1999</f>
        <v>-255</v>
      </c>
      <c r="P1999" s="6">
        <f t="shared" si="502"/>
        <v>0</v>
      </c>
      <c r="Q1999" s="7">
        <f t="shared" si="503"/>
        <v>3474755.850000001</v>
      </c>
      <c r="R1999" s="44" t="str">
        <f>VLOOKUP(F1999,'Set up'!$A$2:$E$70,5,FALSE)</f>
        <v>PD Chq</v>
      </c>
      <c r="S1999" s="1" t="s">
        <v>2076</v>
      </c>
      <c r="U1999" s="1" t="s">
        <v>3603</v>
      </c>
    </row>
    <row r="2000" spans="1:21" ht="15" customHeight="1" x14ac:dyDescent="0.35">
      <c r="A2000" s="4">
        <v>45154</v>
      </c>
      <c r="B2000" s="5">
        <f t="shared" si="511"/>
        <v>8</v>
      </c>
      <c r="C2000" s="5">
        <f t="shared" si="512"/>
        <v>2023</v>
      </c>
      <c r="D2000" s="88" t="s">
        <v>1819</v>
      </c>
      <c r="E2000" s="5" t="str">
        <f>VLOOKUP(F2000,'Set up'!$A$2:$C$70,2,FALSE)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up'!$A$2:$C$70,3,FALSE)</f>
        <v>45</v>
      </c>
      <c r="J2000" s="5">
        <f>VLOOKUP(F2000,'Set up'!$A$2:$D$70,4,FALSE)</f>
        <v>45</v>
      </c>
      <c r="K2000" s="4">
        <f t="shared" si="513"/>
        <v>45199</v>
      </c>
      <c r="L2000" s="5">
        <f t="shared" si="514"/>
        <v>9</v>
      </c>
      <c r="M2000" s="5">
        <f t="shared" si="515"/>
        <v>2023</v>
      </c>
      <c r="N2000" s="96">
        <v>325</v>
      </c>
      <c r="O2000" s="6">
        <f>-N2000</f>
        <v>-325</v>
      </c>
      <c r="P2000" s="6">
        <f t="shared" ref="P2000:P2029" si="517">SUM(N2000+O2000)</f>
        <v>0</v>
      </c>
      <c r="Q2000" s="7">
        <f t="shared" ref="Q2000:Q2029" si="518">SUM(Q1999+N2000)</f>
        <v>3475080.850000001</v>
      </c>
      <c r="R2000" s="44" t="str">
        <f>VLOOKUP(F2000,'Set up'!$A$2:$E$70,5,FALSE)</f>
        <v>PD Chq</v>
      </c>
      <c r="S2000" s="1" t="s">
        <v>2077</v>
      </c>
      <c r="U2000" s="1" t="s">
        <v>3603</v>
      </c>
    </row>
    <row r="2001" spans="1:21" ht="15" customHeight="1" x14ac:dyDescent="0.35">
      <c r="A2001" s="4">
        <v>45154</v>
      </c>
      <c r="B2001" s="5">
        <f t="shared" si="511"/>
        <v>8</v>
      </c>
      <c r="C2001" s="5">
        <f t="shared" si="512"/>
        <v>2023</v>
      </c>
      <c r="D2001" s="88" t="s">
        <v>1819</v>
      </c>
      <c r="E2001" s="5" t="str">
        <f>VLOOKUP(F2001,'Set up'!$A$2:$C$70,2,FALSE)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up'!$A$2:$C$70,3,FALSE)</f>
        <v>45</v>
      </c>
      <c r="J2001" s="5">
        <f>VLOOKUP(F2001,'Set up'!$A$2:$D$70,4,FALSE)</f>
        <v>45</v>
      </c>
      <c r="K2001" s="4">
        <f t="shared" si="513"/>
        <v>45199</v>
      </c>
      <c r="L2001" s="5">
        <f t="shared" si="514"/>
        <v>9</v>
      </c>
      <c r="M2001" s="5">
        <f t="shared" si="515"/>
        <v>2023</v>
      </c>
      <c r="N2001" s="96">
        <v>50</v>
      </c>
      <c r="O2001" s="6">
        <f>-N2001</f>
        <v>-50</v>
      </c>
      <c r="P2001" s="6">
        <f t="shared" si="517"/>
        <v>0</v>
      </c>
      <c r="Q2001" s="7">
        <f t="shared" si="518"/>
        <v>3475130.850000001</v>
      </c>
      <c r="R2001" s="44" t="str">
        <f>VLOOKUP(F2001,'Set up'!$A$2:$E$70,5,FALSE)</f>
        <v>PD Chq</v>
      </c>
      <c r="S2001" s="1" t="s">
        <v>2078</v>
      </c>
      <c r="U2001" s="1" t="s">
        <v>3603</v>
      </c>
    </row>
    <row r="2002" spans="1:21" ht="15" customHeight="1" x14ac:dyDescent="0.35">
      <c r="A2002" s="4">
        <v>45155</v>
      </c>
      <c r="B2002" s="5">
        <f t="shared" si="511"/>
        <v>8</v>
      </c>
      <c r="C2002" s="5">
        <f t="shared" si="512"/>
        <v>2023</v>
      </c>
      <c r="D2002" s="88" t="s">
        <v>1820</v>
      </c>
      <c r="E2002" s="5" t="str">
        <f>VLOOKUP(F2002,'Set up'!$A$2:$C$70,2,FALSE)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up'!$A$2:$C$70,3,FALSE)</f>
        <v>Cash</v>
      </c>
      <c r="J2002" s="5">
        <f>VLOOKUP(F2002,'Set up'!$A$2:$D$70,4,FALSE)</f>
        <v>0</v>
      </c>
      <c r="K2002" s="4">
        <f t="shared" si="513"/>
        <v>45155</v>
      </c>
      <c r="L2002" s="5">
        <f t="shared" si="514"/>
        <v>8</v>
      </c>
      <c r="M2002" s="5">
        <f t="shared" si="515"/>
        <v>2023</v>
      </c>
      <c r="N2002" s="96">
        <v>1694</v>
      </c>
      <c r="O2002" s="6">
        <f t="shared" ref="O2002:O2006" si="519">-N2002</f>
        <v>-1694</v>
      </c>
      <c r="P2002" s="6">
        <f t="shared" si="517"/>
        <v>0</v>
      </c>
      <c r="Q2002" s="7">
        <f t="shared" si="518"/>
        <v>3476824.850000001</v>
      </c>
      <c r="R2002" s="44" t="str">
        <f>VLOOKUP(F2002,'Set up'!$A$2:$E$70,5,FALSE)</f>
        <v>Cash</v>
      </c>
      <c r="S2002" s="1" t="s">
        <v>1844</v>
      </c>
    </row>
    <row r="2003" spans="1:21" ht="15" customHeight="1" x14ac:dyDescent="0.35">
      <c r="A2003" s="4">
        <v>45155</v>
      </c>
      <c r="B2003" s="5">
        <f t="shared" si="511"/>
        <v>8</v>
      </c>
      <c r="C2003" s="5">
        <f t="shared" si="512"/>
        <v>2023</v>
      </c>
      <c r="D2003" s="88" t="s">
        <v>1820</v>
      </c>
      <c r="E2003" s="5" t="str">
        <f>VLOOKUP(F2003,'Set up'!$A$2:$C$70,2,FALSE)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up'!$A$2:$C$70,3,FALSE)</f>
        <v>Cash</v>
      </c>
      <c r="J2003" s="5">
        <f>VLOOKUP(F2003,'Set up'!$A$2:$D$70,4,FALSE)</f>
        <v>0</v>
      </c>
      <c r="K2003" s="4">
        <f t="shared" si="513"/>
        <v>45155</v>
      </c>
      <c r="L2003" s="5">
        <f t="shared" si="514"/>
        <v>8</v>
      </c>
      <c r="M2003" s="5">
        <f t="shared" si="515"/>
        <v>2023</v>
      </c>
      <c r="N2003" s="96">
        <v>702</v>
      </c>
      <c r="O2003" s="6">
        <f t="shared" si="519"/>
        <v>-702</v>
      </c>
      <c r="P2003" s="6">
        <f t="shared" si="517"/>
        <v>0</v>
      </c>
      <c r="Q2003" s="7">
        <f t="shared" si="518"/>
        <v>3477526.850000001</v>
      </c>
      <c r="R2003" s="44" t="str">
        <f>VLOOKUP(F2003,'Set up'!$A$2:$E$70,5,FALSE)</f>
        <v>Cash</v>
      </c>
      <c r="S2003" s="1" t="s">
        <v>1844</v>
      </c>
    </row>
    <row r="2004" spans="1:21" ht="15" customHeight="1" x14ac:dyDescent="0.35">
      <c r="A2004" s="4">
        <v>45155</v>
      </c>
      <c r="B2004" s="5">
        <f t="shared" si="511"/>
        <v>8</v>
      </c>
      <c r="C2004" s="5">
        <f t="shared" si="512"/>
        <v>2023</v>
      </c>
      <c r="D2004" s="88" t="s">
        <v>1820</v>
      </c>
      <c r="E2004" s="5" t="str">
        <f>VLOOKUP(F2004,'Set up'!$A$2:$C$70,2,FALSE)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up'!$A$2:$C$70,3,FALSE)</f>
        <v>Cash</v>
      </c>
      <c r="J2004" s="5">
        <f>VLOOKUP(F2004,'Set up'!$A$2:$D$70,4,FALSE)</f>
        <v>0</v>
      </c>
      <c r="K2004" s="4">
        <f t="shared" si="513"/>
        <v>45155</v>
      </c>
      <c r="L2004" s="5">
        <f t="shared" si="514"/>
        <v>8</v>
      </c>
      <c r="M2004" s="5">
        <f t="shared" si="515"/>
        <v>2023</v>
      </c>
      <c r="N2004" s="96">
        <v>322.5</v>
      </c>
      <c r="O2004" s="6">
        <f t="shared" si="519"/>
        <v>-322.5</v>
      </c>
      <c r="P2004" s="6">
        <f t="shared" si="517"/>
        <v>0</v>
      </c>
      <c r="Q2004" s="7">
        <f t="shared" si="518"/>
        <v>3477849.350000001</v>
      </c>
      <c r="R2004" s="44" t="str">
        <f>VLOOKUP(F2004,'Set up'!$A$2:$E$70,5,FALSE)</f>
        <v>Cash</v>
      </c>
      <c r="S2004" s="1" t="s">
        <v>1844</v>
      </c>
    </row>
    <row r="2005" spans="1:21" ht="15" customHeight="1" x14ac:dyDescent="0.35">
      <c r="A2005" s="4">
        <v>45155</v>
      </c>
      <c r="B2005" s="5">
        <f t="shared" si="511"/>
        <v>8</v>
      </c>
      <c r="C2005" s="5">
        <f t="shared" si="512"/>
        <v>2023</v>
      </c>
      <c r="D2005" s="88" t="s">
        <v>1820</v>
      </c>
      <c r="E2005" s="5" t="str">
        <f>VLOOKUP(F2005,'Set up'!$A$2:$C$70,2,FALSE)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up'!$A$2:$C$70,3,FALSE)</f>
        <v>Cash</v>
      </c>
      <c r="J2005" s="5">
        <f>VLOOKUP(F2005,'Set up'!$A$2:$D$70,4,FALSE)</f>
        <v>0</v>
      </c>
      <c r="K2005" s="4">
        <f t="shared" si="513"/>
        <v>45155</v>
      </c>
      <c r="L2005" s="5">
        <f t="shared" si="514"/>
        <v>8</v>
      </c>
      <c r="M2005" s="5">
        <f t="shared" si="515"/>
        <v>2023</v>
      </c>
      <c r="N2005" s="96">
        <v>160</v>
      </c>
      <c r="O2005" s="6">
        <f t="shared" si="519"/>
        <v>-160</v>
      </c>
      <c r="P2005" s="6">
        <f t="shared" si="517"/>
        <v>0</v>
      </c>
      <c r="Q2005" s="7">
        <f t="shared" si="518"/>
        <v>3478009.350000001</v>
      </c>
      <c r="R2005" s="44" t="str">
        <f>VLOOKUP(F2005,'Set up'!$A$2:$E$70,5,FALSE)</f>
        <v>Cash</v>
      </c>
      <c r="S2005" s="1" t="s">
        <v>1844</v>
      </c>
    </row>
    <row r="2006" spans="1:21" ht="15" customHeight="1" x14ac:dyDescent="0.35">
      <c r="A2006" s="4">
        <v>45155</v>
      </c>
      <c r="B2006" s="5">
        <f t="shared" si="511"/>
        <v>8</v>
      </c>
      <c r="C2006" s="5">
        <f t="shared" si="512"/>
        <v>2023</v>
      </c>
      <c r="D2006" s="88" t="s">
        <v>1821</v>
      </c>
      <c r="E2006" s="5" t="str">
        <f>VLOOKUP(F2006,'Set up'!$A$2:$C$70,2,FALSE)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up'!$A$2:$C$70,3,FALSE)</f>
        <v>Cash</v>
      </c>
      <c r="J2006" s="5">
        <f>VLOOKUP(F2006,'Set up'!$A$2:$D$70,4,FALSE)</f>
        <v>0</v>
      </c>
      <c r="K2006" s="4">
        <f t="shared" si="513"/>
        <v>45155</v>
      </c>
      <c r="L2006" s="5">
        <f t="shared" si="514"/>
        <v>8</v>
      </c>
      <c r="M2006" s="5">
        <f t="shared" si="515"/>
        <v>2023</v>
      </c>
      <c r="N2006" s="96">
        <v>250</v>
      </c>
      <c r="O2006" s="6">
        <f t="shared" si="519"/>
        <v>-250</v>
      </c>
      <c r="P2006" s="6">
        <f t="shared" si="517"/>
        <v>0</v>
      </c>
      <c r="Q2006" s="7">
        <f t="shared" si="518"/>
        <v>3478259.350000001</v>
      </c>
      <c r="R2006" s="44" t="str">
        <f>VLOOKUP(F2006,'Set up'!$A$2:$E$70,5,FALSE)</f>
        <v>Trsf</v>
      </c>
      <c r="S2006" s="1" t="s">
        <v>2493</v>
      </c>
    </row>
    <row r="2007" spans="1:21" ht="15" customHeight="1" x14ac:dyDescent="0.35">
      <c r="A2007" s="4">
        <v>45159</v>
      </c>
      <c r="B2007" s="5">
        <f t="shared" si="511"/>
        <v>8</v>
      </c>
      <c r="C2007" s="5">
        <f t="shared" si="512"/>
        <v>2023</v>
      </c>
      <c r="D2007" s="88" t="s">
        <v>1822</v>
      </c>
      <c r="E2007" s="5" t="str">
        <f>VLOOKUP(F2007,'Set up'!$A$2:$C$70,2,FALSE)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up'!$A$2:$C$70,3,FALSE)</f>
        <v>Cash</v>
      </c>
      <c r="J2007" s="5">
        <f>VLOOKUP(F2007,'Set up'!$A$2:$D$70,4,FALSE)</f>
        <v>0</v>
      </c>
      <c r="K2007" s="4">
        <f t="shared" si="513"/>
        <v>45159</v>
      </c>
      <c r="L2007" s="5">
        <f t="shared" si="514"/>
        <v>8</v>
      </c>
      <c r="M2007" s="5">
        <f t="shared" si="515"/>
        <v>2023</v>
      </c>
      <c r="N2007" s="96">
        <v>1738</v>
      </c>
      <c r="O2007" s="6">
        <f>-N2007</f>
        <v>-1738</v>
      </c>
      <c r="P2007" s="6">
        <f t="shared" si="517"/>
        <v>0</v>
      </c>
      <c r="Q2007" s="7">
        <f t="shared" si="518"/>
        <v>3479997.350000001</v>
      </c>
      <c r="R2007" s="44" t="str">
        <f>VLOOKUP(F2007,'Set up'!$A$2:$E$70,5,FALSE)</f>
        <v>Chq</v>
      </c>
      <c r="S2007" s="1" t="s">
        <v>2085</v>
      </c>
    </row>
    <row r="2008" spans="1:21" ht="15" customHeight="1" x14ac:dyDescent="0.35">
      <c r="A2008" s="4">
        <v>45159</v>
      </c>
      <c r="B2008" s="5">
        <f t="shared" si="511"/>
        <v>8</v>
      </c>
      <c r="C2008" s="5">
        <f t="shared" si="512"/>
        <v>2023</v>
      </c>
      <c r="D2008" s="88" t="s">
        <v>1822</v>
      </c>
      <c r="E2008" s="5" t="str">
        <f>VLOOKUP(F2008,'Set up'!$A$2:$C$70,2,FALSE)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up'!$A$2:$C$70,3,FALSE)</f>
        <v>Cash</v>
      </c>
      <c r="J2008" s="5">
        <f>VLOOKUP(F2008,'Set up'!$A$2:$D$70,4,FALSE)</f>
        <v>0</v>
      </c>
      <c r="K2008" s="4">
        <f t="shared" si="513"/>
        <v>45159</v>
      </c>
      <c r="L2008" s="5">
        <f t="shared" si="514"/>
        <v>8</v>
      </c>
      <c r="M2008" s="5">
        <f t="shared" si="515"/>
        <v>2023</v>
      </c>
      <c r="N2008" s="96">
        <v>702</v>
      </c>
      <c r="O2008" s="6">
        <f>-N2008</f>
        <v>-702</v>
      </c>
      <c r="P2008" s="6">
        <f t="shared" si="517"/>
        <v>0</v>
      </c>
      <c r="Q2008" s="7">
        <f t="shared" si="518"/>
        <v>3480699.350000001</v>
      </c>
      <c r="R2008" s="44" t="str">
        <f>VLOOKUP(F2008,'Set up'!$A$2:$E$70,5,FALSE)</f>
        <v>Chq</v>
      </c>
      <c r="S2008" s="1" t="s">
        <v>2085</v>
      </c>
    </row>
    <row r="2009" spans="1:21" ht="15" customHeight="1" x14ac:dyDescent="0.35">
      <c r="A2009" s="4">
        <v>45160</v>
      </c>
      <c r="B2009" s="5">
        <f t="shared" si="511"/>
        <v>8</v>
      </c>
      <c r="C2009" s="5">
        <f t="shared" si="512"/>
        <v>2023</v>
      </c>
      <c r="D2009" s="88" t="s">
        <v>1823</v>
      </c>
      <c r="E2009" s="5" t="str">
        <f>VLOOKUP(F2009,'Set up'!$A$2:$C$70,2,FALSE)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up'!$A$2:$C$70,3,FALSE)</f>
        <v>30</v>
      </c>
      <c r="J2009" s="5">
        <f>VLOOKUP(F2009,'Set up'!$A$2:$D$70,4,FALSE)</f>
        <v>30</v>
      </c>
      <c r="K2009" s="4">
        <f t="shared" si="513"/>
        <v>45190</v>
      </c>
      <c r="L2009" s="5">
        <f t="shared" si="514"/>
        <v>9</v>
      </c>
      <c r="M2009" s="5">
        <f t="shared" si="515"/>
        <v>2023</v>
      </c>
      <c r="N2009" s="96">
        <v>6952</v>
      </c>
      <c r="O2009" s="6">
        <f t="shared" ref="O2009:O2014" si="520">-N2009</f>
        <v>-6952</v>
      </c>
      <c r="P2009" s="6">
        <f t="shared" si="517"/>
        <v>0</v>
      </c>
      <c r="Q2009" s="7">
        <f t="shared" si="518"/>
        <v>3487651.350000001</v>
      </c>
      <c r="R2009" s="44" t="str">
        <f>VLOOKUP(F2009,'Set up'!$A$2:$E$70,5,FALSE)</f>
        <v>Chq</v>
      </c>
      <c r="S2009" s="1" t="s">
        <v>1982</v>
      </c>
    </row>
    <row r="2010" spans="1:21" ht="15" customHeight="1" x14ac:dyDescent="0.35">
      <c r="A2010" s="4">
        <v>45160</v>
      </c>
      <c r="B2010" s="5">
        <f t="shared" si="511"/>
        <v>8</v>
      </c>
      <c r="C2010" s="5">
        <f t="shared" si="512"/>
        <v>2023</v>
      </c>
      <c r="D2010" s="88" t="s">
        <v>1823</v>
      </c>
      <c r="E2010" s="5" t="str">
        <f>VLOOKUP(F2010,'Set up'!$A$2:$C$70,2,FALSE)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up'!$A$2:$C$70,3,FALSE)</f>
        <v>30</v>
      </c>
      <c r="J2010" s="5">
        <f>VLOOKUP(F2010,'Set up'!$A$2:$D$70,4,FALSE)</f>
        <v>30</v>
      </c>
      <c r="K2010" s="4">
        <f t="shared" si="513"/>
        <v>45190</v>
      </c>
      <c r="L2010" s="5">
        <f t="shared" si="514"/>
        <v>9</v>
      </c>
      <c r="M2010" s="5">
        <f t="shared" si="515"/>
        <v>2023</v>
      </c>
      <c r="N2010" s="96">
        <v>2106</v>
      </c>
      <c r="O2010" s="6">
        <f t="shared" si="520"/>
        <v>-2106</v>
      </c>
      <c r="P2010" s="6">
        <f t="shared" si="517"/>
        <v>0</v>
      </c>
      <c r="Q2010" s="7">
        <f t="shared" si="518"/>
        <v>3489757.350000001</v>
      </c>
      <c r="R2010" s="44" t="str">
        <f>VLOOKUP(F2010,'Set up'!$A$2:$E$70,5,FALSE)</f>
        <v>Chq</v>
      </c>
      <c r="S2010" s="1" t="s">
        <v>1982</v>
      </c>
    </row>
    <row r="2011" spans="1:21" ht="15" customHeight="1" x14ac:dyDescent="0.35">
      <c r="A2011" s="4">
        <v>45160</v>
      </c>
      <c r="B2011" s="5">
        <f t="shared" si="511"/>
        <v>8</v>
      </c>
      <c r="C2011" s="5">
        <f t="shared" si="512"/>
        <v>2023</v>
      </c>
      <c r="D2011" s="88" t="s">
        <v>1823</v>
      </c>
      <c r="E2011" s="5" t="str">
        <f>VLOOKUP(F2011,'Set up'!$A$2:$C$70,2,FALSE)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up'!$A$2:$C$70,3,FALSE)</f>
        <v>30</v>
      </c>
      <c r="J2011" s="5">
        <f>VLOOKUP(F2011,'Set up'!$A$2:$D$70,4,FALSE)</f>
        <v>30</v>
      </c>
      <c r="K2011" s="4">
        <f t="shared" si="513"/>
        <v>45190</v>
      </c>
      <c r="L2011" s="5">
        <f t="shared" si="514"/>
        <v>9</v>
      </c>
      <c r="M2011" s="5">
        <f t="shared" si="515"/>
        <v>2023</v>
      </c>
      <c r="N2011" s="96">
        <v>144</v>
      </c>
      <c r="O2011" s="6">
        <f t="shared" si="520"/>
        <v>-144</v>
      </c>
      <c r="P2011" s="6">
        <f t="shared" si="517"/>
        <v>0</v>
      </c>
      <c r="Q2011" s="7">
        <f t="shared" si="518"/>
        <v>3489901.350000001</v>
      </c>
      <c r="R2011" s="44" t="str">
        <f>VLOOKUP(F2011,'Set up'!$A$2:$E$70,5,FALSE)</f>
        <v>Chq</v>
      </c>
      <c r="S2011" s="1" t="s">
        <v>1982</v>
      </c>
    </row>
    <row r="2012" spans="1:21" ht="15" customHeight="1" x14ac:dyDescent="0.35">
      <c r="A2012" s="4">
        <v>45160</v>
      </c>
      <c r="B2012" s="5">
        <f t="shared" si="511"/>
        <v>8</v>
      </c>
      <c r="C2012" s="5">
        <f t="shared" si="512"/>
        <v>2023</v>
      </c>
      <c r="D2012" s="88" t="s">
        <v>1823</v>
      </c>
      <c r="E2012" s="5" t="str">
        <f>VLOOKUP(F2012,'Set up'!$A$2:$C$70,2,FALSE)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up'!$A$2:$C$70,3,FALSE)</f>
        <v>30</v>
      </c>
      <c r="J2012" s="5">
        <f>VLOOKUP(F2012,'Set up'!$A$2:$D$70,4,FALSE)</f>
        <v>30</v>
      </c>
      <c r="K2012" s="4">
        <f t="shared" si="513"/>
        <v>45190</v>
      </c>
      <c r="L2012" s="5">
        <f t="shared" si="514"/>
        <v>9</v>
      </c>
      <c r="M2012" s="5">
        <f t="shared" si="515"/>
        <v>2023</v>
      </c>
      <c r="N2012" s="96">
        <v>187.5</v>
      </c>
      <c r="O2012" s="6">
        <f t="shared" si="520"/>
        <v>-187.5</v>
      </c>
      <c r="P2012" s="6">
        <f t="shared" si="517"/>
        <v>0</v>
      </c>
      <c r="Q2012" s="7">
        <f t="shared" si="518"/>
        <v>3490088.850000001</v>
      </c>
      <c r="R2012" s="44" t="str">
        <f>VLOOKUP(F2012,'Set up'!$A$2:$E$70,5,FALSE)</f>
        <v>Chq</v>
      </c>
      <c r="S2012" s="1" t="s">
        <v>1982</v>
      </c>
    </row>
    <row r="2013" spans="1:21" ht="15" customHeight="1" x14ac:dyDescent="0.35">
      <c r="A2013" s="4">
        <v>45160</v>
      </c>
      <c r="B2013" s="5">
        <f t="shared" si="511"/>
        <v>8</v>
      </c>
      <c r="C2013" s="5">
        <f t="shared" si="512"/>
        <v>2023</v>
      </c>
      <c r="D2013" s="88" t="s">
        <v>1823</v>
      </c>
      <c r="E2013" s="5" t="str">
        <f>VLOOKUP(F2013,'Set up'!$A$2:$C$70,2,FALSE)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up'!$A$2:$C$70,3,FALSE)</f>
        <v>30</v>
      </c>
      <c r="J2013" s="5">
        <f>VLOOKUP(F2013,'Set up'!$A$2:$D$70,4,FALSE)</f>
        <v>30</v>
      </c>
      <c r="K2013" s="4">
        <f t="shared" si="513"/>
        <v>45190</v>
      </c>
      <c r="L2013" s="5">
        <f t="shared" si="514"/>
        <v>9</v>
      </c>
      <c r="M2013" s="5">
        <f t="shared" si="515"/>
        <v>2023</v>
      </c>
      <c r="N2013" s="96">
        <v>650</v>
      </c>
      <c r="O2013" s="6">
        <f t="shared" si="520"/>
        <v>-650</v>
      </c>
      <c r="P2013" s="6">
        <f t="shared" si="517"/>
        <v>0</v>
      </c>
      <c r="Q2013" s="7">
        <f t="shared" si="518"/>
        <v>3490738.850000001</v>
      </c>
      <c r="R2013" s="44" t="str">
        <f>VLOOKUP(F2013,'Set up'!$A$2:$E$70,5,FALSE)</f>
        <v>Chq</v>
      </c>
      <c r="S2013" s="1" t="s">
        <v>1982</v>
      </c>
    </row>
    <row r="2014" spans="1:21" ht="15" customHeight="1" x14ac:dyDescent="0.35">
      <c r="A2014" s="4">
        <v>45160</v>
      </c>
      <c r="B2014" s="5">
        <f t="shared" si="511"/>
        <v>8</v>
      </c>
      <c r="C2014" s="5">
        <f t="shared" si="512"/>
        <v>2023</v>
      </c>
      <c r="D2014" s="88" t="s">
        <v>1823</v>
      </c>
      <c r="E2014" s="5" t="str">
        <f>VLOOKUP(F2014,'Set up'!$A$2:$C$70,2,FALSE)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up'!$A$2:$C$70,3,FALSE)</f>
        <v>30</v>
      </c>
      <c r="J2014" s="5">
        <f>VLOOKUP(F2014,'Set up'!$A$2:$D$70,4,FALSE)</f>
        <v>30</v>
      </c>
      <c r="K2014" s="4">
        <f t="shared" si="513"/>
        <v>45190</v>
      </c>
      <c r="L2014" s="5">
        <f t="shared" si="514"/>
        <v>9</v>
      </c>
      <c r="M2014" s="5">
        <f t="shared" si="515"/>
        <v>2023</v>
      </c>
      <c r="N2014" s="96">
        <v>930</v>
      </c>
      <c r="O2014" s="6">
        <f t="shared" si="520"/>
        <v>-930</v>
      </c>
      <c r="P2014" s="6">
        <f t="shared" si="517"/>
        <v>0</v>
      </c>
      <c r="Q2014" s="7">
        <f t="shared" si="518"/>
        <v>3491668.850000001</v>
      </c>
      <c r="R2014" s="44" t="str">
        <f>VLOOKUP(F2014,'Set up'!$A$2:$E$70,5,FALSE)</f>
        <v>Chq</v>
      </c>
      <c r="S2014" s="1" t="s">
        <v>1982</v>
      </c>
    </row>
    <row r="2015" spans="1:21" ht="15" customHeight="1" x14ac:dyDescent="0.35">
      <c r="A2015" s="4">
        <v>45160</v>
      </c>
      <c r="B2015" s="5">
        <f t="shared" si="511"/>
        <v>8</v>
      </c>
      <c r="C2015" s="5">
        <f t="shared" si="512"/>
        <v>2023</v>
      </c>
      <c r="D2015" s="88" t="s">
        <v>1824</v>
      </c>
      <c r="E2015" s="5" t="str">
        <f>VLOOKUP(F2015,'Set up'!$A$2:$C$70,2,FALSE)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up'!$A$2:$C$70,3,FALSE)</f>
        <v>Cash</v>
      </c>
      <c r="J2015" s="5">
        <f>VLOOKUP(F2015,'Set up'!$A$2:$D$70,4,FALSE)</f>
        <v>0</v>
      </c>
      <c r="K2015" s="4">
        <f t="shared" si="513"/>
        <v>45160</v>
      </c>
      <c r="L2015" s="5">
        <f t="shared" si="514"/>
        <v>8</v>
      </c>
      <c r="M2015" s="5">
        <f t="shared" si="515"/>
        <v>2023</v>
      </c>
      <c r="N2015" s="96">
        <v>187.5</v>
      </c>
      <c r="O2015" s="6">
        <f>-N2015</f>
        <v>-187.5</v>
      </c>
      <c r="P2015" s="6">
        <f t="shared" si="517"/>
        <v>0</v>
      </c>
      <c r="Q2015" s="7">
        <f t="shared" si="518"/>
        <v>3491856.350000001</v>
      </c>
      <c r="R2015" s="44" t="str">
        <f>VLOOKUP(F2015,'Set up'!$A$2:$E$70,5,FALSE)</f>
        <v>Trsf</v>
      </c>
      <c r="S2015" s="1" t="s">
        <v>2482</v>
      </c>
    </row>
    <row r="2016" spans="1:21" ht="15" customHeight="1" x14ac:dyDescent="0.35">
      <c r="A2016" s="4">
        <v>45160</v>
      </c>
      <c r="B2016" s="5">
        <f t="shared" si="511"/>
        <v>8</v>
      </c>
      <c r="C2016" s="5">
        <f t="shared" si="512"/>
        <v>2023</v>
      </c>
      <c r="D2016" s="88" t="s">
        <v>1825</v>
      </c>
      <c r="E2016" s="5" t="str">
        <f>VLOOKUP(F2016,'Set up'!$A$2:$C$70,2,FALSE)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up'!$A$2:$C$70,3,FALSE)</f>
        <v>Cash</v>
      </c>
      <c r="J2016" s="5">
        <f>VLOOKUP(F2016,'Set up'!$A$2:$D$70,4,FALSE)</f>
        <v>0</v>
      </c>
      <c r="K2016" s="4">
        <f t="shared" si="513"/>
        <v>45160</v>
      </c>
      <c r="L2016" s="5">
        <f t="shared" si="514"/>
        <v>8</v>
      </c>
      <c r="M2016" s="5">
        <f t="shared" si="515"/>
        <v>2023</v>
      </c>
      <c r="N2016" s="96">
        <v>4686</v>
      </c>
      <c r="O2016" s="6">
        <f>-3376.2-1309.8</f>
        <v>-4686</v>
      </c>
      <c r="P2016" s="6">
        <f t="shared" si="517"/>
        <v>0</v>
      </c>
      <c r="Q2016" s="7">
        <f t="shared" si="518"/>
        <v>3496542.350000001</v>
      </c>
      <c r="R2016" s="44" t="str">
        <f>VLOOKUP(F2016,'Set up'!$A$2:$E$70,5,FALSE)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511"/>
        <v>8</v>
      </c>
      <c r="C2017" s="5">
        <f t="shared" si="512"/>
        <v>2023</v>
      </c>
      <c r="D2017" s="88" t="s">
        <v>1825</v>
      </c>
      <c r="E2017" s="5" t="str">
        <f>VLOOKUP(F2017,'Set up'!$A$2:$C$70,2,FALSE)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up'!$A$2:$C$70,3,FALSE)</f>
        <v>Cash</v>
      </c>
      <c r="J2017" s="5">
        <f>VLOOKUP(F2017,'Set up'!$A$2:$D$70,4,FALSE)</f>
        <v>0</v>
      </c>
      <c r="K2017" s="4">
        <f t="shared" si="513"/>
        <v>45160</v>
      </c>
      <c r="L2017" s="5">
        <f t="shared" si="514"/>
        <v>8</v>
      </c>
      <c r="M2017" s="5">
        <f t="shared" si="515"/>
        <v>2023</v>
      </c>
      <c r="N2017" s="96">
        <v>1701</v>
      </c>
      <c r="O2017" s="6">
        <f>-N2017</f>
        <v>-1701</v>
      </c>
      <c r="P2017" s="6">
        <f t="shared" si="517"/>
        <v>0</v>
      </c>
      <c r="Q2017" s="7">
        <f t="shared" si="518"/>
        <v>3498243.350000001</v>
      </c>
      <c r="R2017" s="44" t="str">
        <f>VLOOKUP(F2017,'Set up'!$A$2:$E$70,5,FALSE)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511"/>
        <v>8</v>
      </c>
      <c r="C2018" s="5">
        <f t="shared" si="512"/>
        <v>2023</v>
      </c>
      <c r="D2018" s="88" t="s">
        <v>1825</v>
      </c>
      <c r="E2018" s="5" t="str">
        <f>VLOOKUP(F2018,'Set up'!$A$2:$C$70,2,FALSE)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up'!$A$2:$C$70,3,FALSE)</f>
        <v>Cash</v>
      </c>
      <c r="J2018" s="5">
        <f>VLOOKUP(F2018,'Set up'!$A$2:$D$70,4,FALSE)</f>
        <v>0</v>
      </c>
      <c r="K2018" s="4">
        <f t="shared" si="513"/>
        <v>45160</v>
      </c>
      <c r="L2018" s="5">
        <f t="shared" si="514"/>
        <v>8</v>
      </c>
      <c r="M2018" s="5">
        <f t="shared" si="515"/>
        <v>2023</v>
      </c>
      <c r="N2018" s="96">
        <v>200</v>
      </c>
      <c r="O2018" s="6">
        <f>-N2018</f>
        <v>-200</v>
      </c>
      <c r="P2018" s="6">
        <f t="shared" si="517"/>
        <v>0</v>
      </c>
      <c r="Q2018" s="7">
        <f t="shared" si="518"/>
        <v>3498443.350000001</v>
      </c>
      <c r="R2018" s="44" t="str">
        <f>VLOOKUP(F2018,'Set up'!$A$2:$E$70,5,FALSE)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511"/>
        <v>8</v>
      </c>
      <c r="C2019" s="5">
        <f t="shared" si="512"/>
        <v>2023</v>
      </c>
      <c r="D2019" s="88" t="s">
        <v>1826</v>
      </c>
      <c r="E2019" s="5" t="str">
        <f>VLOOKUP(F2019,'Set up'!$A$2:$C$70,2,FALSE)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up'!$A$2:$C$70,3,FALSE)</f>
        <v>Cash</v>
      </c>
      <c r="J2019" s="5">
        <f>VLOOKUP(F2019,'Set up'!$A$2:$D$70,4,FALSE)</f>
        <v>0</v>
      </c>
      <c r="K2019" s="4">
        <f t="shared" si="513"/>
        <v>45160</v>
      </c>
      <c r="L2019" s="5">
        <f t="shared" si="514"/>
        <v>8</v>
      </c>
      <c r="M2019" s="5">
        <f t="shared" si="515"/>
        <v>2023</v>
      </c>
      <c r="N2019" s="96">
        <v>1738</v>
      </c>
      <c r="O2019" s="6">
        <f>-945.8-792.2</f>
        <v>-1738</v>
      </c>
      <c r="P2019" s="6">
        <f t="shared" si="517"/>
        <v>0</v>
      </c>
      <c r="Q2019" s="7">
        <f t="shared" si="518"/>
        <v>3500181.350000001</v>
      </c>
      <c r="R2019" s="44" t="str">
        <f>VLOOKUP(F2019,'Set up'!$A$2:$E$70,5,FALSE)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511"/>
        <v>8</v>
      </c>
      <c r="C2020" s="5">
        <f t="shared" si="512"/>
        <v>2023</v>
      </c>
      <c r="D2020" s="88" t="s">
        <v>1827</v>
      </c>
      <c r="E2020" s="5" t="str">
        <f>VLOOKUP(F2020,'Set up'!$A$2:$C$70,2,FALSE)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up'!$A$2:$C$70,3,FALSE)</f>
        <v>Cash</v>
      </c>
      <c r="J2020" s="5">
        <f>VLOOKUP(F2020,'Set up'!$A$2:$D$70,4,FALSE)</f>
        <v>0</v>
      </c>
      <c r="K2020" s="4">
        <f t="shared" si="513"/>
        <v>45161</v>
      </c>
      <c r="L2020" s="5">
        <f t="shared" si="514"/>
        <v>8</v>
      </c>
      <c r="M2020" s="5">
        <f t="shared" si="515"/>
        <v>2023</v>
      </c>
      <c r="N2020" s="96">
        <v>1738</v>
      </c>
      <c r="O2020" s="6">
        <f t="shared" ref="O2020:O2028" si="521">-N2020</f>
        <v>-1738</v>
      </c>
      <c r="P2020" s="6">
        <f t="shared" si="517"/>
        <v>0</v>
      </c>
      <c r="Q2020" s="7">
        <f t="shared" si="518"/>
        <v>3501919.350000001</v>
      </c>
      <c r="R2020" s="44" t="str">
        <f>VLOOKUP(F2020,'Set up'!$A$2:$E$70,5,FALSE)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511"/>
        <v>8</v>
      </c>
      <c r="C2021" s="5">
        <f t="shared" si="512"/>
        <v>2023</v>
      </c>
      <c r="D2021" s="88" t="s">
        <v>1828</v>
      </c>
      <c r="E2021" s="5" t="str">
        <f>VLOOKUP(F2021,'Set up'!$A$2:$C$70,2,FALSE)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up'!$A$2:$C$70,3,FALSE)</f>
        <v>Cash</v>
      </c>
      <c r="J2021" s="5">
        <f>VLOOKUP(F2021,'Set up'!$A$2:$D$70,4,FALSE)</f>
        <v>0</v>
      </c>
      <c r="K2021" s="4">
        <f t="shared" si="513"/>
        <v>45162</v>
      </c>
      <c r="L2021" s="5">
        <f t="shared" si="514"/>
        <v>8</v>
      </c>
      <c r="M2021" s="5">
        <f t="shared" si="515"/>
        <v>2023</v>
      </c>
      <c r="N2021" s="96">
        <v>1738</v>
      </c>
      <c r="O2021" s="6">
        <f t="shared" si="521"/>
        <v>-1738</v>
      </c>
      <c r="P2021" s="6">
        <f t="shared" si="517"/>
        <v>0</v>
      </c>
      <c r="Q2021" s="7">
        <f t="shared" si="518"/>
        <v>3503657.350000001</v>
      </c>
      <c r="R2021" s="44" t="str">
        <f>VLOOKUP(F2021,'Set up'!$A$2:$E$70,5,FALSE)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511"/>
        <v>8</v>
      </c>
      <c r="C2022" s="5">
        <f t="shared" si="512"/>
        <v>2023</v>
      </c>
      <c r="D2022" s="88" t="s">
        <v>1828</v>
      </c>
      <c r="E2022" s="5" t="str">
        <f>VLOOKUP(F2022,'Set up'!$A$2:$C$70,2,FALSE)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up'!$A$2:$C$70,3,FALSE)</f>
        <v>Cash</v>
      </c>
      <c r="J2022" s="5">
        <f>VLOOKUP(F2022,'Set up'!$A$2:$D$70,4,FALSE)</f>
        <v>0</v>
      </c>
      <c r="K2022" s="4">
        <f t="shared" si="513"/>
        <v>45162</v>
      </c>
      <c r="L2022" s="5">
        <f t="shared" si="514"/>
        <v>8</v>
      </c>
      <c r="M2022" s="5">
        <f t="shared" si="515"/>
        <v>2023</v>
      </c>
      <c r="N2022" s="96">
        <v>472</v>
      </c>
      <c r="O2022" s="6">
        <f t="shared" si="521"/>
        <v>-472</v>
      </c>
      <c r="P2022" s="6">
        <f t="shared" si="517"/>
        <v>0</v>
      </c>
      <c r="Q2022" s="7">
        <f t="shared" si="518"/>
        <v>3504129.350000001</v>
      </c>
      <c r="R2022" s="44" t="str">
        <f>VLOOKUP(F2022,'Set up'!$A$2:$E$70,5,FALSE)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511"/>
        <v>8</v>
      </c>
      <c r="C2023" s="5">
        <f t="shared" si="512"/>
        <v>2023</v>
      </c>
      <c r="D2023" s="88" t="s">
        <v>1829</v>
      </c>
      <c r="E2023" s="5" t="str">
        <f>VLOOKUP(F2023,'Set up'!$A$2:$C$70,2,FALSE)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up'!$A$2:$C$70,3,FALSE)</f>
        <v>Cash</v>
      </c>
      <c r="J2023" s="5">
        <f>VLOOKUP(F2023,'Set up'!$A$2:$D$70,4,FALSE)</f>
        <v>0</v>
      </c>
      <c r="K2023" s="4">
        <f t="shared" si="513"/>
        <v>45163</v>
      </c>
      <c r="L2023" s="5">
        <f t="shared" si="514"/>
        <v>8</v>
      </c>
      <c r="M2023" s="5">
        <f t="shared" si="515"/>
        <v>2023</v>
      </c>
      <c r="N2023" s="96">
        <v>1738</v>
      </c>
      <c r="O2023" s="6">
        <f t="shared" si="521"/>
        <v>-1738</v>
      </c>
      <c r="P2023" s="6">
        <f t="shared" si="517"/>
        <v>0</v>
      </c>
      <c r="Q2023" s="7">
        <f t="shared" si="518"/>
        <v>3505867.350000001</v>
      </c>
      <c r="R2023" s="44" t="str">
        <f>VLOOKUP(F2023,'Set up'!$A$2:$E$70,5,FALSE)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511"/>
        <v>8</v>
      </c>
      <c r="C2024" s="5">
        <f t="shared" si="512"/>
        <v>2023</v>
      </c>
      <c r="D2024" s="88" t="s">
        <v>1829</v>
      </c>
      <c r="E2024" s="5" t="str">
        <f>VLOOKUP(F2024,'Set up'!$A$2:$C$70,2,FALSE)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up'!$A$2:$C$70,3,FALSE)</f>
        <v>Cash</v>
      </c>
      <c r="J2024" s="5">
        <f>VLOOKUP(F2024,'Set up'!$A$2:$D$70,4,FALSE)</f>
        <v>0</v>
      </c>
      <c r="K2024" s="4">
        <f t="shared" si="513"/>
        <v>45163</v>
      </c>
      <c r="L2024" s="5">
        <f t="shared" si="514"/>
        <v>8</v>
      </c>
      <c r="M2024" s="5">
        <f t="shared" si="515"/>
        <v>2023</v>
      </c>
      <c r="N2024" s="96">
        <v>702</v>
      </c>
      <c r="O2024" s="6">
        <f t="shared" si="521"/>
        <v>-702</v>
      </c>
      <c r="P2024" s="6">
        <f t="shared" si="517"/>
        <v>0</v>
      </c>
      <c r="Q2024" s="7">
        <f t="shared" si="518"/>
        <v>3506569.350000001</v>
      </c>
      <c r="R2024" s="44" t="str">
        <f>VLOOKUP(F2024,'Set up'!$A$2:$E$70,5,FALSE)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511"/>
        <v>8</v>
      </c>
      <c r="C2025" s="5">
        <f t="shared" si="512"/>
        <v>2023</v>
      </c>
      <c r="D2025" s="88" t="s">
        <v>1829</v>
      </c>
      <c r="E2025" s="5" t="str">
        <f>VLOOKUP(F2025,'Set up'!$A$2:$C$70,2,FALSE)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up'!$A$2:$C$70,3,FALSE)</f>
        <v>Cash</v>
      </c>
      <c r="J2025" s="5">
        <f>VLOOKUP(F2025,'Set up'!$A$2:$D$70,4,FALSE)</f>
        <v>0</v>
      </c>
      <c r="K2025" s="4">
        <f t="shared" si="513"/>
        <v>45163</v>
      </c>
      <c r="L2025" s="5">
        <f t="shared" si="514"/>
        <v>8</v>
      </c>
      <c r="M2025" s="5">
        <f t="shared" si="515"/>
        <v>2023</v>
      </c>
      <c r="N2025" s="96">
        <v>95</v>
      </c>
      <c r="O2025" s="6">
        <f t="shared" si="521"/>
        <v>-95</v>
      </c>
      <c r="P2025" s="6">
        <f t="shared" si="517"/>
        <v>0</v>
      </c>
      <c r="Q2025" s="7">
        <f t="shared" si="518"/>
        <v>3506664.350000001</v>
      </c>
      <c r="R2025" s="44" t="str">
        <f>VLOOKUP(F2025,'Set up'!$A$2:$E$70,5,FALSE)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511"/>
        <v>8</v>
      </c>
      <c r="C2026" s="5">
        <f t="shared" si="512"/>
        <v>2023</v>
      </c>
      <c r="D2026" s="88" t="s">
        <v>1829</v>
      </c>
      <c r="E2026" s="5" t="str">
        <f>VLOOKUP(F2026,'Set up'!$A$2:$C$70,2,FALSE)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up'!$A$2:$C$70,3,FALSE)</f>
        <v>Cash</v>
      </c>
      <c r="J2026" s="5">
        <f>VLOOKUP(F2026,'Set up'!$A$2:$D$70,4,FALSE)</f>
        <v>0</v>
      </c>
      <c r="K2026" s="4">
        <f t="shared" si="513"/>
        <v>45163</v>
      </c>
      <c r="L2026" s="5">
        <f t="shared" si="514"/>
        <v>8</v>
      </c>
      <c r="M2026" s="5">
        <f t="shared" si="515"/>
        <v>2023</v>
      </c>
      <c r="N2026" s="96">
        <v>312.5</v>
      </c>
      <c r="O2026" s="6">
        <f t="shared" si="521"/>
        <v>-312.5</v>
      </c>
      <c r="P2026" s="6">
        <f t="shared" si="517"/>
        <v>0</v>
      </c>
      <c r="Q2026" s="7">
        <f t="shared" si="518"/>
        <v>3506976.850000001</v>
      </c>
      <c r="R2026" s="44" t="str">
        <f>VLOOKUP(F2026,'Set up'!$A$2:$E$70,5,FALSE)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511"/>
        <v>8</v>
      </c>
      <c r="C2027" s="5">
        <f t="shared" si="512"/>
        <v>2023</v>
      </c>
      <c r="D2027" s="88" t="s">
        <v>1830</v>
      </c>
      <c r="E2027" s="5" t="str">
        <f>VLOOKUP(F2027,'Set up'!$A$2:$C$70,2,FALSE)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up'!$A$2:$C$70,3,FALSE)</f>
        <v>Cash</v>
      </c>
      <c r="J2027" s="5">
        <f>VLOOKUP(F2027,'Set up'!$A$2:$D$70,4,FALSE)</f>
        <v>0</v>
      </c>
      <c r="K2027" s="4">
        <f t="shared" si="513"/>
        <v>45164</v>
      </c>
      <c r="L2027" s="5">
        <f t="shared" si="514"/>
        <v>8</v>
      </c>
      <c r="M2027" s="5">
        <f t="shared" si="515"/>
        <v>2023</v>
      </c>
      <c r="N2027" s="96">
        <v>421.2</v>
      </c>
      <c r="O2027" s="6">
        <f t="shared" si="521"/>
        <v>-421.2</v>
      </c>
      <c r="P2027" s="6">
        <f t="shared" si="517"/>
        <v>0</v>
      </c>
      <c r="Q2027" s="7">
        <f t="shared" si="518"/>
        <v>3507398.0500000012</v>
      </c>
      <c r="R2027" s="44" t="str">
        <f>VLOOKUP(F2027,'Set up'!$A$2:$E$70,5,FALSE)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511"/>
        <v>8</v>
      </c>
      <c r="C2028" s="5">
        <f t="shared" si="512"/>
        <v>2023</v>
      </c>
      <c r="D2028" s="88" t="s">
        <v>1830</v>
      </c>
      <c r="E2028" s="5" t="str">
        <f>VLOOKUP(F2028,'Set up'!$A$2:$C$70,2,FALSE)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up'!$A$2:$C$70,3,FALSE)</f>
        <v>Cash</v>
      </c>
      <c r="J2028" s="5">
        <f>VLOOKUP(F2028,'Set up'!$A$2:$D$70,4,FALSE)</f>
        <v>0</v>
      </c>
      <c r="K2028" s="4">
        <f t="shared" si="513"/>
        <v>45164</v>
      </c>
      <c r="L2028" s="5">
        <f t="shared" si="514"/>
        <v>8</v>
      </c>
      <c r="M2028" s="5">
        <f t="shared" si="515"/>
        <v>2023</v>
      </c>
      <c r="N2028" s="96">
        <v>390</v>
      </c>
      <c r="O2028" s="6">
        <f t="shared" si="521"/>
        <v>-390</v>
      </c>
      <c r="P2028" s="6">
        <f t="shared" si="517"/>
        <v>0</v>
      </c>
      <c r="Q2028" s="7">
        <f t="shared" si="518"/>
        <v>3507788.0500000012</v>
      </c>
      <c r="R2028" s="44" t="str">
        <f>VLOOKUP(F2028,'Set up'!$A$2:$E$70,5,FALSE)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511"/>
        <v>8</v>
      </c>
      <c r="C2029" s="5">
        <f t="shared" si="512"/>
        <v>2023</v>
      </c>
      <c r="D2029" s="88" t="s">
        <v>1832</v>
      </c>
      <c r="E2029" s="5" t="str">
        <f>VLOOKUP(F2029,'Set up'!$A$2:$C$70,2,FALSE)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up'!$A$2:$C$70,3,FALSE)</f>
        <v>Cash</v>
      </c>
      <c r="J2029" s="5">
        <f>VLOOKUP(F2029,'Set up'!$A$2:$D$70,4,FALSE)</f>
        <v>0</v>
      </c>
      <c r="K2029" s="4">
        <f t="shared" si="513"/>
        <v>45166</v>
      </c>
      <c r="L2029" s="5">
        <f t="shared" si="514"/>
        <v>8</v>
      </c>
      <c r="M2029" s="5">
        <f t="shared" si="515"/>
        <v>2023</v>
      </c>
      <c r="N2029" s="96">
        <v>3476</v>
      </c>
      <c r="O2029" s="6">
        <f t="shared" ref="O2029:O2037" si="522">-N2029</f>
        <v>-3476</v>
      </c>
      <c r="P2029" s="6">
        <f t="shared" si="517"/>
        <v>0</v>
      </c>
      <c r="Q2029" s="7">
        <f t="shared" si="518"/>
        <v>3511264.0500000012</v>
      </c>
      <c r="R2029" s="44" t="str">
        <f>VLOOKUP(F2029,'Set up'!$A$2:$E$70,5,FALSE)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si="511"/>
        <v>8</v>
      </c>
      <c r="C2030" s="5">
        <f t="shared" si="512"/>
        <v>2023</v>
      </c>
      <c r="D2030" s="88" t="s">
        <v>1832</v>
      </c>
      <c r="E2030" s="5" t="str">
        <f>VLOOKUP(F2030,'Set up'!$A$2:$C$70,2,FALSE)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up'!$A$2:$C$70,3,FALSE)</f>
        <v>Cash</v>
      </c>
      <c r="J2030" s="5">
        <f>VLOOKUP(F2030,'Set up'!$A$2:$D$70,4,FALSE)</f>
        <v>0</v>
      </c>
      <c r="K2030" s="4">
        <f t="shared" si="513"/>
        <v>45166</v>
      </c>
      <c r="L2030" s="5">
        <f t="shared" si="514"/>
        <v>8</v>
      </c>
      <c r="M2030" s="5">
        <f t="shared" si="515"/>
        <v>2023</v>
      </c>
      <c r="N2030" s="96">
        <v>438</v>
      </c>
      <c r="O2030" s="6">
        <f t="shared" si="522"/>
        <v>-438</v>
      </c>
      <c r="P2030" s="6">
        <f t="shared" ref="P2030:P2093" si="523">SUM(N2030+O2030)</f>
        <v>0</v>
      </c>
      <c r="Q2030" s="7">
        <f t="shared" ref="Q2030:Q2043" si="524">SUM(Q2029+N2030)</f>
        <v>3511702.0500000012</v>
      </c>
      <c r="R2030" s="44" t="str">
        <f>VLOOKUP(F2030,'Set up'!$A$2:$E$70,5,FALSE)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511"/>
        <v>8</v>
      </c>
      <c r="C2031" s="5">
        <f t="shared" si="512"/>
        <v>2023</v>
      </c>
      <c r="D2031" s="88" t="s">
        <v>1832</v>
      </c>
      <c r="E2031" s="5" t="str">
        <f>VLOOKUP(F2031,'Set up'!$A$2:$C$70,2,FALSE)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up'!$A$2:$C$70,3,FALSE)</f>
        <v>Cash</v>
      </c>
      <c r="J2031" s="5">
        <f>VLOOKUP(F2031,'Set up'!$A$2:$D$70,4,FALSE)</f>
        <v>0</v>
      </c>
      <c r="K2031" s="4">
        <f t="shared" si="513"/>
        <v>45166</v>
      </c>
      <c r="L2031" s="5">
        <f t="shared" si="514"/>
        <v>8</v>
      </c>
      <c r="M2031" s="5">
        <f t="shared" si="515"/>
        <v>2023</v>
      </c>
      <c r="N2031" s="96">
        <v>472</v>
      </c>
      <c r="O2031" s="6">
        <f t="shared" si="522"/>
        <v>-472</v>
      </c>
      <c r="P2031" s="6">
        <f t="shared" si="523"/>
        <v>0</v>
      </c>
      <c r="Q2031" s="7">
        <f t="shared" si="524"/>
        <v>3512174.0500000012</v>
      </c>
      <c r="R2031" s="44" t="str">
        <f>VLOOKUP(F2031,'Set up'!$A$2:$E$70,5,FALSE)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511"/>
        <v>8</v>
      </c>
      <c r="C2032" s="5">
        <f t="shared" si="512"/>
        <v>2023</v>
      </c>
      <c r="D2032" s="88" t="s">
        <v>1832</v>
      </c>
      <c r="E2032" s="5" t="str">
        <f>VLOOKUP(F2032,'Set up'!$A$2:$C$70,2,FALSE)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up'!$A$2:$C$70,3,FALSE)</f>
        <v>Cash</v>
      </c>
      <c r="J2032" s="5">
        <f>VLOOKUP(F2032,'Set up'!$A$2:$D$70,4,FALSE)</f>
        <v>0</v>
      </c>
      <c r="K2032" s="4">
        <f t="shared" si="513"/>
        <v>45166</v>
      </c>
      <c r="L2032" s="5">
        <f t="shared" si="514"/>
        <v>8</v>
      </c>
      <c r="M2032" s="5">
        <f t="shared" si="515"/>
        <v>2023</v>
      </c>
      <c r="N2032" s="96">
        <v>190</v>
      </c>
      <c r="O2032" s="6">
        <f t="shared" si="522"/>
        <v>-190</v>
      </c>
      <c r="P2032" s="6">
        <f t="shared" si="523"/>
        <v>0</v>
      </c>
      <c r="Q2032" s="7">
        <f t="shared" si="524"/>
        <v>3512364.0500000012</v>
      </c>
      <c r="R2032" s="44" t="str">
        <f>VLOOKUP(F2032,'Set up'!$A$2:$E$70,5,FALSE)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511"/>
        <v>8</v>
      </c>
      <c r="C2033" s="5">
        <f t="shared" si="512"/>
        <v>2023</v>
      </c>
      <c r="D2033" s="88" t="s">
        <v>1832</v>
      </c>
      <c r="E2033" s="5" t="str">
        <f>VLOOKUP(F2033,'Set up'!$A$2:$C$70,2,FALSE)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up'!$A$2:$C$70,3,FALSE)</f>
        <v>Cash</v>
      </c>
      <c r="J2033" s="5">
        <f>VLOOKUP(F2033,'Set up'!$A$2:$D$70,4,FALSE)</f>
        <v>0</v>
      </c>
      <c r="K2033" s="4">
        <f t="shared" si="513"/>
        <v>45166</v>
      </c>
      <c r="L2033" s="5">
        <f t="shared" si="514"/>
        <v>8</v>
      </c>
      <c r="M2033" s="5">
        <f t="shared" si="515"/>
        <v>2023</v>
      </c>
      <c r="N2033" s="96">
        <v>125</v>
      </c>
      <c r="O2033" s="6">
        <f t="shared" si="522"/>
        <v>-125</v>
      </c>
      <c r="P2033" s="6">
        <f t="shared" si="523"/>
        <v>0</v>
      </c>
      <c r="Q2033" s="7">
        <f t="shared" si="524"/>
        <v>3512489.0500000012</v>
      </c>
      <c r="R2033" s="44" t="str">
        <f>VLOOKUP(F2033,'Set up'!$A$2:$E$70,5,FALSE)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511"/>
        <v>8</v>
      </c>
      <c r="C2034" s="5">
        <f t="shared" si="512"/>
        <v>2023</v>
      </c>
      <c r="D2034" s="88" t="s">
        <v>1832</v>
      </c>
      <c r="E2034" s="5" t="str">
        <f>VLOOKUP(F2034,'Set up'!$A$2:$C$70,2,FALSE)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up'!$A$2:$C$70,3,FALSE)</f>
        <v>Cash</v>
      </c>
      <c r="J2034" s="5">
        <f>VLOOKUP(F2034,'Set up'!$A$2:$D$70,4,FALSE)</f>
        <v>0</v>
      </c>
      <c r="K2034" s="4">
        <f t="shared" si="513"/>
        <v>45166</v>
      </c>
      <c r="L2034" s="5">
        <f t="shared" si="514"/>
        <v>8</v>
      </c>
      <c r="M2034" s="5">
        <f t="shared" si="515"/>
        <v>2023</v>
      </c>
      <c r="N2034" s="96">
        <v>420</v>
      </c>
      <c r="O2034" s="6">
        <f t="shared" si="522"/>
        <v>-420</v>
      </c>
      <c r="P2034" s="6">
        <f t="shared" si="523"/>
        <v>0</v>
      </c>
      <c r="Q2034" s="7">
        <f t="shared" si="524"/>
        <v>3512909.0500000012</v>
      </c>
      <c r="R2034" s="44" t="str">
        <f>VLOOKUP(F2034,'Set up'!$A$2:$E$70,5,FALSE)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511"/>
        <v>8</v>
      </c>
      <c r="C2035" s="5">
        <f t="shared" si="512"/>
        <v>2023</v>
      </c>
      <c r="D2035" s="88" t="s">
        <v>1832</v>
      </c>
      <c r="E2035" s="5" t="str">
        <f>VLOOKUP(F2035,'Set up'!$A$2:$C$70,2,FALSE)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up'!$A$2:$C$70,3,FALSE)</f>
        <v>Cash</v>
      </c>
      <c r="J2035" s="5">
        <f>VLOOKUP(F2035,'Set up'!$A$2:$D$70,4,FALSE)</f>
        <v>0</v>
      </c>
      <c r="K2035" s="4">
        <f t="shared" si="513"/>
        <v>45166</v>
      </c>
      <c r="L2035" s="5">
        <f t="shared" si="514"/>
        <v>8</v>
      </c>
      <c r="M2035" s="5">
        <f t="shared" si="515"/>
        <v>2023</v>
      </c>
      <c r="N2035" s="96">
        <v>160</v>
      </c>
      <c r="O2035" s="6">
        <f t="shared" si="522"/>
        <v>-160</v>
      </c>
      <c r="P2035" s="6">
        <f t="shared" si="523"/>
        <v>0</v>
      </c>
      <c r="Q2035" s="7">
        <f t="shared" si="524"/>
        <v>3513069.0500000012</v>
      </c>
      <c r="R2035" s="44" t="str">
        <f>VLOOKUP(F2035,'Set up'!$A$2:$E$70,5,FALSE)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511"/>
        <v>8</v>
      </c>
      <c r="C2036" s="5">
        <f t="shared" si="512"/>
        <v>2023</v>
      </c>
      <c r="D2036" s="88" t="s">
        <v>1832</v>
      </c>
      <c r="E2036" s="5" t="str">
        <f>VLOOKUP(F2036,'Set up'!$A$2:$C$70,2,FALSE)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up'!$A$2:$C$70,3,FALSE)</f>
        <v>Cash</v>
      </c>
      <c r="J2036" s="5">
        <f>VLOOKUP(F2036,'Set up'!$A$2:$D$70,4,FALSE)</f>
        <v>0</v>
      </c>
      <c r="K2036" s="4">
        <f t="shared" si="513"/>
        <v>45166</v>
      </c>
      <c r="L2036" s="5">
        <f t="shared" si="514"/>
        <v>8</v>
      </c>
      <c r="M2036" s="5">
        <f t="shared" si="515"/>
        <v>2023</v>
      </c>
      <c r="N2036" s="96">
        <v>100</v>
      </c>
      <c r="O2036" s="6">
        <f t="shared" si="522"/>
        <v>-100</v>
      </c>
      <c r="P2036" s="6">
        <f t="shared" si="523"/>
        <v>0</v>
      </c>
      <c r="Q2036" s="7">
        <f t="shared" si="524"/>
        <v>3513169.0500000012</v>
      </c>
      <c r="R2036" s="44" t="str">
        <f>VLOOKUP(F2036,'Set up'!$A$2:$E$70,5,FALSE)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511"/>
        <v>8</v>
      </c>
      <c r="C2037" s="5">
        <f t="shared" si="512"/>
        <v>2023</v>
      </c>
      <c r="D2037" s="88" t="s">
        <v>1832</v>
      </c>
      <c r="E2037" s="5" t="str">
        <f>VLOOKUP(F2037,'Set up'!$A$2:$C$70,2,FALSE)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up'!$A$2:$C$70,3,FALSE)</f>
        <v>Cash</v>
      </c>
      <c r="J2037" s="5">
        <f>VLOOKUP(F2037,'Set up'!$A$2:$D$70,4,FALSE)</f>
        <v>0</v>
      </c>
      <c r="K2037" s="4">
        <f t="shared" si="513"/>
        <v>45166</v>
      </c>
      <c r="L2037" s="5">
        <f t="shared" si="514"/>
        <v>8</v>
      </c>
      <c r="M2037" s="5">
        <f t="shared" si="515"/>
        <v>2023</v>
      </c>
      <c r="N2037" s="96">
        <v>2224</v>
      </c>
      <c r="O2037" s="6">
        <f t="shared" si="522"/>
        <v>-2224</v>
      </c>
      <c r="P2037" s="6">
        <f t="shared" si="523"/>
        <v>0</v>
      </c>
      <c r="Q2037" s="7">
        <f t="shared" si="524"/>
        <v>3515393.0500000012</v>
      </c>
      <c r="R2037" s="44" t="str">
        <f>VLOOKUP(F2037,'Set up'!$A$2:$E$70,5,FALSE)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511"/>
        <v>8</v>
      </c>
      <c r="C2038" s="5">
        <f t="shared" si="512"/>
        <v>2023</v>
      </c>
      <c r="D2038" s="88" t="s">
        <v>1833</v>
      </c>
      <c r="E2038" s="5" t="str">
        <f>VLOOKUP(F2038,'Set up'!$A$2:$C$70,2,FALSE)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up'!$A$2:$C$70,3,FALSE)</f>
        <v>Cash</v>
      </c>
      <c r="J2038" s="5">
        <f>VLOOKUP(F2038,'Set up'!$A$2:$D$70,4,FALSE)</f>
        <v>0</v>
      </c>
      <c r="K2038" s="4">
        <f t="shared" si="513"/>
        <v>45166</v>
      </c>
      <c r="L2038" s="5">
        <f t="shared" si="514"/>
        <v>8</v>
      </c>
      <c r="M2038" s="5">
        <f t="shared" si="515"/>
        <v>2023</v>
      </c>
      <c r="N2038" s="96">
        <v>125</v>
      </c>
      <c r="O2038" s="6">
        <f>-N2038</f>
        <v>-125</v>
      </c>
      <c r="P2038" s="6">
        <f t="shared" si="523"/>
        <v>0</v>
      </c>
      <c r="Q2038" s="7">
        <f t="shared" si="524"/>
        <v>3515518.0500000012</v>
      </c>
      <c r="R2038" s="44" t="str">
        <f>VLOOKUP(F2038,'Set up'!$A$2:$E$70,5,FALSE)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511"/>
        <v>8</v>
      </c>
      <c r="C2039" s="5">
        <f t="shared" si="512"/>
        <v>2023</v>
      </c>
      <c r="D2039" s="88" t="s">
        <v>1834</v>
      </c>
      <c r="E2039" s="5" t="str">
        <f>VLOOKUP(F2039,'Set up'!$A$2:$C$70,2,FALSE)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up'!$A$2:$C$70,3,FALSE)</f>
        <v>Cash</v>
      </c>
      <c r="J2039" s="5">
        <f>VLOOKUP(F2039,'Set up'!$A$2:$D$70,4,FALSE)</f>
        <v>0</v>
      </c>
      <c r="K2039" s="4">
        <f t="shared" si="513"/>
        <v>45166</v>
      </c>
      <c r="L2039" s="5">
        <f t="shared" si="514"/>
        <v>8</v>
      </c>
      <c r="M2039" s="5">
        <f t="shared" si="515"/>
        <v>2023</v>
      </c>
      <c r="N2039" s="96">
        <v>3124</v>
      </c>
      <c r="O2039" s="6">
        <f>-N2039</f>
        <v>-3124</v>
      </c>
      <c r="P2039" s="6">
        <f t="shared" si="523"/>
        <v>0</v>
      </c>
      <c r="Q2039" s="7">
        <f t="shared" si="524"/>
        <v>3518642.0500000012</v>
      </c>
      <c r="R2039" s="44" t="str">
        <f>VLOOKUP(F2039,'Set up'!$A$2:$E$70,5,FALSE)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511"/>
        <v>8</v>
      </c>
      <c r="C2040" s="5">
        <f t="shared" si="512"/>
        <v>2023</v>
      </c>
      <c r="D2040" s="88" t="s">
        <v>1834</v>
      </c>
      <c r="E2040" s="5" t="str">
        <f>VLOOKUP(F2040,'Set up'!$A$2:$C$70,2,FALSE)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up'!$A$2:$C$70,3,FALSE)</f>
        <v>Cash</v>
      </c>
      <c r="J2040" s="5">
        <f>VLOOKUP(F2040,'Set up'!$A$2:$D$70,4,FALSE)</f>
        <v>0</v>
      </c>
      <c r="K2040" s="4">
        <f t="shared" si="513"/>
        <v>45166</v>
      </c>
      <c r="L2040" s="5">
        <f t="shared" si="514"/>
        <v>8</v>
      </c>
      <c r="M2040" s="5">
        <f t="shared" si="515"/>
        <v>2023</v>
      </c>
      <c r="N2040" s="96">
        <v>1134</v>
      </c>
      <c r="O2040" s="6">
        <f>-N2040</f>
        <v>-1134</v>
      </c>
      <c r="P2040" s="6">
        <f t="shared" si="523"/>
        <v>0</v>
      </c>
      <c r="Q2040" s="7">
        <f t="shared" si="524"/>
        <v>3519776.0500000012</v>
      </c>
      <c r="R2040" s="44" t="str">
        <f>VLOOKUP(F2040,'Set up'!$A$2:$E$70,5,FALSE)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511"/>
        <v>8</v>
      </c>
      <c r="C2041" s="5">
        <f t="shared" si="512"/>
        <v>2023</v>
      </c>
      <c r="D2041" s="88" t="s">
        <v>1834</v>
      </c>
      <c r="E2041" s="5" t="str">
        <f>VLOOKUP(F2041,'Set up'!$A$2:$C$70,2,FALSE)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up'!$A$2:$C$70,3,FALSE)</f>
        <v>Cash</v>
      </c>
      <c r="J2041" s="5">
        <f>VLOOKUP(F2041,'Set up'!$A$2:$D$70,4,FALSE)</f>
        <v>0</v>
      </c>
      <c r="K2041" s="4">
        <f t="shared" si="513"/>
        <v>45166</v>
      </c>
      <c r="L2041" s="5">
        <f t="shared" si="514"/>
        <v>8</v>
      </c>
      <c r="M2041" s="5">
        <f t="shared" si="515"/>
        <v>2023</v>
      </c>
      <c r="N2041" s="96">
        <v>600</v>
      </c>
      <c r="O2041" s="6">
        <f>-N2041</f>
        <v>-600</v>
      </c>
      <c r="P2041" s="6">
        <f t="shared" si="523"/>
        <v>0</v>
      </c>
      <c r="Q2041" s="7">
        <f t="shared" si="524"/>
        <v>3520376.0500000012</v>
      </c>
      <c r="R2041" s="44" t="str">
        <f>VLOOKUP(F2041,'Set up'!$A$2:$E$70,5,FALSE)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511"/>
        <v>8</v>
      </c>
      <c r="C2042" s="5">
        <f t="shared" si="512"/>
        <v>2023</v>
      </c>
      <c r="D2042" s="88" t="s">
        <v>1834</v>
      </c>
      <c r="E2042" s="5" t="str">
        <f>VLOOKUP(F2042,'Set up'!$A$2:$C$70,2,FALSE)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up'!$A$2:$C$70,3,FALSE)</f>
        <v>Cash</v>
      </c>
      <c r="J2042" s="5">
        <f>VLOOKUP(F2042,'Set up'!$A$2:$D$70,4,FALSE)</f>
        <v>0</v>
      </c>
      <c r="K2042" s="4">
        <f t="shared" si="513"/>
        <v>45166</v>
      </c>
      <c r="L2042" s="5">
        <f t="shared" si="514"/>
        <v>8</v>
      </c>
      <c r="M2042" s="5">
        <f t="shared" si="515"/>
        <v>2023</v>
      </c>
      <c r="N2042" s="96">
        <v>1000</v>
      </c>
      <c r="O2042" s="6">
        <f>-N2042</f>
        <v>-1000</v>
      </c>
      <c r="P2042" s="6">
        <f t="shared" si="523"/>
        <v>0</v>
      </c>
      <c r="Q2042" s="7">
        <f t="shared" si="524"/>
        <v>3521376.0500000012</v>
      </c>
      <c r="R2042" s="44" t="str">
        <f>VLOOKUP(F2042,'Set up'!$A$2:$E$70,5,FALSE)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511"/>
        <v>8</v>
      </c>
      <c r="C2043" s="5">
        <f t="shared" si="512"/>
        <v>2023</v>
      </c>
      <c r="D2043" s="88" t="s">
        <v>1835</v>
      </c>
      <c r="E2043" s="5" t="str">
        <f>VLOOKUP(F2043,'Set up'!$A$2:$C$70,2,FALSE)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up'!$A$2:$C$70,3,FALSE)</f>
        <v>Cash</v>
      </c>
      <c r="J2043" s="5">
        <f>VLOOKUP(F2043,'Set up'!$A$2:$D$70,4,FALSE)</f>
        <v>0</v>
      </c>
      <c r="K2043" s="4">
        <f t="shared" si="513"/>
        <v>45168</v>
      </c>
      <c r="L2043" s="5">
        <f t="shared" si="514"/>
        <v>8</v>
      </c>
      <c r="M2043" s="5">
        <f t="shared" si="515"/>
        <v>2023</v>
      </c>
      <c r="N2043" s="96">
        <v>1738</v>
      </c>
      <c r="O2043" s="6">
        <f>-396.6-1341.4</f>
        <v>-1738</v>
      </c>
      <c r="P2043" s="6">
        <f t="shared" si="523"/>
        <v>0</v>
      </c>
      <c r="Q2043" s="7">
        <f t="shared" si="524"/>
        <v>3523114.0500000012</v>
      </c>
      <c r="R2043" s="44" t="str">
        <f>VLOOKUP(F2043,'Set up'!$A$2:$E$70,5,FALSE)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si="511"/>
        <v>9</v>
      </c>
      <c r="C2044" s="5">
        <f t="shared" si="512"/>
        <v>2023</v>
      </c>
      <c r="D2044" s="88" t="s">
        <v>1876</v>
      </c>
      <c r="E2044" s="5" t="str">
        <f>VLOOKUP(F2044,'Set up'!$A$2:$C$70,2,FALSE)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up'!$A$2:$C$70,3,FALSE)</f>
        <v>Cash</v>
      </c>
      <c r="J2044" s="5">
        <f>VLOOKUP(F2044,'Set up'!$A$2:$D$70,4,FALSE)</f>
        <v>0</v>
      </c>
      <c r="K2044" s="4">
        <f t="shared" si="513"/>
        <v>45170</v>
      </c>
      <c r="L2044" s="5">
        <f t="shared" si="514"/>
        <v>9</v>
      </c>
      <c r="M2044" s="5">
        <f t="shared" si="515"/>
        <v>2023</v>
      </c>
      <c r="N2044" s="96">
        <v>125</v>
      </c>
      <c r="O2044" s="6">
        <f>-N2044</f>
        <v>-125</v>
      </c>
      <c r="P2044" s="6">
        <f t="shared" si="523"/>
        <v>0</v>
      </c>
      <c r="Q2044" s="7">
        <f t="shared" ref="Q2044:Q2107" si="525">SUM(Q2043+N2044)</f>
        <v>3523239.0500000012</v>
      </c>
      <c r="R2044" s="44" t="str">
        <f>VLOOKUP(F2044,'Set up'!$A$2:$E$70,5,FALSE)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511"/>
        <v>9</v>
      </c>
      <c r="C2045" s="5">
        <f t="shared" si="512"/>
        <v>2023</v>
      </c>
      <c r="D2045" s="88" t="s">
        <v>1877</v>
      </c>
      <c r="E2045" s="5" t="str">
        <f>VLOOKUP(F2045,'Set up'!$A$2:$C$70,2,FALSE)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up'!$A$2:$C$70,3,FALSE)</f>
        <v>Cash</v>
      </c>
      <c r="J2045" s="5">
        <f>VLOOKUP(F2045,'Set up'!$A$2:$D$70,4,FALSE)</f>
        <v>0</v>
      </c>
      <c r="K2045" s="4">
        <f t="shared" si="513"/>
        <v>45170</v>
      </c>
      <c r="L2045" s="5">
        <f t="shared" si="514"/>
        <v>9</v>
      </c>
      <c r="M2045" s="5">
        <f t="shared" si="515"/>
        <v>2023</v>
      </c>
      <c r="N2045" s="96">
        <v>3124</v>
      </c>
      <c r="O2045" s="6">
        <f>-N2045</f>
        <v>-3124</v>
      </c>
      <c r="P2045" s="6">
        <f t="shared" si="523"/>
        <v>0</v>
      </c>
      <c r="Q2045" s="7">
        <f t="shared" si="525"/>
        <v>3526363.0500000012</v>
      </c>
      <c r="R2045" s="44" t="str">
        <f>VLOOKUP(F2045,'Set up'!$A$2:$E$70,5,FALSE)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511"/>
        <v>9</v>
      </c>
      <c r="C2046" s="5">
        <f t="shared" si="512"/>
        <v>2023</v>
      </c>
      <c r="D2046" s="88" t="s">
        <v>1877</v>
      </c>
      <c r="E2046" s="5" t="str">
        <f>VLOOKUP(F2046,'Set up'!$A$2:$C$70,2,FALSE)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up'!$A$2:$C$70,3,FALSE)</f>
        <v>Cash</v>
      </c>
      <c r="J2046" s="5">
        <f>VLOOKUP(F2046,'Set up'!$A$2:$D$70,4,FALSE)</f>
        <v>0</v>
      </c>
      <c r="K2046" s="4">
        <f t="shared" si="513"/>
        <v>45170</v>
      </c>
      <c r="L2046" s="5">
        <f t="shared" si="514"/>
        <v>9</v>
      </c>
      <c r="M2046" s="5">
        <f t="shared" si="515"/>
        <v>2023</v>
      </c>
      <c r="N2046" s="96">
        <v>1134</v>
      </c>
      <c r="O2046" s="6">
        <f>-N2046</f>
        <v>-1134</v>
      </c>
      <c r="P2046" s="6">
        <f t="shared" si="523"/>
        <v>0</v>
      </c>
      <c r="Q2046" s="7">
        <f t="shared" si="525"/>
        <v>3527497.0500000012</v>
      </c>
      <c r="R2046" s="44" t="str">
        <f>VLOOKUP(F2046,'Set up'!$A$2:$E$70,5,FALSE)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511"/>
        <v>9</v>
      </c>
      <c r="C2047" s="5">
        <f t="shared" si="512"/>
        <v>2023</v>
      </c>
      <c r="D2047" s="88" t="s">
        <v>1877</v>
      </c>
      <c r="E2047" s="5" t="str">
        <f>VLOOKUP(F2047,'Set up'!$A$2:$C$70,2,FALSE)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up'!$A$2:$C$70,3,FALSE)</f>
        <v>Cash</v>
      </c>
      <c r="J2047" s="5">
        <f>VLOOKUP(F2047,'Set up'!$A$2:$D$70,4,FALSE)</f>
        <v>0</v>
      </c>
      <c r="K2047" s="4">
        <f t="shared" si="513"/>
        <v>45170</v>
      </c>
      <c r="L2047" s="5">
        <f t="shared" si="514"/>
        <v>9</v>
      </c>
      <c r="M2047" s="5">
        <f t="shared" si="515"/>
        <v>2023</v>
      </c>
      <c r="N2047" s="96">
        <v>600</v>
      </c>
      <c r="O2047" s="6">
        <f>-N2047</f>
        <v>-600</v>
      </c>
      <c r="P2047" s="6">
        <f t="shared" si="523"/>
        <v>0</v>
      </c>
      <c r="Q2047" s="7">
        <f t="shared" si="525"/>
        <v>3528097.0500000012</v>
      </c>
      <c r="R2047" s="44" t="str">
        <f>VLOOKUP(F2047,'Set up'!$A$2:$E$70,5,FALSE)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511"/>
        <v>9</v>
      </c>
      <c r="C2048" s="5">
        <f t="shared" si="512"/>
        <v>2023</v>
      </c>
      <c r="D2048" s="88" t="s">
        <v>1879</v>
      </c>
      <c r="E2048" s="5" t="str">
        <f>VLOOKUP(F2048,'Set up'!$A$2:$C$70,2,FALSE)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up'!$A$2:$C$70,3,FALSE)</f>
        <v>Cash</v>
      </c>
      <c r="J2048" s="5">
        <f>VLOOKUP(F2048,'Set up'!$A$2:$D$70,4,FALSE)</f>
        <v>0</v>
      </c>
      <c r="K2048" s="4">
        <f t="shared" si="513"/>
        <v>45170</v>
      </c>
      <c r="L2048" s="5">
        <f t="shared" si="514"/>
        <v>9</v>
      </c>
      <c r="M2048" s="5">
        <f t="shared" si="515"/>
        <v>2023</v>
      </c>
      <c r="N2048" s="96">
        <v>1738</v>
      </c>
      <c r="O2048" s="6">
        <f t="shared" ref="O2048:O2057" si="526">-N2048</f>
        <v>-1738</v>
      </c>
      <c r="P2048" s="6">
        <f t="shared" si="523"/>
        <v>0</v>
      </c>
      <c r="Q2048" s="7">
        <f t="shared" si="525"/>
        <v>3529835.0500000012</v>
      </c>
      <c r="R2048" s="44" t="str">
        <f>VLOOKUP(F2048,'Set up'!$A$2:$E$70,5,FALSE)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511"/>
        <v>9</v>
      </c>
      <c r="C2049" s="5">
        <f t="shared" si="512"/>
        <v>2023</v>
      </c>
      <c r="D2049" s="88" t="s">
        <v>1879</v>
      </c>
      <c r="E2049" s="5" t="str">
        <f>VLOOKUP(F2049,'Set up'!$A$2:$C$70,2,FALSE)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up'!$A$2:$C$70,3,FALSE)</f>
        <v>Cash</v>
      </c>
      <c r="J2049" s="5">
        <f>VLOOKUP(F2049,'Set up'!$A$2:$D$70,4,FALSE)</f>
        <v>0</v>
      </c>
      <c r="K2049" s="4">
        <f t="shared" si="513"/>
        <v>45170</v>
      </c>
      <c r="L2049" s="5">
        <f t="shared" si="514"/>
        <v>9</v>
      </c>
      <c r="M2049" s="5">
        <f t="shared" si="515"/>
        <v>2023</v>
      </c>
      <c r="N2049" s="96">
        <v>62.5</v>
      </c>
      <c r="O2049" s="6">
        <f t="shared" si="526"/>
        <v>-62.5</v>
      </c>
      <c r="P2049" s="6">
        <f t="shared" si="523"/>
        <v>0</v>
      </c>
      <c r="Q2049" s="7">
        <f t="shared" si="525"/>
        <v>3529897.5500000012</v>
      </c>
      <c r="R2049" s="44" t="str">
        <f>VLOOKUP(F2049,'Set up'!$A$2:$E$70,5,FALSE)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511"/>
        <v>9</v>
      </c>
      <c r="C2050" s="5">
        <f t="shared" si="512"/>
        <v>2023</v>
      </c>
      <c r="D2050" s="88" t="s">
        <v>1880</v>
      </c>
      <c r="E2050" s="5" t="str">
        <f>VLOOKUP(F2050,'Set up'!$A$2:$C$70,2,FALSE)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up'!$A$2:$C$70,3,FALSE)</f>
        <v>Cash</v>
      </c>
      <c r="J2050" s="5">
        <f>VLOOKUP(F2050,'Set up'!$A$2:$D$70,4,FALSE)</f>
        <v>0</v>
      </c>
      <c r="K2050" s="4">
        <f t="shared" si="513"/>
        <v>45170</v>
      </c>
      <c r="L2050" s="5">
        <f t="shared" si="514"/>
        <v>9</v>
      </c>
      <c r="M2050" s="5">
        <f t="shared" si="515"/>
        <v>2023</v>
      </c>
      <c r="N2050" s="96">
        <v>9130</v>
      </c>
      <c r="O2050" s="6">
        <f t="shared" si="526"/>
        <v>-9130</v>
      </c>
      <c r="P2050" s="6">
        <f t="shared" si="523"/>
        <v>0</v>
      </c>
      <c r="Q2050" s="7">
        <f t="shared" si="525"/>
        <v>3539027.5500000012</v>
      </c>
      <c r="R2050" s="44" t="str">
        <f>VLOOKUP(F2050,'Set up'!$A$2:$E$70,5,FALSE)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ref="B2051:B2114" si="527">MONTH(A2051)</f>
        <v>9</v>
      </c>
      <c r="C2051" s="5">
        <f t="shared" ref="C2051:C2114" si="528">YEAR(A2051)</f>
        <v>2023</v>
      </c>
      <c r="D2051" s="88" t="s">
        <v>1880</v>
      </c>
      <c r="E2051" s="5" t="str">
        <f>VLOOKUP(F2051,'Set up'!$A$2:$C$70,2,FALSE)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up'!$A$2:$C$70,3,FALSE)</f>
        <v>Cash</v>
      </c>
      <c r="J2051" s="5">
        <f>VLOOKUP(F2051,'Set up'!$A$2:$D$70,4,FALSE)</f>
        <v>0</v>
      </c>
      <c r="K2051" s="4">
        <f t="shared" ref="K2051:K2114" si="529">A2051+J2051</f>
        <v>45170</v>
      </c>
      <c r="L2051" s="5">
        <f t="shared" ref="L2051:L2114" si="530">MONTH(K2051)</f>
        <v>9</v>
      </c>
      <c r="M2051" s="5">
        <f t="shared" ref="M2051:M2114" si="531">YEAR(K2051)</f>
        <v>2023</v>
      </c>
      <c r="N2051" s="96">
        <v>2986.2000000000003</v>
      </c>
      <c r="O2051" s="6">
        <f t="shared" si="526"/>
        <v>-2986.2000000000003</v>
      </c>
      <c r="P2051" s="6">
        <f t="shared" si="523"/>
        <v>0</v>
      </c>
      <c r="Q2051" s="7">
        <f t="shared" si="525"/>
        <v>3542013.7500000014</v>
      </c>
      <c r="R2051" s="44" t="str">
        <f>VLOOKUP(F2051,'Set up'!$A$2:$E$70,5,FALSE)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527"/>
        <v>9</v>
      </c>
      <c r="C2052" s="5">
        <f t="shared" si="528"/>
        <v>2023</v>
      </c>
      <c r="D2052" s="88" t="s">
        <v>1880</v>
      </c>
      <c r="E2052" s="5" t="str">
        <f>VLOOKUP(F2052,'Set up'!$A$2:$C$70,2,FALSE)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up'!$A$2:$C$70,3,FALSE)</f>
        <v>Cash</v>
      </c>
      <c r="J2052" s="5">
        <f>VLOOKUP(F2052,'Set up'!$A$2:$D$70,4,FALSE)</f>
        <v>0</v>
      </c>
      <c r="K2052" s="4">
        <f t="shared" si="529"/>
        <v>45170</v>
      </c>
      <c r="L2052" s="5">
        <f t="shared" si="530"/>
        <v>9</v>
      </c>
      <c r="M2052" s="5">
        <f t="shared" si="531"/>
        <v>2023</v>
      </c>
      <c r="N2052" s="96">
        <v>2580</v>
      </c>
      <c r="O2052" s="6">
        <f t="shared" si="526"/>
        <v>-2580</v>
      </c>
      <c r="P2052" s="6">
        <f t="shared" si="523"/>
        <v>0</v>
      </c>
      <c r="Q2052" s="7">
        <f t="shared" si="525"/>
        <v>3544593.7500000014</v>
      </c>
      <c r="R2052" s="44" t="str">
        <f>VLOOKUP(F2052,'Set up'!$A$2:$E$70,5,FALSE)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527"/>
        <v>9</v>
      </c>
      <c r="C2053" s="5">
        <f t="shared" si="528"/>
        <v>2023</v>
      </c>
      <c r="D2053" s="88" t="s">
        <v>1880</v>
      </c>
      <c r="E2053" s="5" t="str">
        <f>VLOOKUP(F2053,'Set up'!$A$2:$C$70,2,FALSE)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up'!$A$2:$C$70,3,FALSE)</f>
        <v>Cash</v>
      </c>
      <c r="J2053" s="5">
        <f>VLOOKUP(F2053,'Set up'!$A$2:$D$70,4,FALSE)</f>
        <v>0</v>
      </c>
      <c r="K2053" s="4">
        <f t="shared" si="529"/>
        <v>45170</v>
      </c>
      <c r="L2053" s="5">
        <f t="shared" si="530"/>
        <v>9</v>
      </c>
      <c r="M2053" s="5">
        <f t="shared" si="531"/>
        <v>2023</v>
      </c>
      <c r="N2053" s="96">
        <v>440</v>
      </c>
      <c r="O2053" s="6">
        <f t="shared" si="526"/>
        <v>-440</v>
      </c>
      <c r="P2053" s="6">
        <f t="shared" si="523"/>
        <v>0</v>
      </c>
      <c r="Q2053" s="7">
        <f t="shared" si="525"/>
        <v>3545033.7500000014</v>
      </c>
      <c r="R2053" s="44" t="str">
        <f>VLOOKUP(F2053,'Set up'!$A$2:$E$70,5,FALSE)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527"/>
        <v>9</v>
      </c>
      <c r="C2054" s="5">
        <f t="shared" si="528"/>
        <v>2023</v>
      </c>
      <c r="D2054" s="88" t="s">
        <v>1880</v>
      </c>
      <c r="E2054" s="5" t="str">
        <f>VLOOKUP(F2054,'Set up'!$A$2:$C$70,2,FALSE)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up'!$A$2:$C$70,3,FALSE)</f>
        <v>Cash</v>
      </c>
      <c r="J2054" s="5">
        <f>VLOOKUP(F2054,'Set up'!$A$2:$D$70,4,FALSE)</f>
        <v>0</v>
      </c>
      <c r="K2054" s="4">
        <f t="shared" si="529"/>
        <v>45170</v>
      </c>
      <c r="L2054" s="5">
        <f t="shared" si="530"/>
        <v>9</v>
      </c>
      <c r="M2054" s="5">
        <f t="shared" si="531"/>
        <v>2023</v>
      </c>
      <c r="N2054" s="96">
        <v>60</v>
      </c>
      <c r="O2054" s="6">
        <f t="shared" si="526"/>
        <v>-60</v>
      </c>
      <c r="P2054" s="6">
        <f t="shared" si="523"/>
        <v>0</v>
      </c>
      <c r="Q2054" s="7">
        <f t="shared" si="525"/>
        <v>3545093.7500000014</v>
      </c>
      <c r="R2054" s="44" t="str">
        <f>VLOOKUP(F2054,'Set up'!$A$2:$E$70,5,FALSE)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527"/>
        <v>9</v>
      </c>
      <c r="C2055" s="5">
        <f t="shared" si="528"/>
        <v>2023</v>
      </c>
      <c r="D2055" s="88" t="s">
        <v>1880</v>
      </c>
      <c r="E2055" s="5" t="str">
        <f>VLOOKUP(F2055,'Set up'!$A$2:$C$70,2,FALSE)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up'!$A$2:$C$70,3,FALSE)</f>
        <v>Cash</v>
      </c>
      <c r="J2055" s="5">
        <f>VLOOKUP(F2055,'Set up'!$A$2:$D$70,4,FALSE)</f>
        <v>0</v>
      </c>
      <c r="K2055" s="4">
        <f t="shared" si="529"/>
        <v>45170</v>
      </c>
      <c r="L2055" s="5">
        <f t="shared" si="530"/>
        <v>9</v>
      </c>
      <c r="M2055" s="5">
        <f t="shared" si="531"/>
        <v>2023</v>
      </c>
      <c r="N2055" s="96">
        <v>55.2</v>
      </c>
      <c r="O2055" s="6">
        <f t="shared" si="526"/>
        <v>-55.2</v>
      </c>
      <c r="P2055" s="6">
        <f t="shared" si="523"/>
        <v>0</v>
      </c>
      <c r="Q2055" s="7">
        <f t="shared" si="525"/>
        <v>3545148.9500000016</v>
      </c>
      <c r="R2055" s="44" t="str">
        <f>VLOOKUP(F2055,'Set up'!$A$2:$E$70,5,FALSE)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527"/>
        <v>9</v>
      </c>
      <c r="C2056" s="5">
        <f t="shared" si="528"/>
        <v>2023</v>
      </c>
      <c r="D2056" s="88" t="s">
        <v>1880</v>
      </c>
      <c r="E2056" s="5" t="str">
        <f>VLOOKUP(F2056,'Set up'!$A$2:$C$70,2,FALSE)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up'!$A$2:$C$70,3,FALSE)</f>
        <v>Cash</v>
      </c>
      <c r="J2056" s="5">
        <f>VLOOKUP(F2056,'Set up'!$A$2:$D$70,4,FALSE)</f>
        <v>0</v>
      </c>
      <c r="K2056" s="4">
        <f t="shared" si="529"/>
        <v>45170</v>
      </c>
      <c r="L2056" s="5">
        <f t="shared" si="530"/>
        <v>9</v>
      </c>
      <c r="M2056" s="5">
        <f t="shared" si="531"/>
        <v>2023</v>
      </c>
      <c r="N2056" s="96">
        <v>100</v>
      </c>
      <c r="O2056" s="6">
        <f t="shared" si="526"/>
        <v>-100</v>
      </c>
      <c r="P2056" s="6">
        <f t="shared" si="523"/>
        <v>0</v>
      </c>
      <c r="Q2056" s="7">
        <f t="shared" si="525"/>
        <v>3545248.9500000016</v>
      </c>
      <c r="R2056" s="44" t="str">
        <f>VLOOKUP(F2056,'Set up'!$A$2:$E$70,5,FALSE)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527"/>
        <v>9</v>
      </c>
      <c r="C2057" s="5">
        <f t="shared" si="528"/>
        <v>2023</v>
      </c>
      <c r="D2057" s="88" t="s">
        <v>1880</v>
      </c>
      <c r="E2057" s="5" t="str">
        <f>VLOOKUP(F2057,'Set up'!$A$2:$C$70,2,FALSE)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up'!$A$2:$C$70,3,FALSE)</f>
        <v>Cash</v>
      </c>
      <c r="J2057" s="5">
        <f>VLOOKUP(F2057,'Set up'!$A$2:$D$70,4,FALSE)</f>
        <v>0</v>
      </c>
      <c r="K2057" s="4">
        <f t="shared" si="529"/>
        <v>45170</v>
      </c>
      <c r="L2057" s="5">
        <f t="shared" si="530"/>
        <v>9</v>
      </c>
      <c r="M2057" s="5">
        <f t="shared" si="531"/>
        <v>2023</v>
      </c>
      <c r="N2057" s="96">
        <v>430</v>
      </c>
      <c r="O2057" s="6">
        <f t="shared" si="526"/>
        <v>-430</v>
      </c>
      <c r="P2057" s="6">
        <f t="shared" si="523"/>
        <v>0</v>
      </c>
      <c r="Q2057" s="7">
        <f t="shared" si="525"/>
        <v>3545678.9500000016</v>
      </c>
      <c r="R2057" s="44" t="str">
        <f>VLOOKUP(F2057,'Set up'!$A$2:$E$70,5,FALSE)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527"/>
        <v>9</v>
      </c>
      <c r="C2058" s="5">
        <f t="shared" si="528"/>
        <v>2023</v>
      </c>
      <c r="D2058" s="88" t="s">
        <v>1881</v>
      </c>
      <c r="E2058" s="5" t="str">
        <f>VLOOKUP(F2058,'Set up'!$A$2:$C$70,2,FALSE)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up'!$A$2:$C$70,3,FALSE)</f>
        <v>Cash</v>
      </c>
      <c r="J2058" s="5">
        <f>VLOOKUP(F2058,'Set up'!$A$2:$D$70,4,FALSE)</f>
        <v>0</v>
      </c>
      <c r="K2058" s="4">
        <f t="shared" si="529"/>
        <v>45170</v>
      </c>
      <c r="L2058" s="5">
        <f t="shared" si="530"/>
        <v>9</v>
      </c>
      <c r="M2058" s="5">
        <f t="shared" si="531"/>
        <v>2023</v>
      </c>
      <c r="N2058" s="96">
        <v>125</v>
      </c>
      <c r="O2058" s="6">
        <f>-N2058</f>
        <v>-125</v>
      </c>
      <c r="P2058" s="6">
        <f t="shared" si="523"/>
        <v>0</v>
      </c>
      <c r="Q2058" s="7">
        <f t="shared" si="525"/>
        <v>3545803.9500000016</v>
      </c>
      <c r="R2058" s="44" t="str">
        <f>VLOOKUP(F2058,'Set up'!$A$2:$E$70,5,FALSE)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527"/>
        <v>9</v>
      </c>
      <c r="C2059" s="5">
        <f t="shared" si="528"/>
        <v>2023</v>
      </c>
      <c r="D2059" s="88" t="s">
        <v>1882</v>
      </c>
      <c r="E2059" s="5" t="str">
        <f>VLOOKUP(F2059,'Set up'!$A$2:$C$70,2,FALSE)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up'!$A$2:$C$70,3,FALSE)</f>
        <v>Cash</v>
      </c>
      <c r="J2059" s="5">
        <f>VLOOKUP(F2059,'Set up'!$A$2:$D$70,4,FALSE)</f>
        <v>0</v>
      </c>
      <c r="K2059" s="4">
        <f t="shared" si="529"/>
        <v>45170</v>
      </c>
      <c r="L2059" s="5">
        <f t="shared" si="530"/>
        <v>9</v>
      </c>
      <c r="M2059" s="5">
        <f t="shared" si="531"/>
        <v>2023</v>
      </c>
      <c r="N2059" s="96">
        <v>3212</v>
      </c>
      <c r="O2059" s="6">
        <f>-N2059</f>
        <v>-3212</v>
      </c>
      <c r="P2059" s="6">
        <f t="shared" si="523"/>
        <v>0</v>
      </c>
      <c r="Q2059" s="7">
        <f t="shared" si="525"/>
        <v>3549015.9500000016</v>
      </c>
      <c r="R2059" s="44" t="str">
        <f>VLOOKUP(F2059,'Set up'!$A$2:$E$70,5,FALSE)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527"/>
        <v>9</v>
      </c>
      <c r="C2060" s="5">
        <f t="shared" si="528"/>
        <v>2023</v>
      </c>
      <c r="D2060" s="88" t="s">
        <v>1882</v>
      </c>
      <c r="E2060" s="5" t="str">
        <f>VLOOKUP(F2060,'Set up'!$A$2:$C$70,2,FALSE)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up'!$A$2:$C$70,3,FALSE)</f>
        <v>Cash</v>
      </c>
      <c r="J2060" s="5">
        <f>VLOOKUP(F2060,'Set up'!$A$2:$D$70,4,FALSE)</f>
        <v>0</v>
      </c>
      <c r="K2060" s="4">
        <f t="shared" si="529"/>
        <v>45170</v>
      </c>
      <c r="L2060" s="5">
        <f t="shared" si="530"/>
        <v>9</v>
      </c>
      <c r="M2060" s="5">
        <f t="shared" si="531"/>
        <v>2023</v>
      </c>
      <c r="N2060" s="96">
        <v>1134</v>
      </c>
      <c r="O2060" s="6">
        <f>-N2060</f>
        <v>-1134</v>
      </c>
      <c r="P2060" s="6">
        <f t="shared" si="523"/>
        <v>0</v>
      </c>
      <c r="Q2060" s="7">
        <f t="shared" si="525"/>
        <v>3550149.9500000016</v>
      </c>
      <c r="R2060" s="44" t="str">
        <f>VLOOKUP(F2060,'Set up'!$A$2:$E$70,5,FALSE)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527"/>
        <v>9</v>
      </c>
      <c r="C2061" s="5">
        <f t="shared" si="528"/>
        <v>2023</v>
      </c>
      <c r="D2061" s="88" t="s">
        <v>1882</v>
      </c>
      <c r="E2061" s="5" t="str">
        <f>VLOOKUP(F2061,'Set up'!$A$2:$C$70,2,FALSE)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up'!$A$2:$C$70,3,FALSE)</f>
        <v>Cash</v>
      </c>
      <c r="J2061" s="5">
        <f>VLOOKUP(F2061,'Set up'!$A$2:$D$70,4,FALSE)</f>
        <v>0</v>
      </c>
      <c r="K2061" s="4">
        <f t="shared" si="529"/>
        <v>45170</v>
      </c>
      <c r="L2061" s="5">
        <f t="shared" si="530"/>
        <v>9</v>
      </c>
      <c r="M2061" s="5">
        <f t="shared" si="531"/>
        <v>2023</v>
      </c>
      <c r="N2061" s="96">
        <v>600</v>
      </c>
      <c r="O2061" s="6">
        <f>-N2061</f>
        <v>-600</v>
      </c>
      <c r="P2061" s="6">
        <f t="shared" si="523"/>
        <v>0</v>
      </c>
      <c r="Q2061" s="7">
        <f t="shared" si="525"/>
        <v>3550749.9500000016</v>
      </c>
      <c r="R2061" s="44" t="str">
        <f>VLOOKUP(F2061,'Set up'!$A$2:$E$70,5,FALSE)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527"/>
        <v>9</v>
      </c>
      <c r="C2062" s="5">
        <f t="shared" si="528"/>
        <v>2023</v>
      </c>
      <c r="D2062" s="88" t="s">
        <v>1882</v>
      </c>
      <c r="E2062" s="5" t="str">
        <f>VLOOKUP(F2062,'Set up'!$A$2:$C$70,2,FALSE)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up'!$A$2:$C$70,3,FALSE)</f>
        <v>Cash</v>
      </c>
      <c r="J2062" s="5">
        <f>VLOOKUP(F2062,'Set up'!$A$2:$D$70,4,FALSE)</f>
        <v>0</v>
      </c>
      <c r="K2062" s="4">
        <f t="shared" si="529"/>
        <v>45170</v>
      </c>
      <c r="L2062" s="5">
        <f t="shared" si="530"/>
        <v>9</v>
      </c>
      <c r="M2062" s="5">
        <f t="shared" si="531"/>
        <v>2023</v>
      </c>
      <c r="N2062" s="96">
        <v>1000</v>
      </c>
      <c r="O2062" s="6">
        <f>-N2062</f>
        <v>-1000</v>
      </c>
      <c r="P2062" s="6">
        <f t="shared" si="523"/>
        <v>0</v>
      </c>
      <c r="Q2062" s="7">
        <f t="shared" si="525"/>
        <v>3551749.9500000016</v>
      </c>
      <c r="R2062" s="44" t="str">
        <f>VLOOKUP(F2062,'Set up'!$A$2:$E$70,5,FALSE)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527"/>
        <v>9</v>
      </c>
      <c r="C2063" s="5">
        <f t="shared" si="528"/>
        <v>2023</v>
      </c>
      <c r="D2063" s="88" t="s">
        <v>1883</v>
      </c>
      <c r="E2063" s="5" t="str">
        <f>VLOOKUP(F2063,'Set up'!$A$2:$C$70,2,FALSE)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up'!$A$2:$C$70,3,FALSE)</f>
        <v>120</v>
      </c>
      <c r="J2063" s="5">
        <f>VLOOKUP(F2063,'Set up'!$A$2:$D$70,4,FALSE)</f>
        <v>120</v>
      </c>
      <c r="K2063" s="4">
        <f t="shared" si="529"/>
        <v>45294</v>
      </c>
      <c r="L2063" s="5">
        <f t="shared" si="530"/>
        <v>1</v>
      </c>
      <c r="M2063" s="5">
        <f t="shared" si="531"/>
        <v>2024</v>
      </c>
      <c r="N2063" s="96">
        <v>9372</v>
      </c>
      <c r="O2063" s="6">
        <f t="shared" ref="O2063:O2066" si="532">-N2063</f>
        <v>-9372</v>
      </c>
      <c r="P2063" s="6">
        <f t="shared" si="523"/>
        <v>0</v>
      </c>
      <c r="Q2063" s="7">
        <f t="shared" si="525"/>
        <v>3561121.9500000016</v>
      </c>
      <c r="R2063" s="44" t="str">
        <f>VLOOKUP(F2063,'Set up'!$A$2:$E$70,5,FALSE)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527"/>
        <v>9</v>
      </c>
      <c r="C2064" s="5">
        <f t="shared" si="528"/>
        <v>2023</v>
      </c>
      <c r="D2064" s="88" t="s">
        <v>1883</v>
      </c>
      <c r="E2064" s="5" t="str">
        <f>VLOOKUP(F2064,'Set up'!$A$2:$C$70,2,FALSE)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up'!$A$2:$C$70,3,FALSE)</f>
        <v>120</v>
      </c>
      <c r="J2064" s="5">
        <f>VLOOKUP(F2064,'Set up'!$A$2:$D$70,4,FALSE)</f>
        <v>120</v>
      </c>
      <c r="K2064" s="4">
        <f t="shared" si="529"/>
        <v>45294</v>
      </c>
      <c r="L2064" s="5">
        <f t="shared" si="530"/>
        <v>1</v>
      </c>
      <c r="M2064" s="5">
        <f t="shared" si="531"/>
        <v>2024</v>
      </c>
      <c r="N2064" s="96">
        <v>1800</v>
      </c>
      <c r="O2064" s="6">
        <f t="shared" si="532"/>
        <v>-1800</v>
      </c>
      <c r="P2064" s="6">
        <f t="shared" si="523"/>
        <v>0</v>
      </c>
      <c r="Q2064" s="7">
        <f t="shared" si="525"/>
        <v>3562921.9500000016</v>
      </c>
      <c r="R2064" s="44" t="str">
        <f>VLOOKUP(F2064,'Set up'!$A$2:$E$70,5,FALSE)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527"/>
        <v>9</v>
      </c>
      <c r="C2065" s="5">
        <f t="shared" si="528"/>
        <v>2023</v>
      </c>
      <c r="D2065" s="88" t="s">
        <v>1883</v>
      </c>
      <c r="E2065" s="5" t="str">
        <f>VLOOKUP(F2065,'Set up'!$A$2:$C$70,2,FALSE)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up'!$A$2:$C$70,3,FALSE)</f>
        <v>120</v>
      </c>
      <c r="J2065" s="5">
        <f>VLOOKUP(F2065,'Set up'!$A$2:$D$70,4,FALSE)</f>
        <v>120</v>
      </c>
      <c r="K2065" s="4">
        <f t="shared" si="529"/>
        <v>45294</v>
      </c>
      <c r="L2065" s="5">
        <f t="shared" si="530"/>
        <v>1</v>
      </c>
      <c r="M2065" s="5">
        <f t="shared" si="531"/>
        <v>2024</v>
      </c>
      <c r="N2065" s="96">
        <v>575</v>
      </c>
      <c r="O2065" s="6">
        <f t="shared" si="532"/>
        <v>-575</v>
      </c>
      <c r="P2065" s="6">
        <f t="shared" si="523"/>
        <v>0</v>
      </c>
      <c r="Q2065" s="7">
        <f t="shared" si="525"/>
        <v>3563496.9500000016</v>
      </c>
      <c r="R2065" s="44" t="str">
        <f>VLOOKUP(F2065,'Set up'!$A$2:$E$70,5,FALSE)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527"/>
        <v>9</v>
      </c>
      <c r="C2066" s="5">
        <f t="shared" si="528"/>
        <v>2023</v>
      </c>
      <c r="D2066" s="88" t="s">
        <v>1883</v>
      </c>
      <c r="E2066" s="5" t="str">
        <f>VLOOKUP(F2066,'Set up'!$A$2:$C$70,2,FALSE)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up'!$A$2:$C$70,3,FALSE)</f>
        <v>120</v>
      </c>
      <c r="J2066" s="5">
        <f>VLOOKUP(F2066,'Set up'!$A$2:$D$70,4,FALSE)</f>
        <v>120</v>
      </c>
      <c r="K2066" s="4">
        <f t="shared" si="529"/>
        <v>45294</v>
      </c>
      <c r="L2066" s="5">
        <f t="shared" si="530"/>
        <v>1</v>
      </c>
      <c r="M2066" s="5">
        <f t="shared" si="531"/>
        <v>2024</v>
      </c>
      <c r="N2066" s="96">
        <v>420</v>
      </c>
      <c r="O2066" s="6">
        <f t="shared" si="532"/>
        <v>-420</v>
      </c>
      <c r="P2066" s="6">
        <f t="shared" si="523"/>
        <v>0</v>
      </c>
      <c r="Q2066" s="7">
        <f t="shared" si="525"/>
        <v>3563916.9500000016</v>
      </c>
      <c r="R2066" s="44" t="str">
        <f>VLOOKUP(F2066,'Set up'!$A$2:$E$70,5,FALSE)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527"/>
        <v>9</v>
      </c>
      <c r="C2067" s="5">
        <f t="shared" si="528"/>
        <v>2023</v>
      </c>
      <c r="D2067" s="88" t="s">
        <v>1884</v>
      </c>
      <c r="E2067" s="5" t="str">
        <f>VLOOKUP(F2067,'Set up'!$A$2:$C$70,2,FALSE)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up'!$A$2:$C$70,3,FALSE)</f>
        <v>Cash</v>
      </c>
      <c r="J2067" s="5">
        <f>VLOOKUP(F2067,'Set up'!$A$2:$D$70,4,FALSE)</f>
        <v>0</v>
      </c>
      <c r="K2067" s="4">
        <f t="shared" si="529"/>
        <v>45174</v>
      </c>
      <c r="L2067" s="5">
        <f t="shared" si="530"/>
        <v>9</v>
      </c>
      <c r="M2067" s="5">
        <f t="shared" si="531"/>
        <v>2023</v>
      </c>
      <c r="N2067" s="96">
        <v>1738</v>
      </c>
      <c r="O2067" s="6">
        <f t="shared" ref="O2067:O2078" si="533">-N2067</f>
        <v>-1738</v>
      </c>
      <c r="P2067" s="6">
        <f t="shared" si="523"/>
        <v>0</v>
      </c>
      <c r="Q2067" s="7">
        <f t="shared" si="525"/>
        <v>3565654.9500000016</v>
      </c>
      <c r="R2067" s="44" t="str">
        <f>VLOOKUP(F2067,'Set up'!$A$2:$E$70,5,FALSE)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527"/>
        <v>9</v>
      </c>
      <c r="C2068" s="5">
        <f t="shared" si="528"/>
        <v>2023</v>
      </c>
      <c r="D2068" s="88" t="s">
        <v>1885</v>
      </c>
      <c r="E2068" s="5" t="str">
        <f>VLOOKUP(F2068,'Set up'!$A$2:$C$70,2,FALSE)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up'!$A$2:$C$70,3,FALSE)</f>
        <v>Cash</v>
      </c>
      <c r="J2068" s="5">
        <f>VLOOKUP(F2068,'Set up'!$A$2:$D$70,4,FALSE)</f>
        <v>0</v>
      </c>
      <c r="K2068" s="4">
        <f t="shared" si="529"/>
        <v>45175</v>
      </c>
      <c r="L2068" s="5">
        <f t="shared" si="530"/>
        <v>9</v>
      </c>
      <c r="M2068" s="5">
        <f t="shared" si="531"/>
        <v>2023</v>
      </c>
      <c r="N2068" s="96">
        <v>3388</v>
      </c>
      <c r="O2068" s="6">
        <f t="shared" si="533"/>
        <v>-3388</v>
      </c>
      <c r="P2068" s="6">
        <f t="shared" si="523"/>
        <v>0</v>
      </c>
      <c r="Q2068" s="7">
        <f t="shared" si="525"/>
        <v>3569042.9500000016</v>
      </c>
      <c r="R2068" s="44" t="str">
        <f>VLOOKUP(F2068,'Set up'!$A$2:$E$70,5,FALSE)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527"/>
        <v>9</v>
      </c>
      <c r="C2069" s="5">
        <f t="shared" si="528"/>
        <v>2023</v>
      </c>
      <c r="D2069" s="88" t="s">
        <v>1885</v>
      </c>
      <c r="E2069" s="5" t="str">
        <f>VLOOKUP(F2069,'Set up'!$A$2:$C$70,2,FALSE)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up'!$A$2:$C$70,3,FALSE)</f>
        <v>Cash</v>
      </c>
      <c r="J2069" s="5">
        <f>VLOOKUP(F2069,'Set up'!$A$2:$D$70,4,FALSE)</f>
        <v>0</v>
      </c>
      <c r="K2069" s="4">
        <f t="shared" si="529"/>
        <v>45175</v>
      </c>
      <c r="L2069" s="5">
        <f t="shared" si="530"/>
        <v>9</v>
      </c>
      <c r="M2069" s="5">
        <f t="shared" si="531"/>
        <v>2023</v>
      </c>
      <c r="N2069" s="96">
        <v>1404</v>
      </c>
      <c r="O2069" s="6">
        <f t="shared" si="533"/>
        <v>-1404</v>
      </c>
      <c r="P2069" s="6">
        <f t="shared" si="523"/>
        <v>0</v>
      </c>
      <c r="Q2069" s="7">
        <f t="shared" si="525"/>
        <v>3570446.9500000016</v>
      </c>
      <c r="R2069" s="44" t="str">
        <f>VLOOKUP(F2069,'Set up'!$A$2:$E$70,5,FALSE)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527"/>
        <v>9</v>
      </c>
      <c r="C2070" s="5">
        <f t="shared" si="528"/>
        <v>2023</v>
      </c>
      <c r="D2070" s="88" t="s">
        <v>1885</v>
      </c>
      <c r="E2070" s="5" t="str">
        <f>VLOOKUP(F2070,'Set up'!$A$2:$C$70,2,FALSE)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up'!$A$2:$C$70,3,FALSE)</f>
        <v>Cash</v>
      </c>
      <c r="J2070" s="5">
        <f>VLOOKUP(F2070,'Set up'!$A$2:$D$70,4,FALSE)</f>
        <v>0</v>
      </c>
      <c r="K2070" s="4">
        <f t="shared" si="529"/>
        <v>45175</v>
      </c>
      <c r="L2070" s="5">
        <f t="shared" si="530"/>
        <v>9</v>
      </c>
      <c r="M2070" s="5">
        <f t="shared" si="531"/>
        <v>2023</v>
      </c>
      <c r="N2070" s="96">
        <v>645</v>
      </c>
      <c r="O2070" s="6">
        <f t="shared" si="533"/>
        <v>-645</v>
      </c>
      <c r="P2070" s="6">
        <f t="shared" si="523"/>
        <v>0</v>
      </c>
      <c r="Q2070" s="7">
        <f t="shared" si="525"/>
        <v>3571091.9500000016</v>
      </c>
      <c r="R2070" s="44" t="str">
        <f>VLOOKUP(F2070,'Set up'!$A$2:$E$70,5,FALSE)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527"/>
        <v>9</v>
      </c>
      <c r="C2071" s="5">
        <f t="shared" si="528"/>
        <v>2023</v>
      </c>
      <c r="D2071" s="88" t="s">
        <v>1885</v>
      </c>
      <c r="E2071" s="5" t="str">
        <f>VLOOKUP(F2071,'Set up'!$A$2:$C$70,2,FALSE)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up'!$A$2:$C$70,3,FALSE)</f>
        <v>Cash</v>
      </c>
      <c r="J2071" s="5">
        <f>VLOOKUP(F2071,'Set up'!$A$2:$D$70,4,FALSE)</f>
        <v>0</v>
      </c>
      <c r="K2071" s="4">
        <f t="shared" si="529"/>
        <v>45175</v>
      </c>
      <c r="L2071" s="5">
        <f t="shared" si="530"/>
        <v>9</v>
      </c>
      <c r="M2071" s="5">
        <f t="shared" si="531"/>
        <v>2023</v>
      </c>
      <c r="N2071" s="96">
        <v>320</v>
      </c>
      <c r="O2071" s="6">
        <f t="shared" si="533"/>
        <v>-320</v>
      </c>
      <c r="P2071" s="6">
        <f t="shared" si="523"/>
        <v>0</v>
      </c>
      <c r="Q2071" s="7">
        <f t="shared" si="525"/>
        <v>3571411.9500000016</v>
      </c>
      <c r="R2071" s="44" t="str">
        <f>VLOOKUP(F2071,'Set up'!$A$2:$E$70,5,FALSE)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527"/>
        <v>9</v>
      </c>
      <c r="C2072" s="5">
        <f t="shared" si="528"/>
        <v>2023</v>
      </c>
      <c r="D2072" s="88" t="s">
        <v>1885</v>
      </c>
      <c r="E2072" s="5" t="str">
        <f>VLOOKUP(F2072,'Set up'!$A$2:$C$70,2,FALSE)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up'!$A$2:$C$70,3,FALSE)</f>
        <v>Cash</v>
      </c>
      <c r="J2072" s="5">
        <f>VLOOKUP(F2072,'Set up'!$A$2:$D$70,4,FALSE)</f>
        <v>0</v>
      </c>
      <c r="K2072" s="4">
        <f t="shared" si="529"/>
        <v>45175</v>
      </c>
      <c r="L2072" s="5">
        <f t="shared" si="530"/>
        <v>9</v>
      </c>
      <c r="M2072" s="5">
        <f t="shared" si="531"/>
        <v>2023</v>
      </c>
      <c r="N2072" s="96">
        <v>165</v>
      </c>
      <c r="O2072" s="6">
        <f t="shared" si="533"/>
        <v>-165</v>
      </c>
      <c r="P2072" s="6">
        <f t="shared" si="523"/>
        <v>0</v>
      </c>
      <c r="Q2072" s="7">
        <f t="shared" si="525"/>
        <v>3571576.9500000016</v>
      </c>
      <c r="R2072" s="44" t="str">
        <f>VLOOKUP(F2072,'Set up'!$A$2:$E$70,5,FALSE)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527"/>
        <v>9</v>
      </c>
      <c r="C2073" s="5">
        <f t="shared" si="528"/>
        <v>2023</v>
      </c>
      <c r="D2073" s="88" t="s">
        <v>1885</v>
      </c>
      <c r="E2073" s="5" t="str">
        <f>VLOOKUP(F2073,'Set up'!$A$2:$C$70,2,FALSE)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up'!$A$2:$C$70,3,FALSE)</f>
        <v>Cash</v>
      </c>
      <c r="J2073" s="5">
        <f>VLOOKUP(F2073,'Set up'!$A$2:$D$70,4,FALSE)</f>
        <v>0</v>
      </c>
      <c r="K2073" s="4">
        <f t="shared" si="529"/>
        <v>45175</v>
      </c>
      <c r="L2073" s="5">
        <f t="shared" si="530"/>
        <v>9</v>
      </c>
      <c r="M2073" s="5">
        <f t="shared" si="531"/>
        <v>2023</v>
      </c>
      <c r="N2073" s="96">
        <v>95</v>
      </c>
      <c r="O2073" s="6">
        <f t="shared" si="533"/>
        <v>-95</v>
      </c>
      <c r="P2073" s="6">
        <f t="shared" si="523"/>
        <v>0</v>
      </c>
      <c r="Q2073" s="7">
        <f t="shared" si="525"/>
        <v>3571671.9500000016</v>
      </c>
      <c r="R2073" s="44" t="str">
        <f>VLOOKUP(F2073,'Set up'!$A$2:$E$70,5,FALSE)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527"/>
        <v>9</v>
      </c>
      <c r="C2074" s="5">
        <f t="shared" si="528"/>
        <v>2023</v>
      </c>
      <c r="D2074" s="88" t="s">
        <v>1887</v>
      </c>
      <c r="E2074" s="5" t="str">
        <f>VLOOKUP(F2074,'Set up'!$A$2:$C$70,2,FALSE)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up'!$A$2:$C$70,3,FALSE)</f>
        <v>Cash</v>
      </c>
      <c r="J2074" s="5">
        <f>VLOOKUP(F2074,'Set up'!$A$2:$D$70,4,FALSE)</f>
        <v>0</v>
      </c>
      <c r="K2074" s="4">
        <f t="shared" si="529"/>
        <v>45175</v>
      </c>
      <c r="L2074" s="5">
        <f t="shared" si="530"/>
        <v>9</v>
      </c>
      <c r="M2074" s="5">
        <f t="shared" si="531"/>
        <v>2023</v>
      </c>
      <c r="N2074" s="96">
        <v>62.5</v>
      </c>
      <c r="O2074" s="6">
        <f t="shared" si="533"/>
        <v>-62.5</v>
      </c>
      <c r="P2074" s="6">
        <f t="shared" si="523"/>
        <v>0</v>
      </c>
      <c r="Q2074" s="7">
        <f t="shared" si="525"/>
        <v>3571734.4500000016</v>
      </c>
      <c r="R2074" s="44" t="str">
        <f>VLOOKUP(F2074,'Set up'!$A$2:$E$70,5,FALSE)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527"/>
        <v>9</v>
      </c>
      <c r="C2075" s="5">
        <f t="shared" si="528"/>
        <v>2023</v>
      </c>
      <c r="D2075" s="88" t="s">
        <v>1888</v>
      </c>
      <c r="E2075" s="5" t="str">
        <f>VLOOKUP(F2075,'Set up'!$A$2:$C$70,2,FALSE)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up'!$A$2:$C$70,3,FALSE)</f>
        <v>Cash</v>
      </c>
      <c r="J2075" s="5">
        <f>VLOOKUP(F2075,'Set up'!$A$2:$D$70,4,FALSE)</f>
        <v>0</v>
      </c>
      <c r="K2075" s="4">
        <f t="shared" si="529"/>
        <v>45176</v>
      </c>
      <c r="L2075" s="5">
        <f t="shared" si="530"/>
        <v>9</v>
      </c>
      <c r="M2075" s="5">
        <f t="shared" si="531"/>
        <v>2023</v>
      </c>
      <c r="N2075" s="96">
        <v>1738</v>
      </c>
      <c r="O2075" s="6">
        <f t="shared" si="533"/>
        <v>-1738</v>
      </c>
      <c r="P2075" s="6">
        <f t="shared" si="523"/>
        <v>0</v>
      </c>
      <c r="Q2075" s="7">
        <f t="shared" si="525"/>
        <v>3573472.4500000016</v>
      </c>
      <c r="R2075" s="44" t="str">
        <f>VLOOKUP(F2075,'Set up'!$A$2:$E$70,5,FALSE)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527"/>
        <v>9</v>
      </c>
      <c r="C2076" s="5">
        <f t="shared" si="528"/>
        <v>2023</v>
      </c>
      <c r="D2076" s="88" t="s">
        <v>1888</v>
      </c>
      <c r="E2076" s="5" t="str">
        <f>VLOOKUP(F2076,'Set up'!$A$2:$C$70,2,FALSE)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up'!$A$2:$C$70,3,FALSE)</f>
        <v>Cash</v>
      </c>
      <c r="J2076" s="5">
        <f>VLOOKUP(F2076,'Set up'!$A$2:$D$70,4,FALSE)</f>
        <v>0</v>
      </c>
      <c r="K2076" s="4">
        <f t="shared" si="529"/>
        <v>45176</v>
      </c>
      <c r="L2076" s="5">
        <f t="shared" si="530"/>
        <v>9</v>
      </c>
      <c r="M2076" s="5">
        <f t="shared" si="531"/>
        <v>2023</v>
      </c>
      <c r="N2076" s="96">
        <v>468</v>
      </c>
      <c r="O2076" s="6">
        <f t="shared" si="533"/>
        <v>-468</v>
      </c>
      <c r="P2076" s="6">
        <f t="shared" si="523"/>
        <v>0</v>
      </c>
      <c r="Q2076" s="7">
        <f t="shared" si="525"/>
        <v>3573940.4500000016</v>
      </c>
      <c r="R2076" s="44" t="str">
        <f>VLOOKUP(F2076,'Set up'!$A$2:$E$70,5,FALSE)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527"/>
        <v>9</v>
      </c>
      <c r="C2077" s="5">
        <f t="shared" si="528"/>
        <v>2023</v>
      </c>
      <c r="D2077" s="88" t="s">
        <v>1888</v>
      </c>
      <c r="E2077" s="5" t="str">
        <f>VLOOKUP(F2077,'Set up'!$A$2:$C$70,2,FALSE)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up'!$A$2:$C$70,3,FALSE)</f>
        <v>Cash</v>
      </c>
      <c r="J2077" s="5">
        <f>VLOOKUP(F2077,'Set up'!$A$2:$D$70,4,FALSE)</f>
        <v>0</v>
      </c>
      <c r="K2077" s="4">
        <f t="shared" si="529"/>
        <v>45176</v>
      </c>
      <c r="L2077" s="5">
        <f t="shared" si="530"/>
        <v>9</v>
      </c>
      <c r="M2077" s="5">
        <f t="shared" si="531"/>
        <v>2023</v>
      </c>
      <c r="N2077" s="96">
        <v>95</v>
      </c>
      <c r="O2077" s="6">
        <f t="shared" si="533"/>
        <v>-95</v>
      </c>
      <c r="P2077" s="6">
        <f t="shared" si="523"/>
        <v>0</v>
      </c>
      <c r="Q2077" s="7">
        <f t="shared" si="525"/>
        <v>3574035.4500000016</v>
      </c>
      <c r="R2077" s="44" t="str">
        <f>VLOOKUP(F2077,'Set up'!$A$2:$E$70,5,FALSE)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527"/>
        <v>9</v>
      </c>
      <c r="C2078" s="5">
        <f t="shared" si="528"/>
        <v>2023</v>
      </c>
      <c r="D2078" s="88" t="s">
        <v>1888</v>
      </c>
      <c r="E2078" s="5" t="str">
        <f>VLOOKUP(F2078,'Set up'!$A$2:$C$70,2,FALSE)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up'!$A$2:$C$70,3,FALSE)</f>
        <v>Cash</v>
      </c>
      <c r="J2078" s="5">
        <f>VLOOKUP(F2078,'Set up'!$A$2:$D$70,4,FALSE)</f>
        <v>0</v>
      </c>
      <c r="K2078" s="4">
        <f t="shared" si="529"/>
        <v>45176</v>
      </c>
      <c r="L2078" s="5">
        <f t="shared" si="530"/>
        <v>9</v>
      </c>
      <c r="M2078" s="5">
        <f t="shared" si="531"/>
        <v>2023</v>
      </c>
      <c r="N2078" s="96">
        <v>312.5</v>
      </c>
      <c r="O2078" s="6">
        <f t="shared" si="533"/>
        <v>-312.5</v>
      </c>
      <c r="P2078" s="6">
        <f t="shared" si="523"/>
        <v>0</v>
      </c>
      <c r="Q2078" s="7">
        <f t="shared" si="525"/>
        <v>3574347.9500000016</v>
      </c>
      <c r="R2078" s="44" t="str">
        <f>VLOOKUP(F2078,'Set up'!$A$2:$E$70,5,FALSE)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527"/>
        <v>9</v>
      </c>
      <c r="C2079" s="5">
        <f t="shared" si="528"/>
        <v>2023</v>
      </c>
      <c r="D2079" s="88" t="s">
        <v>1889</v>
      </c>
      <c r="E2079" s="5" t="str">
        <f>VLOOKUP(F2079,'Set up'!$A$2:$C$70,2,FALSE)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up'!$A$2:$C$70,3,FALSE)</f>
        <v>Cash</v>
      </c>
      <c r="J2079" s="5">
        <f>VLOOKUP(F2079,'Set up'!$A$2:$D$70,4,FALSE)</f>
        <v>0</v>
      </c>
      <c r="K2079" s="4">
        <f t="shared" si="529"/>
        <v>45177</v>
      </c>
      <c r="L2079" s="5">
        <f t="shared" si="530"/>
        <v>9</v>
      </c>
      <c r="M2079" s="5">
        <f t="shared" si="531"/>
        <v>2023</v>
      </c>
      <c r="N2079" s="96">
        <v>1738</v>
      </c>
      <c r="O2079" s="6">
        <f>-158.6-1500-79.4</f>
        <v>-1738</v>
      </c>
      <c r="P2079" s="6">
        <f t="shared" si="523"/>
        <v>0</v>
      </c>
      <c r="Q2079" s="7">
        <f t="shared" si="525"/>
        <v>3576085.9500000016</v>
      </c>
      <c r="R2079" s="44" t="str">
        <f>VLOOKUP(F2079,'Set up'!$A$2:$E$70,5,FALSE)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527"/>
        <v>9</v>
      </c>
      <c r="C2080" s="5">
        <f t="shared" si="528"/>
        <v>2023</v>
      </c>
      <c r="D2080" s="88" t="s">
        <v>1889</v>
      </c>
      <c r="E2080" s="5" t="str">
        <f>VLOOKUP(F2080,'Set up'!$A$2:$C$70,2,FALSE)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up'!$A$2:$C$70,3,FALSE)</f>
        <v>Cash</v>
      </c>
      <c r="J2080" s="5">
        <f>VLOOKUP(F2080,'Set up'!$A$2:$D$70,4,FALSE)</f>
        <v>0</v>
      </c>
      <c r="K2080" s="4">
        <f t="shared" si="529"/>
        <v>45177</v>
      </c>
      <c r="L2080" s="5">
        <f t="shared" si="530"/>
        <v>9</v>
      </c>
      <c r="M2080" s="5">
        <f t="shared" si="531"/>
        <v>2023</v>
      </c>
      <c r="N2080" s="96">
        <v>522.6</v>
      </c>
      <c r="O2080" s="6">
        <f t="shared" ref="O2080:O2083" si="534">-N2080</f>
        <v>-522.6</v>
      </c>
      <c r="P2080" s="6">
        <f t="shared" si="523"/>
        <v>0</v>
      </c>
      <c r="Q2080" s="7">
        <f t="shared" si="525"/>
        <v>3576608.5500000017</v>
      </c>
      <c r="R2080" s="44" t="str">
        <f>VLOOKUP(F2080,'Set up'!$A$2:$E$70,5,FALSE)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527"/>
        <v>9</v>
      </c>
      <c r="C2081" s="5">
        <f t="shared" si="528"/>
        <v>2023</v>
      </c>
      <c r="D2081" s="88" t="s">
        <v>1889</v>
      </c>
      <c r="E2081" s="5" t="str">
        <f>VLOOKUP(F2081,'Set up'!$A$2:$C$70,2,FALSE)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up'!$A$2:$C$70,3,FALSE)</f>
        <v>Cash</v>
      </c>
      <c r="J2081" s="5">
        <f>VLOOKUP(F2081,'Set up'!$A$2:$D$70,4,FALSE)</f>
        <v>0</v>
      </c>
      <c r="K2081" s="4">
        <f t="shared" si="529"/>
        <v>45177</v>
      </c>
      <c r="L2081" s="5">
        <f t="shared" si="530"/>
        <v>9</v>
      </c>
      <c r="M2081" s="5">
        <f t="shared" si="531"/>
        <v>2023</v>
      </c>
      <c r="N2081" s="96">
        <v>250</v>
      </c>
      <c r="O2081" s="6">
        <f t="shared" si="534"/>
        <v>-250</v>
      </c>
      <c r="P2081" s="6">
        <f t="shared" si="523"/>
        <v>0</v>
      </c>
      <c r="Q2081" s="7">
        <f t="shared" si="525"/>
        <v>3576858.5500000017</v>
      </c>
      <c r="R2081" s="44" t="str">
        <f>VLOOKUP(F2081,'Set up'!$A$2:$E$70,5,FALSE)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527"/>
        <v>9</v>
      </c>
      <c r="C2082" s="5">
        <f t="shared" si="528"/>
        <v>2023</v>
      </c>
      <c r="D2082" s="88" t="s">
        <v>1889</v>
      </c>
      <c r="E2082" s="5" t="str">
        <f>VLOOKUP(F2082,'Set up'!$A$2:$C$70,2,FALSE)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up'!$A$2:$C$70,3,FALSE)</f>
        <v>Cash</v>
      </c>
      <c r="J2082" s="5">
        <f>VLOOKUP(F2082,'Set up'!$A$2:$D$70,4,FALSE)</f>
        <v>0</v>
      </c>
      <c r="K2082" s="4">
        <f t="shared" si="529"/>
        <v>45177</v>
      </c>
      <c r="L2082" s="5">
        <f t="shared" si="530"/>
        <v>9</v>
      </c>
      <c r="M2082" s="5">
        <f t="shared" si="531"/>
        <v>2023</v>
      </c>
      <c r="N2082" s="96">
        <v>105</v>
      </c>
      <c r="O2082" s="6">
        <f t="shared" si="534"/>
        <v>-105</v>
      </c>
      <c r="P2082" s="6">
        <f t="shared" si="523"/>
        <v>0</v>
      </c>
      <c r="Q2082" s="7">
        <f t="shared" si="525"/>
        <v>3576963.5500000017</v>
      </c>
      <c r="R2082" s="44" t="str">
        <f>VLOOKUP(F2082,'Set up'!$A$2:$E$70,5,FALSE)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527"/>
        <v>9</v>
      </c>
      <c r="C2083" s="5">
        <f t="shared" si="528"/>
        <v>2023</v>
      </c>
      <c r="D2083" s="88" t="s">
        <v>1889</v>
      </c>
      <c r="E2083" s="5" t="str">
        <f>VLOOKUP(F2083,'Set up'!$A$2:$C$70,2,FALSE)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up'!$A$2:$C$70,3,FALSE)</f>
        <v>Cash</v>
      </c>
      <c r="J2083" s="5">
        <f>VLOOKUP(F2083,'Set up'!$A$2:$D$70,4,FALSE)</f>
        <v>0</v>
      </c>
      <c r="K2083" s="4">
        <f t="shared" si="529"/>
        <v>45177</v>
      </c>
      <c r="L2083" s="5">
        <f t="shared" si="530"/>
        <v>9</v>
      </c>
      <c r="M2083" s="5">
        <f t="shared" si="531"/>
        <v>2023</v>
      </c>
      <c r="N2083" s="96">
        <v>390</v>
      </c>
      <c r="O2083" s="6">
        <f t="shared" si="534"/>
        <v>-390</v>
      </c>
      <c r="P2083" s="6">
        <f t="shared" si="523"/>
        <v>0</v>
      </c>
      <c r="Q2083" s="7">
        <f t="shared" si="525"/>
        <v>3577353.5500000017</v>
      </c>
      <c r="R2083" s="44" t="str">
        <f>VLOOKUP(F2083,'Set up'!$A$2:$E$70,5,FALSE)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527"/>
        <v>9</v>
      </c>
      <c r="C2084" s="5">
        <f t="shared" si="528"/>
        <v>2023</v>
      </c>
      <c r="D2084" s="88" t="s">
        <v>1890</v>
      </c>
      <c r="E2084" s="5" t="str">
        <f>VLOOKUP(F2084,'Set up'!$A$2:$C$70,2,FALSE)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up'!$A$2:$C$70,3,FALSE)</f>
        <v>60</v>
      </c>
      <c r="J2084" s="5">
        <f>VLOOKUP(F2084,'Set up'!$A$2:$D$70,4,FALSE)</f>
        <v>60</v>
      </c>
      <c r="K2084" s="4">
        <f t="shared" si="529"/>
        <v>45237</v>
      </c>
      <c r="L2084" s="5">
        <f t="shared" si="530"/>
        <v>11</v>
      </c>
      <c r="M2084" s="5">
        <f t="shared" si="531"/>
        <v>2023</v>
      </c>
      <c r="N2084" s="96">
        <v>540</v>
      </c>
      <c r="O2084" s="6">
        <f t="shared" ref="O2084" si="535">-N2084</f>
        <v>-540</v>
      </c>
      <c r="P2084" s="6">
        <f t="shared" si="523"/>
        <v>0</v>
      </c>
      <c r="Q2084" s="7">
        <f t="shared" si="525"/>
        <v>3577893.5500000017</v>
      </c>
      <c r="R2084" s="44" t="str">
        <f>VLOOKUP(F2084,'Set up'!$A$2:$E$70,5,FALSE)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527"/>
        <v>9</v>
      </c>
      <c r="C2085" s="5">
        <f t="shared" si="528"/>
        <v>2023</v>
      </c>
      <c r="D2085" s="88" t="s">
        <v>1891</v>
      </c>
      <c r="E2085" s="5" t="str">
        <f>VLOOKUP(F2085,'Set up'!$A$2:$C$70,2,FALSE)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up'!$A$2:$C$70,3,FALSE)</f>
        <v>Cash</v>
      </c>
      <c r="J2085" s="5">
        <f>VLOOKUP(F2085,'Set up'!$A$2:$D$70,4,FALSE)</f>
        <v>0</v>
      </c>
      <c r="K2085" s="4">
        <f t="shared" si="529"/>
        <v>45178</v>
      </c>
      <c r="L2085" s="5">
        <f t="shared" si="530"/>
        <v>9</v>
      </c>
      <c r="M2085" s="5">
        <f t="shared" si="531"/>
        <v>2023</v>
      </c>
      <c r="N2085" s="96">
        <v>125</v>
      </c>
      <c r="O2085" s="6">
        <f>-N2085</f>
        <v>-125</v>
      </c>
      <c r="P2085" s="6">
        <f t="shared" si="523"/>
        <v>0</v>
      </c>
      <c r="Q2085" s="7">
        <f t="shared" si="525"/>
        <v>3578018.5500000017</v>
      </c>
      <c r="R2085" s="44" t="str">
        <f>VLOOKUP(F2085,'Set up'!$A$2:$E$70,5,FALSE)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527"/>
        <v>9</v>
      </c>
      <c r="C2086" s="5">
        <f t="shared" si="528"/>
        <v>2023</v>
      </c>
      <c r="D2086" s="88" t="s">
        <v>1892</v>
      </c>
      <c r="E2086" s="5" t="str">
        <f>VLOOKUP(F2086,'Set up'!$A$2:$C$70,2,FALSE)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up'!$A$2:$C$70,3,FALSE)</f>
        <v>Cash</v>
      </c>
      <c r="J2086" s="5">
        <f>VLOOKUP(F2086,'Set up'!$A$2:$D$70,4,FALSE)</f>
        <v>0</v>
      </c>
      <c r="K2086" s="4">
        <f t="shared" si="529"/>
        <v>45178</v>
      </c>
      <c r="L2086" s="5">
        <f t="shared" si="530"/>
        <v>9</v>
      </c>
      <c r="M2086" s="5">
        <f t="shared" si="531"/>
        <v>2023</v>
      </c>
      <c r="N2086" s="96">
        <v>3212</v>
      </c>
      <c r="O2086" s="6">
        <f>-N2086</f>
        <v>-3212</v>
      </c>
      <c r="P2086" s="6">
        <f t="shared" si="523"/>
        <v>0</v>
      </c>
      <c r="Q2086" s="7">
        <f t="shared" si="525"/>
        <v>3581230.5500000017</v>
      </c>
      <c r="R2086" s="44" t="str">
        <f>VLOOKUP(F2086,'Set up'!$A$2:$E$70,5,FALSE)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527"/>
        <v>9</v>
      </c>
      <c r="C2087" s="5">
        <f t="shared" si="528"/>
        <v>2023</v>
      </c>
      <c r="D2087" s="88" t="s">
        <v>1892</v>
      </c>
      <c r="E2087" s="5" t="str">
        <f>VLOOKUP(F2087,'Set up'!$A$2:$C$70,2,FALSE)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up'!$A$2:$C$70,3,FALSE)</f>
        <v>Cash</v>
      </c>
      <c r="J2087" s="5">
        <f>VLOOKUP(F2087,'Set up'!$A$2:$D$70,4,FALSE)</f>
        <v>0</v>
      </c>
      <c r="K2087" s="4">
        <f t="shared" si="529"/>
        <v>45178</v>
      </c>
      <c r="L2087" s="5">
        <f t="shared" si="530"/>
        <v>9</v>
      </c>
      <c r="M2087" s="5">
        <f t="shared" si="531"/>
        <v>2023</v>
      </c>
      <c r="N2087" s="96">
        <v>1134</v>
      </c>
      <c r="O2087" s="6">
        <f>-N2087</f>
        <v>-1134</v>
      </c>
      <c r="P2087" s="6">
        <f t="shared" si="523"/>
        <v>0</v>
      </c>
      <c r="Q2087" s="7">
        <f t="shared" si="525"/>
        <v>3582364.5500000017</v>
      </c>
      <c r="R2087" s="44" t="str">
        <f>VLOOKUP(F2087,'Set up'!$A$2:$E$70,5,FALSE)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527"/>
        <v>9</v>
      </c>
      <c r="C2088" s="5">
        <f t="shared" si="528"/>
        <v>2023</v>
      </c>
      <c r="D2088" s="88" t="s">
        <v>1892</v>
      </c>
      <c r="E2088" s="5" t="str">
        <f>VLOOKUP(F2088,'Set up'!$A$2:$C$70,2,FALSE)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up'!$A$2:$C$70,3,FALSE)</f>
        <v>Cash</v>
      </c>
      <c r="J2088" s="5">
        <f>VLOOKUP(F2088,'Set up'!$A$2:$D$70,4,FALSE)</f>
        <v>0</v>
      </c>
      <c r="K2088" s="4">
        <f t="shared" si="529"/>
        <v>45178</v>
      </c>
      <c r="L2088" s="5">
        <f t="shared" si="530"/>
        <v>9</v>
      </c>
      <c r="M2088" s="5">
        <f t="shared" si="531"/>
        <v>2023</v>
      </c>
      <c r="N2088" s="96">
        <v>400</v>
      </c>
      <c r="O2088" s="6">
        <f>-N2088</f>
        <v>-400</v>
      </c>
      <c r="P2088" s="6">
        <f t="shared" si="523"/>
        <v>0</v>
      </c>
      <c r="Q2088" s="7">
        <f t="shared" si="525"/>
        <v>3582764.5500000017</v>
      </c>
      <c r="R2088" s="44" t="str">
        <f>VLOOKUP(F2088,'Set up'!$A$2:$E$70,5,FALSE)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527"/>
        <v>9</v>
      </c>
      <c r="C2089" s="5">
        <f t="shared" si="528"/>
        <v>2023</v>
      </c>
      <c r="D2089" s="88" t="s">
        <v>1892</v>
      </c>
      <c r="E2089" s="5" t="str">
        <f>VLOOKUP(F2089,'Set up'!$A$2:$C$70,2,FALSE)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up'!$A$2:$C$70,3,FALSE)</f>
        <v>Cash</v>
      </c>
      <c r="J2089" s="5">
        <f>VLOOKUP(F2089,'Set up'!$A$2:$D$70,4,FALSE)</f>
        <v>0</v>
      </c>
      <c r="K2089" s="4">
        <f t="shared" si="529"/>
        <v>45178</v>
      </c>
      <c r="L2089" s="5">
        <f t="shared" si="530"/>
        <v>9</v>
      </c>
      <c r="M2089" s="5">
        <f t="shared" si="531"/>
        <v>2023</v>
      </c>
      <c r="N2089" s="96">
        <v>1000</v>
      </c>
      <c r="O2089" s="6">
        <f>-N2089</f>
        <v>-1000</v>
      </c>
      <c r="P2089" s="6">
        <f t="shared" si="523"/>
        <v>0</v>
      </c>
      <c r="Q2089" s="7">
        <f t="shared" si="525"/>
        <v>3583764.5500000017</v>
      </c>
      <c r="R2089" s="44" t="str">
        <f>VLOOKUP(F2089,'Set up'!$A$2:$E$70,5,FALSE)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527"/>
        <v>9</v>
      </c>
      <c r="C2090" s="5">
        <f t="shared" si="528"/>
        <v>2023</v>
      </c>
      <c r="D2090" s="88" t="s">
        <v>1893</v>
      </c>
      <c r="E2090" s="5" t="str">
        <f>VLOOKUP(F2090,'Set up'!$A$2:$C$70,2,FALSE)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up'!$A$2:$C$70,3,FALSE)</f>
        <v>Cash</v>
      </c>
      <c r="J2090" s="5">
        <f>VLOOKUP(F2090,'Set up'!$A$2:$D$70,4,FALSE)</f>
        <v>0</v>
      </c>
      <c r="K2090" s="4">
        <f t="shared" si="529"/>
        <v>45178</v>
      </c>
      <c r="L2090" s="5">
        <f t="shared" si="530"/>
        <v>9</v>
      </c>
      <c r="M2090" s="5">
        <f t="shared" si="531"/>
        <v>2023</v>
      </c>
      <c r="N2090" s="96">
        <v>48</v>
      </c>
      <c r="O2090" s="6">
        <f t="shared" ref="O2090:O2093" si="536">-N2090</f>
        <v>-48</v>
      </c>
      <c r="P2090" s="6">
        <f t="shared" si="523"/>
        <v>0</v>
      </c>
      <c r="Q2090" s="7">
        <f t="shared" si="525"/>
        <v>3583812.5500000017</v>
      </c>
      <c r="R2090" s="44" t="str">
        <f>VLOOKUP(F2090,'Set up'!$A$2:$E$70,5,FALSE)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527"/>
        <v>9</v>
      </c>
      <c r="C2091" s="5">
        <f t="shared" si="528"/>
        <v>2023</v>
      </c>
      <c r="D2091" s="88" t="s">
        <v>1896</v>
      </c>
      <c r="E2091" s="5" t="str">
        <f>VLOOKUP(F2091,'Set up'!$A$2:$C$70,2,FALSE)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up'!$A$2:$C$70,3,FALSE)</f>
        <v>Cash</v>
      </c>
      <c r="J2091" s="5">
        <f>VLOOKUP(F2091,'Set up'!$A$2:$D$70,4,FALSE)</f>
        <v>0</v>
      </c>
      <c r="K2091" s="4">
        <f t="shared" si="529"/>
        <v>45180</v>
      </c>
      <c r="L2091" s="5">
        <f t="shared" si="530"/>
        <v>9</v>
      </c>
      <c r="M2091" s="5">
        <f t="shared" si="531"/>
        <v>2023</v>
      </c>
      <c r="N2091" s="96">
        <v>1738</v>
      </c>
      <c r="O2091" s="6">
        <f t="shared" si="536"/>
        <v>-1738</v>
      </c>
      <c r="P2091" s="6">
        <f t="shared" si="523"/>
        <v>0</v>
      </c>
      <c r="Q2091" s="7">
        <f t="shared" si="525"/>
        <v>3585550.5500000017</v>
      </c>
      <c r="R2091" s="44" t="str">
        <f>VLOOKUP(F2091,'Set up'!$A$2:$E$70,5,FALSE)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527"/>
        <v>9</v>
      </c>
      <c r="C2092" s="5">
        <f t="shared" si="528"/>
        <v>2023</v>
      </c>
      <c r="D2092" s="88" t="s">
        <v>1896</v>
      </c>
      <c r="E2092" s="5" t="str">
        <f>VLOOKUP(F2092,'Set up'!$A$2:$C$70,2,FALSE)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up'!$A$2:$C$70,3,FALSE)</f>
        <v>Cash</v>
      </c>
      <c r="J2092" s="5">
        <f>VLOOKUP(F2092,'Set up'!$A$2:$D$70,4,FALSE)</f>
        <v>0</v>
      </c>
      <c r="K2092" s="4">
        <f t="shared" si="529"/>
        <v>45180</v>
      </c>
      <c r="L2092" s="5">
        <f t="shared" si="530"/>
        <v>9</v>
      </c>
      <c r="M2092" s="5">
        <f t="shared" si="531"/>
        <v>2023</v>
      </c>
      <c r="N2092" s="96">
        <v>48</v>
      </c>
      <c r="O2092" s="6">
        <f t="shared" si="536"/>
        <v>-48</v>
      </c>
      <c r="P2092" s="6">
        <f t="shared" si="523"/>
        <v>0</v>
      </c>
      <c r="Q2092" s="7">
        <f t="shared" si="525"/>
        <v>3585598.5500000017</v>
      </c>
      <c r="R2092" s="44" t="str">
        <f>VLOOKUP(F2092,'Set up'!$A$2:$E$70,5,FALSE)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527"/>
        <v>9</v>
      </c>
      <c r="C2093" s="5">
        <f t="shared" si="528"/>
        <v>2023</v>
      </c>
      <c r="D2093" s="88" t="s">
        <v>1896</v>
      </c>
      <c r="E2093" s="5" t="str">
        <f>VLOOKUP(F2093,'Set up'!$A$2:$C$70,2,FALSE)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up'!$A$2:$C$70,3,FALSE)</f>
        <v>Cash</v>
      </c>
      <c r="J2093" s="5">
        <f>VLOOKUP(F2093,'Set up'!$A$2:$D$70,4,FALSE)</f>
        <v>0</v>
      </c>
      <c r="K2093" s="4">
        <f t="shared" si="529"/>
        <v>45180</v>
      </c>
      <c r="L2093" s="5">
        <f t="shared" si="530"/>
        <v>9</v>
      </c>
      <c r="M2093" s="5">
        <f t="shared" si="531"/>
        <v>2023</v>
      </c>
      <c r="N2093" s="96">
        <v>340</v>
      </c>
      <c r="O2093" s="6">
        <f t="shared" si="536"/>
        <v>-340</v>
      </c>
      <c r="P2093" s="6">
        <f t="shared" si="523"/>
        <v>0</v>
      </c>
      <c r="Q2093" s="7">
        <f t="shared" si="525"/>
        <v>3585938.5500000017</v>
      </c>
      <c r="R2093" s="44" t="str">
        <f>VLOOKUP(F2093,'Set up'!$A$2:$E$70,5,FALSE)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527"/>
        <v>9</v>
      </c>
      <c r="C2094" s="5">
        <f t="shared" si="528"/>
        <v>2023</v>
      </c>
      <c r="D2094" s="88" t="s">
        <v>1897</v>
      </c>
      <c r="E2094" s="5" t="str">
        <f>VLOOKUP(F2094,'Set up'!$A$2:$C$70,2,FALSE)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up'!$A$2:$C$70,3,FALSE)</f>
        <v>Cash</v>
      </c>
      <c r="J2094" s="5">
        <f>VLOOKUP(F2094,'Set up'!$A$2:$D$70,4,FALSE)</f>
        <v>0</v>
      </c>
      <c r="K2094" s="4">
        <f t="shared" si="529"/>
        <v>45181</v>
      </c>
      <c r="L2094" s="5">
        <f t="shared" si="530"/>
        <v>9</v>
      </c>
      <c r="M2094" s="5">
        <f t="shared" si="531"/>
        <v>2023</v>
      </c>
      <c r="N2094" s="96">
        <v>1738</v>
      </c>
      <c r="O2094" s="6">
        <f>-6.7-1731.3</f>
        <v>-1738</v>
      </c>
      <c r="P2094" s="6">
        <f t="shared" ref="P2094:P2118" si="537">SUM(N2094+O2094)</f>
        <v>0</v>
      </c>
      <c r="Q2094" s="7">
        <f t="shared" si="525"/>
        <v>3587676.5500000017</v>
      </c>
      <c r="R2094" s="44" t="str">
        <f>VLOOKUP(F2094,'Set up'!$A$2:$E$70,5,FALSE)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527"/>
        <v>9</v>
      </c>
      <c r="C2095" s="5">
        <f t="shared" si="528"/>
        <v>2023</v>
      </c>
      <c r="D2095" s="88" t="s">
        <v>1897</v>
      </c>
      <c r="E2095" s="5" t="str">
        <f>VLOOKUP(F2095,'Set up'!$A$2:$C$70,2,FALSE)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up'!$A$2:$C$70,3,FALSE)</f>
        <v>Cash</v>
      </c>
      <c r="J2095" s="5">
        <f>VLOOKUP(F2095,'Set up'!$A$2:$D$70,4,FALSE)</f>
        <v>0</v>
      </c>
      <c r="K2095" s="4">
        <f t="shared" si="529"/>
        <v>45181</v>
      </c>
      <c r="L2095" s="5">
        <f t="shared" si="530"/>
        <v>9</v>
      </c>
      <c r="M2095" s="5">
        <f t="shared" si="531"/>
        <v>2023</v>
      </c>
      <c r="N2095" s="96">
        <v>219</v>
      </c>
      <c r="O2095" s="6">
        <f t="shared" ref="O2095:O2100" si="538">-N2095</f>
        <v>-219</v>
      </c>
      <c r="P2095" s="6">
        <f t="shared" si="537"/>
        <v>0</v>
      </c>
      <c r="Q2095" s="7">
        <f t="shared" si="525"/>
        <v>3587895.5500000017</v>
      </c>
      <c r="R2095" s="44" t="str">
        <f>VLOOKUP(F2095,'Set up'!$A$2:$E$70,5,FALSE)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527"/>
        <v>9</v>
      </c>
      <c r="C2096" s="5">
        <f t="shared" si="528"/>
        <v>2023</v>
      </c>
      <c r="D2096" s="88" t="s">
        <v>1897</v>
      </c>
      <c r="E2096" s="5" t="str">
        <f>VLOOKUP(F2096,'Set up'!$A$2:$C$70,2,FALSE)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up'!$A$2:$C$70,3,FALSE)</f>
        <v>Cash</v>
      </c>
      <c r="J2096" s="5">
        <f>VLOOKUP(F2096,'Set up'!$A$2:$D$70,4,FALSE)</f>
        <v>0</v>
      </c>
      <c r="K2096" s="4">
        <f t="shared" si="529"/>
        <v>45181</v>
      </c>
      <c r="L2096" s="5">
        <f t="shared" si="530"/>
        <v>9</v>
      </c>
      <c r="M2096" s="5">
        <f t="shared" si="531"/>
        <v>2023</v>
      </c>
      <c r="N2096" s="96">
        <v>438</v>
      </c>
      <c r="O2096" s="6">
        <f>-49.7-388.3</f>
        <v>-438</v>
      </c>
      <c r="P2096" s="6">
        <f t="shared" si="537"/>
        <v>0</v>
      </c>
      <c r="Q2096" s="7">
        <f t="shared" si="525"/>
        <v>3588333.5500000017</v>
      </c>
      <c r="R2096" s="44" t="str">
        <f>VLOOKUP(F2096,'Set up'!$A$2:$E$70,5,FALSE)</f>
        <v>Trsf</v>
      </c>
      <c r="S2096" s="1" t="s">
        <v>2406</v>
      </c>
    </row>
    <row r="2097" spans="1:21" ht="15" customHeight="1" x14ac:dyDescent="0.35">
      <c r="A2097" s="4">
        <v>45181</v>
      </c>
      <c r="B2097" s="5">
        <f t="shared" si="527"/>
        <v>9</v>
      </c>
      <c r="C2097" s="5">
        <f t="shared" si="528"/>
        <v>2023</v>
      </c>
      <c r="D2097" s="88" t="s">
        <v>1897</v>
      </c>
      <c r="E2097" s="5" t="str">
        <f>VLOOKUP(F2097,'Set up'!$A$2:$C$70,2,FALSE)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up'!$A$2:$C$70,3,FALSE)</f>
        <v>Cash</v>
      </c>
      <c r="J2097" s="5">
        <f>VLOOKUP(F2097,'Set up'!$A$2:$D$70,4,FALSE)</f>
        <v>0</v>
      </c>
      <c r="K2097" s="4">
        <f t="shared" si="529"/>
        <v>45181</v>
      </c>
      <c r="L2097" s="5">
        <f t="shared" si="530"/>
        <v>9</v>
      </c>
      <c r="M2097" s="5">
        <f t="shared" si="531"/>
        <v>2023</v>
      </c>
      <c r="N2097" s="96">
        <v>236</v>
      </c>
      <c r="O2097" s="6">
        <f t="shared" si="538"/>
        <v>-236</v>
      </c>
      <c r="P2097" s="6">
        <f t="shared" si="537"/>
        <v>0</v>
      </c>
      <c r="Q2097" s="7">
        <f t="shared" si="525"/>
        <v>3588569.5500000017</v>
      </c>
      <c r="R2097" s="44" t="str">
        <f>VLOOKUP(F2097,'Set up'!$A$2:$E$70,5,FALSE)</f>
        <v>Trsf</v>
      </c>
      <c r="S2097" s="1" t="s">
        <v>2407</v>
      </c>
    </row>
    <row r="2098" spans="1:21" ht="15" customHeight="1" x14ac:dyDescent="0.35">
      <c r="A2098" s="4">
        <v>45181</v>
      </c>
      <c r="B2098" s="5">
        <f t="shared" si="527"/>
        <v>9</v>
      </c>
      <c r="C2098" s="5">
        <f t="shared" si="528"/>
        <v>2023</v>
      </c>
      <c r="D2098" s="88" t="s">
        <v>1897</v>
      </c>
      <c r="E2098" s="5" t="str">
        <f>VLOOKUP(F2098,'Set up'!$A$2:$C$70,2,FALSE)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up'!$A$2:$C$70,3,FALSE)</f>
        <v>Cash</v>
      </c>
      <c r="J2098" s="5">
        <f>VLOOKUP(F2098,'Set up'!$A$2:$D$70,4,FALSE)</f>
        <v>0</v>
      </c>
      <c r="K2098" s="4">
        <f t="shared" si="529"/>
        <v>45181</v>
      </c>
      <c r="L2098" s="5">
        <f t="shared" si="530"/>
        <v>9</v>
      </c>
      <c r="M2098" s="5">
        <f t="shared" si="531"/>
        <v>2023</v>
      </c>
      <c r="N2098" s="96">
        <v>190</v>
      </c>
      <c r="O2098" s="6">
        <f t="shared" si="538"/>
        <v>-190</v>
      </c>
      <c r="P2098" s="6">
        <f t="shared" si="537"/>
        <v>0</v>
      </c>
      <c r="Q2098" s="7">
        <f t="shared" si="525"/>
        <v>3588759.5500000017</v>
      </c>
      <c r="R2098" s="44" t="str">
        <f>VLOOKUP(F2098,'Set up'!$A$2:$E$70,5,FALSE)</f>
        <v>Trsf</v>
      </c>
      <c r="S2098" s="1" t="s">
        <v>2408</v>
      </c>
    </row>
    <row r="2099" spans="1:21" ht="15" customHeight="1" x14ac:dyDescent="0.35">
      <c r="A2099" s="4">
        <v>45181</v>
      </c>
      <c r="B2099" s="5">
        <f t="shared" si="527"/>
        <v>9</v>
      </c>
      <c r="C2099" s="5">
        <f t="shared" si="528"/>
        <v>2023</v>
      </c>
      <c r="D2099" s="88" t="s">
        <v>1897</v>
      </c>
      <c r="E2099" s="5" t="str">
        <f>VLOOKUP(F2099,'Set up'!$A$2:$C$70,2,FALSE)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up'!$A$2:$C$70,3,FALSE)</f>
        <v>Cash</v>
      </c>
      <c r="J2099" s="5">
        <f>VLOOKUP(F2099,'Set up'!$A$2:$D$70,4,FALSE)</f>
        <v>0</v>
      </c>
      <c r="K2099" s="4">
        <f t="shared" si="529"/>
        <v>45181</v>
      </c>
      <c r="L2099" s="5">
        <f t="shared" si="530"/>
        <v>9</v>
      </c>
      <c r="M2099" s="5">
        <f t="shared" si="531"/>
        <v>2023</v>
      </c>
      <c r="N2099" s="96">
        <v>125</v>
      </c>
      <c r="O2099" s="6">
        <f t="shared" si="538"/>
        <v>-125</v>
      </c>
      <c r="P2099" s="6">
        <f t="shared" si="537"/>
        <v>0</v>
      </c>
      <c r="Q2099" s="7">
        <f t="shared" si="525"/>
        <v>3588884.5500000017</v>
      </c>
      <c r="R2099" s="44" t="str">
        <f>VLOOKUP(F2099,'Set up'!$A$2:$E$70,5,FALSE)</f>
        <v>Trsf</v>
      </c>
      <c r="S2099" s="1" t="s">
        <v>2409</v>
      </c>
    </row>
    <row r="2100" spans="1:21" ht="15" customHeight="1" x14ac:dyDescent="0.35">
      <c r="A2100" s="4">
        <v>45181</v>
      </c>
      <c r="B2100" s="5">
        <f t="shared" si="527"/>
        <v>9</v>
      </c>
      <c r="C2100" s="5">
        <f t="shared" si="528"/>
        <v>2023</v>
      </c>
      <c r="D2100" s="88" t="s">
        <v>1897</v>
      </c>
      <c r="E2100" s="5" t="str">
        <f>VLOOKUP(F2100,'Set up'!$A$2:$C$70,2,FALSE)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up'!$A$2:$C$70,3,FALSE)</f>
        <v>Cash</v>
      </c>
      <c r="J2100" s="5">
        <f>VLOOKUP(F2100,'Set up'!$A$2:$D$70,4,FALSE)</f>
        <v>0</v>
      </c>
      <c r="K2100" s="4">
        <f t="shared" si="529"/>
        <v>45181</v>
      </c>
      <c r="L2100" s="5">
        <f t="shared" si="530"/>
        <v>9</v>
      </c>
      <c r="M2100" s="5">
        <f t="shared" si="531"/>
        <v>2023</v>
      </c>
      <c r="N2100" s="96">
        <v>834</v>
      </c>
      <c r="O2100" s="6">
        <f t="shared" si="538"/>
        <v>-834</v>
      </c>
      <c r="P2100" s="6">
        <f t="shared" si="537"/>
        <v>0</v>
      </c>
      <c r="Q2100" s="7">
        <f t="shared" si="525"/>
        <v>3589718.5500000017</v>
      </c>
      <c r="R2100" s="44" t="str">
        <f>VLOOKUP(F2100,'Set up'!$A$2:$E$70,5,FALSE)</f>
        <v>Trsf</v>
      </c>
      <c r="S2100" s="1" t="s">
        <v>2410</v>
      </c>
    </row>
    <row r="2101" spans="1:21" ht="15" customHeight="1" x14ac:dyDescent="0.35">
      <c r="A2101" s="4">
        <v>45180</v>
      </c>
      <c r="B2101" s="5">
        <f t="shared" si="527"/>
        <v>9</v>
      </c>
      <c r="C2101" s="5">
        <f t="shared" si="528"/>
        <v>2023</v>
      </c>
      <c r="D2101" s="88" t="s">
        <v>1898</v>
      </c>
      <c r="E2101" s="5" t="str">
        <f>VLOOKUP(F2101,'Set up'!$A$2:$C$70,2,FALSE)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up'!$A$2:$C$70,3,FALSE)</f>
        <v>45</v>
      </c>
      <c r="J2101" s="5">
        <f>VLOOKUP(F2101,'Set up'!$A$2:$D$70,4,FALSE)</f>
        <v>45</v>
      </c>
      <c r="K2101" s="4">
        <f t="shared" si="529"/>
        <v>45225</v>
      </c>
      <c r="L2101" s="5">
        <f t="shared" si="530"/>
        <v>10</v>
      </c>
      <c r="M2101" s="5">
        <f t="shared" si="531"/>
        <v>2023</v>
      </c>
      <c r="N2101" s="96">
        <v>1870</v>
      </c>
      <c r="O2101" s="6">
        <f>-N2101</f>
        <v>-1870</v>
      </c>
      <c r="P2101" s="6">
        <f t="shared" si="537"/>
        <v>0</v>
      </c>
      <c r="Q2101" s="7">
        <f t="shared" si="525"/>
        <v>3591588.5500000017</v>
      </c>
      <c r="R2101" s="44" t="str">
        <f>VLOOKUP(F2101,'Set up'!$A$2:$E$70,5,FALSE)</f>
        <v>PD Chq</v>
      </c>
      <c r="S2101" s="1" t="s">
        <v>2079</v>
      </c>
      <c r="U2101" s="1" t="s">
        <v>3603</v>
      </c>
    </row>
    <row r="2102" spans="1:21" ht="15" customHeight="1" x14ac:dyDescent="0.35">
      <c r="A2102" s="4">
        <v>45180</v>
      </c>
      <c r="B2102" s="5">
        <f t="shared" si="527"/>
        <v>9</v>
      </c>
      <c r="C2102" s="5">
        <f t="shared" si="528"/>
        <v>2023</v>
      </c>
      <c r="D2102" s="88" t="s">
        <v>1898</v>
      </c>
      <c r="E2102" s="5" t="str">
        <f>VLOOKUP(F2102,'Set up'!$A$2:$C$70,2,FALSE)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up'!$A$2:$C$70,3,FALSE)</f>
        <v>45</v>
      </c>
      <c r="J2102" s="5">
        <f>VLOOKUP(F2102,'Set up'!$A$2:$D$70,4,FALSE)</f>
        <v>45</v>
      </c>
      <c r="K2102" s="4">
        <f t="shared" si="529"/>
        <v>45225</v>
      </c>
      <c r="L2102" s="5">
        <f t="shared" si="530"/>
        <v>10</v>
      </c>
      <c r="M2102" s="5">
        <f t="shared" si="531"/>
        <v>2023</v>
      </c>
      <c r="N2102" s="96">
        <v>220</v>
      </c>
      <c r="O2102" s="6">
        <f>-N2102</f>
        <v>-220</v>
      </c>
      <c r="P2102" s="6">
        <f t="shared" si="537"/>
        <v>0</v>
      </c>
      <c r="Q2102" s="7">
        <f t="shared" si="525"/>
        <v>3591808.5500000017</v>
      </c>
      <c r="R2102" s="44" t="str">
        <f>VLOOKUP(F2102,'Set up'!$A$2:$E$70,5,FALSE)</f>
        <v>PD Chq</v>
      </c>
      <c r="S2102" s="1" t="s">
        <v>2080</v>
      </c>
      <c r="U2102" s="1" t="s">
        <v>3603</v>
      </c>
    </row>
    <row r="2103" spans="1:21" ht="15" customHeight="1" x14ac:dyDescent="0.35">
      <c r="A2103" s="4">
        <v>45183</v>
      </c>
      <c r="B2103" s="5">
        <f t="shared" si="527"/>
        <v>9</v>
      </c>
      <c r="C2103" s="5">
        <f t="shared" si="528"/>
        <v>2023</v>
      </c>
      <c r="D2103" s="88" t="s">
        <v>1899</v>
      </c>
      <c r="E2103" s="5" t="str">
        <f>VLOOKUP(F2103,'Set up'!$A$2:$C$70,2,FALSE)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up'!$A$2:$C$70,3,FALSE)</f>
        <v>Cash</v>
      </c>
      <c r="J2103" s="5">
        <f>VLOOKUP(F2103,'Set up'!$A$2:$D$70,4,FALSE)</f>
        <v>0</v>
      </c>
      <c r="K2103" s="4">
        <f t="shared" si="529"/>
        <v>45183</v>
      </c>
      <c r="L2103" s="5">
        <f t="shared" si="530"/>
        <v>9</v>
      </c>
      <c r="M2103" s="5">
        <f t="shared" si="531"/>
        <v>2023</v>
      </c>
      <c r="N2103" s="96">
        <v>5082</v>
      </c>
      <c r="O2103" s="6">
        <f t="shared" ref="O2103:O2108" si="539">-N2103</f>
        <v>-5082</v>
      </c>
      <c r="P2103" s="6">
        <f t="shared" si="537"/>
        <v>0</v>
      </c>
      <c r="Q2103" s="7">
        <f t="shared" si="525"/>
        <v>3596890.5500000017</v>
      </c>
      <c r="R2103" s="44" t="str">
        <f>VLOOKUP(F2103,'Set up'!$A$2:$E$70,5,FALSE)</f>
        <v>Cash</v>
      </c>
      <c r="S2103" s="1" t="s">
        <v>1973</v>
      </c>
    </row>
    <row r="2104" spans="1:21" ht="15" customHeight="1" x14ac:dyDescent="0.35">
      <c r="A2104" s="4">
        <v>45183</v>
      </c>
      <c r="B2104" s="5">
        <f t="shared" si="527"/>
        <v>9</v>
      </c>
      <c r="C2104" s="5">
        <f t="shared" si="528"/>
        <v>2023</v>
      </c>
      <c r="D2104" s="88" t="s">
        <v>1899</v>
      </c>
      <c r="E2104" s="5" t="str">
        <f>VLOOKUP(F2104,'Set up'!$A$2:$C$70,2,FALSE)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up'!$A$2:$C$70,3,FALSE)</f>
        <v>Cash</v>
      </c>
      <c r="J2104" s="5">
        <f>VLOOKUP(F2104,'Set up'!$A$2:$D$70,4,FALSE)</f>
        <v>0</v>
      </c>
      <c r="K2104" s="4">
        <f t="shared" si="529"/>
        <v>45183</v>
      </c>
      <c r="L2104" s="5">
        <f t="shared" si="530"/>
        <v>9</v>
      </c>
      <c r="M2104" s="5">
        <f t="shared" si="531"/>
        <v>2023</v>
      </c>
      <c r="N2104" s="96">
        <v>1170</v>
      </c>
      <c r="O2104" s="6">
        <f t="shared" si="539"/>
        <v>-1170</v>
      </c>
      <c r="P2104" s="6">
        <f t="shared" si="537"/>
        <v>0</v>
      </c>
      <c r="Q2104" s="7">
        <f t="shared" si="525"/>
        <v>3598060.5500000017</v>
      </c>
      <c r="R2104" s="44" t="str">
        <f>VLOOKUP(F2104,'Set up'!$A$2:$E$70,5,FALSE)</f>
        <v>Cash</v>
      </c>
      <c r="S2104" s="1" t="s">
        <v>1973</v>
      </c>
    </row>
    <row r="2105" spans="1:21" ht="15" customHeight="1" x14ac:dyDescent="0.35">
      <c r="A2105" s="4">
        <v>45183</v>
      </c>
      <c r="B2105" s="5">
        <f t="shared" si="527"/>
        <v>9</v>
      </c>
      <c r="C2105" s="5">
        <f t="shared" si="528"/>
        <v>2023</v>
      </c>
      <c r="D2105" s="88" t="s">
        <v>1899</v>
      </c>
      <c r="E2105" s="5" t="str">
        <f>VLOOKUP(F2105,'Set up'!$A$2:$C$70,2,FALSE)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up'!$A$2:$C$70,3,FALSE)</f>
        <v>Cash</v>
      </c>
      <c r="J2105" s="5">
        <f>VLOOKUP(F2105,'Set up'!$A$2:$D$70,4,FALSE)</f>
        <v>0</v>
      </c>
      <c r="K2105" s="4">
        <f t="shared" si="529"/>
        <v>45183</v>
      </c>
      <c r="L2105" s="5">
        <f t="shared" si="530"/>
        <v>9</v>
      </c>
      <c r="M2105" s="5">
        <f t="shared" si="531"/>
        <v>2023</v>
      </c>
      <c r="N2105" s="96">
        <v>645</v>
      </c>
      <c r="O2105" s="6">
        <f t="shared" si="539"/>
        <v>-645</v>
      </c>
      <c r="P2105" s="6">
        <f t="shared" si="537"/>
        <v>0</v>
      </c>
      <c r="Q2105" s="7">
        <f t="shared" si="525"/>
        <v>3598705.5500000017</v>
      </c>
      <c r="R2105" s="44" t="str">
        <f>VLOOKUP(F2105,'Set up'!$A$2:$E$70,5,FALSE)</f>
        <v>Cash</v>
      </c>
      <c r="S2105" s="1" t="s">
        <v>1973</v>
      </c>
    </row>
    <row r="2106" spans="1:21" ht="15" customHeight="1" x14ac:dyDescent="0.35">
      <c r="A2106" s="4">
        <v>45183</v>
      </c>
      <c r="B2106" s="5">
        <f t="shared" si="527"/>
        <v>9</v>
      </c>
      <c r="C2106" s="5">
        <f t="shared" si="528"/>
        <v>2023</v>
      </c>
      <c r="D2106" s="88" t="s">
        <v>1899</v>
      </c>
      <c r="E2106" s="5" t="str">
        <f>VLOOKUP(F2106,'Set up'!$A$2:$C$70,2,FALSE)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up'!$A$2:$C$70,3,FALSE)</f>
        <v>Cash</v>
      </c>
      <c r="J2106" s="5">
        <f>VLOOKUP(F2106,'Set up'!$A$2:$D$70,4,FALSE)</f>
        <v>0</v>
      </c>
      <c r="K2106" s="4">
        <f t="shared" si="529"/>
        <v>45183</v>
      </c>
      <c r="L2106" s="5">
        <f t="shared" si="530"/>
        <v>9</v>
      </c>
      <c r="M2106" s="5">
        <f t="shared" si="531"/>
        <v>2023</v>
      </c>
      <c r="N2106" s="96">
        <v>640</v>
      </c>
      <c r="O2106" s="6">
        <f t="shared" si="539"/>
        <v>-640</v>
      </c>
      <c r="P2106" s="6">
        <f t="shared" si="537"/>
        <v>0</v>
      </c>
      <c r="Q2106" s="7">
        <f t="shared" si="525"/>
        <v>3599345.5500000017</v>
      </c>
      <c r="R2106" s="44" t="str">
        <f>VLOOKUP(F2106,'Set up'!$A$2:$E$70,5,FALSE)</f>
        <v>Cash</v>
      </c>
      <c r="S2106" s="1" t="s">
        <v>1973</v>
      </c>
    </row>
    <row r="2107" spans="1:21" ht="15" customHeight="1" x14ac:dyDescent="0.35">
      <c r="A2107" s="4">
        <v>45183</v>
      </c>
      <c r="B2107" s="5">
        <f t="shared" si="527"/>
        <v>9</v>
      </c>
      <c r="C2107" s="5">
        <f t="shared" si="528"/>
        <v>2023</v>
      </c>
      <c r="D2107" s="88" t="s">
        <v>1899</v>
      </c>
      <c r="E2107" s="5" t="str">
        <f>VLOOKUP(F2107,'Set up'!$A$2:$C$70,2,FALSE)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up'!$A$2:$C$70,3,FALSE)</f>
        <v>Cash</v>
      </c>
      <c r="J2107" s="5">
        <f>VLOOKUP(F2107,'Set up'!$A$2:$D$70,4,FALSE)</f>
        <v>0</v>
      </c>
      <c r="K2107" s="4">
        <f t="shared" si="529"/>
        <v>45183</v>
      </c>
      <c r="L2107" s="5">
        <f t="shared" si="530"/>
        <v>9</v>
      </c>
      <c r="M2107" s="5">
        <f t="shared" si="531"/>
        <v>2023</v>
      </c>
      <c r="N2107" s="96">
        <v>330</v>
      </c>
      <c r="O2107" s="6">
        <f t="shared" si="539"/>
        <v>-330</v>
      </c>
      <c r="P2107" s="6">
        <f t="shared" si="537"/>
        <v>0</v>
      </c>
      <c r="Q2107" s="7">
        <f t="shared" si="525"/>
        <v>3599675.5500000017</v>
      </c>
      <c r="R2107" s="44" t="str">
        <f>VLOOKUP(F2107,'Set up'!$A$2:$E$70,5,FALSE)</f>
        <v>Cash</v>
      </c>
      <c r="S2107" s="1" t="s">
        <v>1973</v>
      </c>
    </row>
    <row r="2108" spans="1:21" ht="15" customHeight="1" x14ac:dyDescent="0.35">
      <c r="A2108" s="4">
        <v>45183</v>
      </c>
      <c r="B2108" s="5">
        <f t="shared" si="527"/>
        <v>9</v>
      </c>
      <c r="C2108" s="5">
        <f t="shared" si="528"/>
        <v>2023</v>
      </c>
      <c r="D2108" s="88" t="s">
        <v>1899</v>
      </c>
      <c r="E2108" s="5" t="str">
        <f>VLOOKUP(F2108,'Set up'!$A$2:$C$70,2,FALSE)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up'!$A$2:$C$70,3,FALSE)</f>
        <v>Cash</v>
      </c>
      <c r="J2108" s="5">
        <f>VLOOKUP(F2108,'Set up'!$A$2:$D$70,4,FALSE)</f>
        <v>0</v>
      </c>
      <c r="K2108" s="4">
        <f t="shared" si="529"/>
        <v>45183</v>
      </c>
      <c r="L2108" s="5">
        <f t="shared" si="530"/>
        <v>9</v>
      </c>
      <c r="M2108" s="5">
        <f t="shared" si="531"/>
        <v>2023</v>
      </c>
      <c r="N2108" s="96">
        <v>95</v>
      </c>
      <c r="O2108" s="6">
        <f t="shared" si="539"/>
        <v>-95</v>
      </c>
      <c r="P2108" s="6">
        <f t="shared" si="537"/>
        <v>0</v>
      </c>
      <c r="Q2108" s="7">
        <f t="shared" ref="Q2108:Q2118" si="540">SUM(Q2107+N2108)</f>
        <v>3599770.5500000017</v>
      </c>
      <c r="R2108" s="44" t="str">
        <f>VLOOKUP(F2108,'Set up'!$A$2:$E$70,5,FALSE)</f>
        <v>Cash</v>
      </c>
      <c r="S2108" s="1" t="s">
        <v>1973</v>
      </c>
    </row>
    <row r="2109" spans="1:21" ht="15" customHeight="1" x14ac:dyDescent="0.35">
      <c r="A2109" s="4">
        <v>45183</v>
      </c>
      <c r="B2109" s="5">
        <f t="shared" si="527"/>
        <v>9</v>
      </c>
      <c r="C2109" s="5">
        <f t="shared" si="528"/>
        <v>2023</v>
      </c>
      <c r="D2109" s="88" t="s">
        <v>1899</v>
      </c>
      <c r="E2109" s="5" t="str">
        <f>VLOOKUP(F2109,'Set up'!$A$2:$C$70,2,FALSE)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up'!$A$2:$C$70,3,FALSE)</f>
        <v>Cash</v>
      </c>
      <c r="J2109" s="5">
        <f>VLOOKUP(F2109,'Set up'!$A$2:$D$70,4,FALSE)</f>
        <v>0</v>
      </c>
      <c r="K2109" s="4">
        <f t="shared" si="529"/>
        <v>45183</v>
      </c>
      <c r="L2109" s="5">
        <f t="shared" si="530"/>
        <v>9</v>
      </c>
      <c r="M2109" s="5">
        <f t="shared" si="531"/>
        <v>2023</v>
      </c>
      <c r="N2109" s="96">
        <v>125</v>
      </c>
      <c r="O2109" s="6">
        <f t="shared" ref="O2109" si="541">-N2109</f>
        <v>-125</v>
      </c>
      <c r="P2109" s="6">
        <f t="shared" si="537"/>
        <v>0</v>
      </c>
      <c r="Q2109" s="7">
        <f t="shared" si="540"/>
        <v>3599895.5500000017</v>
      </c>
      <c r="R2109" s="44" t="str">
        <f>VLOOKUP(F2109,'Set up'!$A$2:$E$70,5,FALSE)</f>
        <v>Cash</v>
      </c>
      <c r="S2109" s="1" t="s">
        <v>1973</v>
      </c>
    </row>
    <row r="2110" spans="1:21" ht="15" customHeight="1" x14ac:dyDescent="0.35">
      <c r="A2110" s="4">
        <v>45182</v>
      </c>
      <c r="B2110" s="5">
        <f t="shared" si="527"/>
        <v>9</v>
      </c>
      <c r="C2110" s="5">
        <f t="shared" si="528"/>
        <v>2023</v>
      </c>
      <c r="D2110" s="88" t="s">
        <v>1900</v>
      </c>
      <c r="E2110" s="5" t="str">
        <f>VLOOKUP(F2110,'Set up'!$A$2:$C$70,2,FALSE)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up'!$A$2:$C$70,3,FALSE)</f>
        <v>Cash</v>
      </c>
      <c r="J2110" s="5">
        <f>VLOOKUP(F2110,'Set up'!$A$2:$D$70,4,FALSE)</f>
        <v>0</v>
      </c>
      <c r="K2110" s="4">
        <f t="shared" si="529"/>
        <v>45182</v>
      </c>
      <c r="L2110" s="5">
        <f t="shared" si="530"/>
        <v>9</v>
      </c>
      <c r="M2110" s="5">
        <f t="shared" si="531"/>
        <v>2023</v>
      </c>
      <c r="N2110" s="96">
        <v>125</v>
      </c>
      <c r="O2110" s="6">
        <f>-N2110</f>
        <v>-125</v>
      </c>
      <c r="P2110" s="6">
        <f t="shared" si="537"/>
        <v>0</v>
      </c>
      <c r="Q2110" s="7">
        <f t="shared" si="540"/>
        <v>3600020.5500000017</v>
      </c>
      <c r="R2110" s="44" t="str">
        <f>VLOOKUP(F2110,'Set up'!$A$2:$E$70,5,FALSE)</f>
        <v>Trsf</v>
      </c>
      <c r="S2110" s="1" t="s">
        <v>2584</v>
      </c>
    </row>
    <row r="2111" spans="1:21" ht="15" customHeight="1" x14ac:dyDescent="0.35">
      <c r="A2111" s="4">
        <v>45182</v>
      </c>
      <c r="B2111" s="5">
        <f t="shared" si="527"/>
        <v>9</v>
      </c>
      <c r="C2111" s="5">
        <f t="shared" si="528"/>
        <v>2023</v>
      </c>
      <c r="D2111" s="88" t="s">
        <v>1901</v>
      </c>
      <c r="E2111" s="5" t="str">
        <f>VLOOKUP(F2111,'Set up'!$A$2:$C$70,2,FALSE)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up'!$A$2:$C$70,3,FALSE)</f>
        <v>Cash</v>
      </c>
      <c r="J2111" s="5">
        <f>VLOOKUP(F2111,'Set up'!$A$2:$D$70,4,FALSE)</f>
        <v>0</v>
      </c>
      <c r="K2111" s="4">
        <f t="shared" si="529"/>
        <v>45182</v>
      </c>
      <c r="L2111" s="5">
        <f t="shared" si="530"/>
        <v>9</v>
      </c>
      <c r="M2111" s="5">
        <f t="shared" si="531"/>
        <v>2023</v>
      </c>
      <c r="N2111" s="96">
        <v>3212</v>
      </c>
      <c r="O2111" s="6">
        <f>-N2111</f>
        <v>-3212</v>
      </c>
      <c r="P2111" s="6">
        <f t="shared" si="537"/>
        <v>0</v>
      </c>
      <c r="Q2111" s="7">
        <f t="shared" si="540"/>
        <v>3603232.5500000017</v>
      </c>
      <c r="R2111" s="44" t="str">
        <f>VLOOKUP(F2111,'Set up'!$A$2:$E$70,5,FALSE)</f>
        <v>Trsf</v>
      </c>
      <c r="S2111" s="1" t="s">
        <v>2585</v>
      </c>
    </row>
    <row r="2112" spans="1:21" ht="15" customHeight="1" x14ac:dyDescent="0.35">
      <c r="A2112" s="4">
        <v>45182</v>
      </c>
      <c r="B2112" s="5">
        <f t="shared" si="527"/>
        <v>9</v>
      </c>
      <c r="C2112" s="5">
        <f t="shared" si="528"/>
        <v>2023</v>
      </c>
      <c r="D2112" s="88" t="s">
        <v>1901</v>
      </c>
      <c r="E2112" s="5" t="str">
        <f>VLOOKUP(F2112,'Set up'!$A$2:$C$70,2,FALSE)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up'!$A$2:$C$70,3,FALSE)</f>
        <v>Cash</v>
      </c>
      <c r="J2112" s="5">
        <f>VLOOKUP(F2112,'Set up'!$A$2:$D$70,4,FALSE)</f>
        <v>0</v>
      </c>
      <c r="K2112" s="4">
        <f t="shared" si="529"/>
        <v>45182</v>
      </c>
      <c r="L2112" s="5">
        <f t="shared" si="530"/>
        <v>9</v>
      </c>
      <c r="M2112" s="5">
        <f t="shared" si="531"/>
        <v>2023</v>
      </c>
      <c r="N2112" s="96">
        <v>1134</v>
      </c>
      <c r="O2112" s="6">
        <f>-544.2-589.8</f>
        <v>-1134</v>
      </c>
      <c r="P2112" s="6">
        <f t="shared" si="537"/>
        <v>0</v>
      </c>
      <c r="Q2112" s="7">
        <f t="shared" si="540"/>
        <v>3604366.5500000017</v>
      </c>
      <c r="R2112" s="44" t="str">
        <f>VLOOKUP(F2112,'Set up'!$A$2:$E$70,5,FALSE)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527"/>
        <v>9</v>
      </c>
      <c r="C2113" s="5">
        <f t="shared" si="528"/>
        <v>2023</v>
      </c>
      <c r="D2113" s="88" t="s">
        <v>1901</v>
      </c>
      <c r="E2113" s="5" t="str">
        <f>VLOOKUP(F2113,'Set up'!$A$2:$C$70,2,FALSE)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up'!$A$2:$C$70,3,FALSE)</f>
        <v>Cash</v>
      </c>
      <c r="J2113" s="5">
        <f>VLOOKUP(F2113,'Set up'!$A$2:$D$70,4,FALSE)</f>
        <v>0</v>
      </c>
      <c r="K2113" s="4">
        <f t="shared" si="529"/>
        <v>45182</v>
      </c>
      <c r="L2113" s="5">
        <f t="shared" si="530"/>
        <v>9</v>
      </c>
      <c r="M2113" s="5">
        <f t="shared" si="531"/>
        <v>2023</v>
      </c>
      <c r="N2113" s="96">
        <v>600</v>
      </c>
      <c r="O2113" s="6">
        <f>-N2113</f>
        <v>-600</v>
      </c>
      <c r="P2113" s="6">
        <f t="shared" si="537"/>
        <v>0</v>
      </c>
      <c r="Q2113" s="7">
        <f t="shared" si="540"/>
        <v>3604966.5500000017</v>
      </c>
      <c r="R2113" s="44" t="str">
        <f>VLOOKUP(F2113,'Set up'!$A$2:$E$70,5,FALSE)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527"/>
        <v>9</v>
      </c>
      <c r="C2114" s="5">
        <f t="shared" si="528"/>
        <v>2023</v>
      </c>
      <c r="D2114" s="88" t="s">
        <v>1901</v>
      </c>
      <c r="E2114" s="5" t="str">
        <f>VLOOKUP(F2114,'Set up'!$A$2:$C$70,2,FALSE)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up'!$A$2:$C$70,3,FALSE)</f>
        <v>Cash</v>
      </c>
      <c r="J2114" s="5">
        <f>VLOOKUP(F2114,'Set up'!$A$2:$D$70,4,FALSE)</f>
        <v>0</v>
      </c>
      <c r="K2114" s="4">
        <f t="shared" si="529"/>
        <v>45182</v>
      </c>
      <c r="L2114" s="5">
        <f t="shared" si="530"/>
        <v>9</v>
      </c>
      <c r="M2114" s="5">
        <f t="shared" si="531"/>
        <v>2023</v>
      </c>
      <c r="N2114" s="96">
        <v>380</v>
      </c>
      <c r="O2114" s="6">
        <f>-N2114</f>
        <v>-380</v>
      </c>
      <c r="P2114" s="6">
        <f t="shared" si="537"/>
        <v>0</v>
      </c>
      <c r="Q2114" s="7">
        <f t="shared" si="540"/>
        <v>3605346.5500000017</v>
      </c>
      <c r="R2114" s="44" t="str">
        <f>VLOOKUP(F2114,'Set up'!$A$2:$E$70,5,FALSE)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ref="B2115:B2178" si="542">MONTH(A2115)</f>
        <v>9</v>
      </c>
      <c r="C2115" s="5">
        <f t="shared" ref="C2115:C2178" si="543">YEAR(A2115)</f>
        <v>2023</v>
      </c>
      <c r="D2115" s="88" t="s">
        <v>1902</v>
      </c>
      <c r="E2115" s="5" t="str">
        <f>VLOOKUP(F2115,'Set up'!$A$2:$C$70,2,FALSE)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up'!$A$2:$C$70,3,FALSE)</f>
        <v>Cash</v>
      </c>
      <c r="J2115" s="5">
        <f>VLOOKUP(F2115,'Set up'!$A$2:$D$70,4,FALSE)</f>
        <v>0</v>
      </c>
      <c r="K2115" s="4">
        <f t="shared" ref="K2115:K2178" si="544">A2115+J2115</f>
        <v>45182</v>
      </c>
      <c r="L2115" s="5">
        <f t="shared" ref="L2115:L2178" si="545">MONTH(K2115)</f>
        <v>9</v>
      </c>
      <c r="M2115" s="5">
        <f t="shared" ref="M2115:M2178" si="546">YEAR(K2115)</f>
        <v>2023</v>
      </c>
      <c r="N2115" s="96">
        <v>322.5</v>
      </c>
      <c r="O2115" s="6">
        <f t="shared" ref="O2115" si="547">-N2115</f>
        <v>-322.5</v>
      </c>
      <c r="P2115" s="6">
        <f t="shared" si="537"/>
        <v>0</v>
      </c>
      <c r="Q2115" s="7">
        <f t="shared" si="540"/>
        <v>3605669.0500000017</v>
      </c>
      <c r="R2115" s="44" t="str">
        <f>VLOOKUP(F2115,'Set up'!$A$2:$E$70,5,FALSE)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542"/>
        <v>9</v>
      </c>
      <c r="C2116" s="5">
        <f t="shared" si="543"/>
        <v>2023</v>
      </c>
      <c r="D2116" s="88" t="s">
        <v>1903</v>
      </c>
      <c r="E2116" s="5" t="str">
        <f>VLOOKUP(F2116,'Set up'!$A$2:$C$70,2,FALSE)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up'!$A$2:$C$70,3,FALSE)</f>
        <v>Cash</v>
      </c>
      <c r="J2116" s="5">
        <f>VLOOKUP(F2116,'Set up'!$A$2:$D$70,4,FALSE)</f>
        <v>0</v>
      </c>
      <c r="K2116" s="4">
        <f t="shared" si="544"/>
        <v>45184</v>
      </c>
      <c r="L2116" s="5">
        <f t="shared" si="545"/>
        <v>9</v>
      </c>
      <c r="M2116" s="5">
        <f t="shared" si="546"/>
        <v>2023</v>
      </c>
      <c r="N2116" s="96">
        <v>125</v>
      </c>
      <c r="O2116" s="6">
        <f>-N2116</f>
        <v>-125</v>
      </c>
      <c r="P2116" s="6">
        <f t="shared" si="537"/>
        <v>0</v>
      </c>
      <c r="Q2116" s="7">
        <f t="shared" si="540"/>
        <v>3605794.0500000017</v>
      </c>
      <c r="R2116" s="44" t="str">
        <f>VLOOKUP(F2116,'Set up'!$A$2:$E$70,5,FALSE)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542"/>
        <v>9</v>
      </c>
      <c r="C2117" s="5">
        <f t="shared" si="543"/>
        <v>2023</v>
      </c>
      <c r="D2117" s="88" t="s">
        <v>1904</v>
      </c>
      <c r="E2117" s="5" t="str">
        <f>VLOOKUP(F2117,'Set up'!$A$2:$C$70,2,FALSE)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up'!$A$2:$C$70,3,FALSE)</f>
        <v>Cash</v>
      </c>
      <c r="J2117" s="5">
        <f>VLOOKUP(F2117,'Set up'!$A$2:$D$70,4,FALSE)</f>
        <v>0</v>
      </c>
      <c r="K2117" s="4">
        <f t="shared" si="544"/>
        <v>45184</v>
      </c>
      <c r="L2117" s="5">
        <f t="shared" si="545"/>
        <v>9</v>
      </c>
      <c r="M2117" s="5">
        <f t="shared" si="546"/>
        <v>2023</v>
      </c>
      <c r="N2117" s="96">
        <v>3212</v>
      </c>
      <c r="O2117" s="6">
        <f>-N2117</f>
        <v>-3212</v>
      </c>
      <c r="P2117" s="6">
        <f t="shared" si="537"/>
        <v>0</v>
      </c>
      <c r="Q2117" s="7">
        <f t="shared" si="540"/>
        <v>3609006.0500000017</v>
      </c>
      <c r="R2117" s="44" t="str">
        <f>VLOOKUP(F2117,'Set up'!$A$2:$E$70,5,FALSE)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542"/>
        <v>9</v>
      </c>
      <c r="C2118" s="5">
        <f t="shared" si="543"/>
        <v>2023</v>
      </c>
      <c r="D2118" s="88" t="s">
        <v>1904</v>
      </c>
      <c r="E2118" s="5" t="str">
        <f>VLOOKUP(F2118,'Set up'!$A$2:$C$70,2,FALSE)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up'!$A$2:$C$70,3,FALSE)</f>
        <v>Cash</v>
      </c>
      <c r="J2118" s="5">
        <f>VLOOKUP(F2118,'Set up'!$A$2:$D$70,4,FALSE)</f>
        <v>0</v>
      </c>
      <c r="K2118" s="4">
        <f t="shared" si="544"/>
        <v>45184</v>
      </c>
      <c r="L2118" s="5">
        <f t="shared" si="545"/>
        <v>9</v>
      </c>
      <c r="M2118" s="5">
        <f t="shared" si="546"/>
        <v>2023</v>
      </c>
      <c r="N2118" s="96">
        <v>1890</v>
      </c>
      <c r="O2118" s="6">
        <f>-N2118</f>
        <v>-1890</v>
      </c>
      <c r="P2118" s="6">
        <f t="shared" si="537"/>
        <v>0</v>
      </c>
      <c r="Q2118" s="7">
        <f t="shared" si="540"/>
        <v>3610896.0500000017</v>
      </c>
      <c r="R2118" s="44" t="str">
        <f>VLOOKUP(F2118,'Set up'!$A$2:$E$70,5,FALSE)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si="542"/>
        <v>9</v>
      </c>
      <c r="C2119" s="5">
        <f t="shared" si="543"/>
        <v>2023</v>
      </c>
      <c r="D2119" s="88" t="s">
        <v>1904</v>
      </c>
      <c r="E2119" s="5" t="str">
        <f>VLOOKUP(F2119,'Set up'!$A$2:$C$70,2,FALSE)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up'!$A$2:$C$70,3,FALSE)</f>
        <v>Cash</v>
      </c>
      <c r="J2119" s="5">
        <f>VLOOKUP(F2119,'Set up'!$A$2:$D$70,4,FALSE)</f>
        <v>0</v>
      </c>
      <c r="K2119" s="4">
        <f t="shared" si="544"/>
        <v>45184</v>
      </c>
      <c r="L2119" s="5">
        <f t="shared" si="545"/>
        <v>9</v>
      </c>
      <c r="M2119" s="5">
        <f t="shared" si="546"/>
        <v>2023</v>
      </c>
      <c r="N2119" s="96">
        <v>400</v>
      </c>
      <c r="O2119" s="6">
        <f>-N2119</f>
        <v>-400</v>
      </c>
      <c r="P2119" s="6">
        <f t="shared" ref="P2119:P2139" si="548">SUM(N2119+O2119)</f>
        <v>0</v>
      </c>
      <c r="Q2119" s="7">
        <f t="shared" ref="Q2119:Q2139" si="549">SUM(Q2118+N2119)</f>
        <v>3611296.0500000017</v>
      </c>
      <c r="R2119" s="44" t="str">
        <f>VLOOKUP(F2119,'Set up'!$A$2:$E$70,5,FALSE)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542"/>
        <v>9</v>
      </c>
      <c r="C2120" s="5">
        <f t="shared" si="543"/>
        <v>2023</v>
      </c>
      <c r="D2120" s="88" t="s">
        <v>1905</v>
      </c>
      <c r="E2120" s="5" t="str">
        <f>VLOOKUP(F2120,'Set up'!$A$2:$C$70,2,FALSE)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up'!$A$2:$C$70,3,FALSE)</f>
        <v>Cash</v>
      </c>
      <c r="J2120" s="5">
        <f>VLOOKUP(F2120,'Set up'!$A$2:$D$70,4,FALSE)</f>
        <v>0</v>
      </c>
      <c r="K2120" s="4">
        <f t="shared" si="544"/>
        <v>45187</v>
      </c>
      <c r="L2120" s="5">
        <f t="shared" si="545"/>
        <v>9</v>
      </c>
      <c r="M2120" s="5">
        <f t="shared" si="546"/>
        <v>2023</v>
      </c>
      <c r="N2120" s="96">
        <v>1738</v>
      </c>
      <c r="O2120" s="6">
        <f t="shared" ref="O2120:O2124" si="550">-N2120</f>
        <v>-1738</v>
      </c>
      <c r="P2120" s="6">
        <f t="shared" si="548"/>
        <v>0</v>
      </c>
      <c r="Q2120" s="7">
        <f t="shared" si="549"/>
        <v>3613034.0500000017</v>
      </c>
      <c r="R2120" s="44" t="str">
        <f>VLOOKUP(F2120,'Set up'!$A$2:$E$70,5,FALSE)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542"/>
        <v>9</v>
      </c>
      <c r="C2121" s="5">
        <f t="shared" si="543"/>
        <v>2023</v>
      </c>
      <c r="D2121" s="88" t="s">
        <v>1905</v>
      </c>
      <c r="E2121" s="5" t="str">
        <f>VLOOKUP(F2121,'Set up'!$A$2:$C$70,2,FALSE)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up'!$A$2:$C$70,3,FALSE)</f>
        <v>Cash</v>
      </c>
      <c r="J2121" s="5">
        <f>VLOOKUP(F2121,'Set up'!$A$2:$D$70,4,FALSE)</f>
        <v>0</v>
      </c>
      <c r="K2121" s="4">
        <f t="shared" si="544"/>
        <v>45187</v>
      </c>
      <c r="L2121" s="5">
        <f t="shared" si="545"/>
        <v>9</v>
      </c>
      <c r="M2121" s="5">
        <f t="shared" si="546"/>
        <v>2023</v>
      </c>
      <c r="N2121" s="96">
        <v>3600</v>
      </c>
      <c r="O2121" s="6">
        <f>-1644.8-1955.2</f>
        <v>-3600</v>
      </c>
      <c r="P2121" s="6">
        <f t="shared" si="548"/>
        <v>0</v>
      </c>
      <c r="Q2121" s="7">
        <f t="shared" si="549"/>
        <v>3616634.0500000017</v>
      </c>
      <c r="R2121" s="44" t="str">
        <f>VLOOKUP(F2121,'Set up'!$A$2:$E$70,5,FALSE)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542"/>
        <v>9</v>
      </c>
      <c r="C2122" s="5">
        <f t="shared" si="543"/>
        <v>2023</v>
      </c>
      <c r="D2122" s="88" t="s">
        <v>1905</v>
      </c>
      <c r="E2122" s="5" t="str">
        <f>VLOOKUP(F2122,'Set up'!$A$2:$C$70,2,FALSE)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up'!$A$2:$C$70,3,FALSE)</f>
        <v>Cash</v>
      </c>
      <c r="J2122" s="5">
        <f>VLOOKUP(F2122,'Set up'!$A$2:$D$70,4,FALSE)</f>
        <v>0</v>
      </c>
      <c r="K2122" s="4">
        <f t="shared" si="544"/>
        <v>45187</v>
      </c>
      <c r="L2122" s="5">
        <f t="shared" si="545"/>
        <v>9</v>
      </c>
      <c r="M2122" s="5">
        <f t="shared" si="546"/>
        <v>2023</v>
      </c>
      <c r="N2122" s="96">
        <v>702</v>
      </c>
      <c r="O2122" s="6">
        <f t="shared" si="550"/>
        <v>-702</v>
      </c>
      <c r="P2122" s="6">
        <f t="shared" si="548"/>
        <v>0</v>
      </c>
      <c r="Q2122" s="7">
        <f t="shared" si="549"/>
        <v>3617336.0500000017</v>
      </c>
      <c r="R2122" s="44" t="str">
        <f>VLOOKUP(F2122,'Set up'!$A$2:$E$70,5,FALSE)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542"/>
        <v>9</v>
      </c>
      <c r="C2123" s="5">
        <f t="shared" si="543"/>
        <v>2023</v>
      </c>
      <c r="D2123" s="88" t="s">
        <v>1905</v>
      </c>
      <c r="E2123" s="5" t="str">
        <f>VLOOKUP(F2123,'Set up'!$A$2:$C$70,2,FALSE)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up'!$A$2:$C$70,3,FALSE)</f>
        <v>Cash</v>
      </c>
      <c r="J2123" s="5">
        <f>VLOOKUP(F2123,'Set up'!$A$2:$D$70,4,FALSE)</f>
        <v>0</v>
      </c>
      <c r="K2123" s="4">
        <f t="shared" si="544"/>
        <v>45187</v>
      </c>
      <c r="L2123" s="5">
        <f t="shared" si="545"/>
        <v>9</v>
      </c>
      <c r="M2123" s="5">
        <f t="shared" si="546"/>
        <v>2023</v>
      </c>
      <c r="N2123" s="96">
        <v>234</v>
      </c>
      <c r="O2123" s="6">
        <f t="shared" si="550"/>
        <v>-234</v>
      </c>
      <c r="P2123" s="6">
        <f t="shared" si="548"/>
        <v>0</v>
      </c>
      <c r="Q2123" s="7">
        <f t="shared" si="549"/>
        <v>3617570.0500000017</v>
      </c>
      <c r="R2123" s="44" t="str">
        <f>VLOOKUP(F2123,'Set up'!$A$2:$E$70,5,FALSE)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542"/>
        <v>9</v>
      </c>
      <c r="C2124" s="5">
        <f t="shared" si="543"/>
        <v>2023</v>
      </c>
      <c r="D2124" s="88" t="s">
        <v>1905</v>
      </c>
      <c r="E2124" s="5" t="str">
        <f>VLOOKUP(F2124,'Set up'!$A$2:$C$70,2,FALSE)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up'!$A$2:$C$70,3,FALSE)</f>
        <v>Cash</v>
      </c>
      <c r="J2124" s="5">
        <f>VLOOKUP(F2124,'Set up'!$A$2:$D$70,4,FALSE)</f>
        <v>0</v>
      </c>
      <c r="K2124" s="4">
        <f t="shared" si="544"/>
        <v>45187</v>
      </c>
      <c r="L2124" s="5">
        <f t="shared" si="545"/>
        <v>9</v>
      </c>
      <c r="M2124" s="5">
        <f t="shared" si="546"/>
        <v>2023</v>
      </c>
      <c r="N2124" s="96">
        <v>250</v>
      </c>
      <c r="O2124" s="6">
        <f t="shared" si="550"/>
        <v>-250</v>
      </c>
      <c r="P2124" s="6">
        <f t="shared" si="548"/>
        <v>0</v>
      </c>
      <c r="Q2124" s="7">
        <f t="shared" si="549"/>
        <v>3617820.0500000017</v>
      </c>
      <c r="R2124" s="44" t="str">
        <f>VLOOKUP(F2124,'Set up'!$A$2:$E$70,5,FALSE)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542"/>
        <v>9</v>
      </c>
      <c r="C2125" s="5">
        <f t="shared" si="543"/>
        <v>2023</v>
      </c>
      <c r="D2125" s="88" t="s">
        <v>1905</v>
      </c>
      <c r="E2125" s="5" t="str">
        <f>VLOOKUP(F2125,'Set up'!$A$2:$C$70,2,FALSE)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up'!$A$2:$C$70,3,FALSE)</f>
        <v>Cash</v>
      </c>
      <c r="J2125" s="5">
        <f>VLOOKUP(F2125,'Set up'!$A$2:$D$70,4,FALSE)</f>
        <v>0</v>
      </c>
      <c r="K2125" s="4">
        <f t="shared" si="544"/>
        <v>45187</v>
      </c>
      <c r="L2125" s="5">
        <f t="shared" si="545"/>
        <v>9</v>
      </c>
      <c r="M2125" s="5">
        <f t="shared" si="546"/>
        <v>2023</v>
      </c>
      <c r="N2125" s="96">
        <v>175</v>
      </c>
      <c r="O2125" s="6">
        <f t="shared" ref="O2125" si="551">-N2125</f>
        <v>-175</v>
      </c>
      <c r="P2125" s="6">
        <f t="shared" si="548"/>
        <v>0</v>
      </c>
      <c r="Q2125" s="7">
        <f t="shared" si="549"/>
        <v>3617995.0500000017</v>
      </c>
      <c r="R2125" s="44" t="str">
        <f>VLOOKUP(F2125,'Set up'!$A$2:$E$70,5,FALSE)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542"/>
        <v>9</v>
      </c>
      <c r="C2126" s="5">
        <f t="shared" si="543"/>
        <v>2023</v>
      </c>
      <c r="D2126" s="88" t="s">
        <v>1909</v>
      </c>
      <c r="E2126" s="5" t="str">
        <f>VLOOKUP(F2126,'Set up'!$A$2:$C$70,2,FALSE)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up'!$A$2:$C$70,3,FALSE)</f>
        <v>Cash</v>
      </c>
      <c r="J2126" s="5">
        <f>VLOOKUP(F2126,'Set up'!$A$2:$D$70,4,FALSE)</f>
        <v>0</v>
      </c>
      <c r="K2126" s="4">
        <f t="shared" si="544"/>
        <v>45188</v>
      </c>
      <c r="L2126" s="5">
        <f t="shared" si="545"/>
        <v>9</v>
      </c>
      <c r="M2126" s="5">
        <f t="shared" si="546"/>
        <v>2023</v>
      </c>
      <c r="N2126" s="96">
        <v>560</v>
      </c>
      <c r="O2126" s="6">
        <f t="shared" ref="O2126" si="552">-N2126</f>
        <v>-560</v>
      </c>
      <c r="P2126" s="6">
        <f t="shared" si="548"/>
        <v>0</v>
      </c>
      <c r="Q2126" s="7">
        <f t="shared" si="549"/>
        <v>3618555.0500000017</v>
      </c>
      <c r="R2126" s="44" t="str">
        <f>VLOOKUP(F2126,'Set up'!$A$2:$E$70,5,FALSE)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542"/>
        <v>9</v>
      </c>
      <c r="C2127" s="5">
        <f t="shared" si="543"/>
        <v>2023</v>
      </c>
      <c r="D2127" s="88" t="s">
        <v>1910</v>
      </c>
      <c r="E2127" s="5" t="str">
        <f>VLOOKUP(F2127,'Set up'!$A$2:$C$70,2,FALSE)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up'!$A$2:$C$70,3,FALSE)</f>
        <v>Cash</v>
      </c>
      <c r="J2127" s="5">
        <f>VLOOKUP(F2127,'Set up'!$A$2:$D$70,4,FALSE)</f>
        <v>0</v>
      </c>
      <c r="K2127" s="4">
        <f t="shared" si="544"/>
        <v>45189</v>
      </c>
      <c r="L2127" s="5">
        <f t="shared" si="545"/>
        <v>9</v>
      </c>
      <c r="M2127" s="5">
        <f t="shared" si="546"/>
        <v>2023</v>
      </c>
      <c r="N2127" s="96">
        <v>125</v>
      </c>
      <c r="O2127" s="6">
        <f t="shared" ref="O2127:O2132" si="553">-N2127</f>
        <v>-125</v>
      </c>
      <c r="P2127" s="6">
        <f t="shared" si="548"/>
        <v>0</v>
      </c>
      <c r="Q2127" s="7">
        <f t="shared" si="549"/>
        <v>3618680.0500000017</v>
      </c>
      <c r="R2127" s="44" t="str">
        <f>VLOOKUP(F2127,'Set up'!$A$2:$E$70,5,FALSE)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542"/>
        <v>9</v>
      </c>
      <c r="C2128" s="5">
        <f t="shared" si="543"/>
        <v>2023</v>
      </c>
      <c r="D2128" s="88" t="s">
        <v>1911</v>
      </c>
      <c r="E2128" s="5" t="str">
        <f>VLOOKUP(F2128,'Set up'!$A$2:$C$70,2,FALSE)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up'!$A$2:$C$70,3,FALSE)</f>
        <v>Cash</v>
      </c>
      <c r="J2128" s="5">
        <f>VLOOKUP(F2128,'Set up'!$A$2:$D$70,4,FALSE)</f>
        <v>0</v>
      </c>
      <c r="K2128" s="4">
        <f t="shared" si="544"/>
        <v>45189</v>
      </c>
      <c r="L2128" s="5">
        <f t="shared" si="545"/>
        <v>9</v>
      </c>
      <c r="M2128" s="5">
        <f t="shared" si="546"/>
        <v>2023</v>
      </c>
      <c r="N2128" s="96">
        <v>3212</v>
      </c>
      <c r="O2128" s="6">
        <f t="shared" si="553"/>
        <v>-3212</v>
      </c>
      <c r="P2128" s="6">
        <f t="shared" si="548"/>
        <v>0</v>
      </c>
      <c r="Q2128" s="7">
        <f t="shared" si="549"/>
        <v>3621892.0500000017</v>
      </c>
      <c r="R2128" s="44" t="str">
        <f>VLOOKUP(F2128,'Set up'!$A$2:$E$70,5,FALSE)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542"/>
        <v>9</v>
      </c>
      <c r="C2129" s="5">
        <f t="shared" si="543"/>
        <v>2023</v>
      </c>
      <c r="D2129" s="88" t="s">
        <v>1911</v>
      </c>
      <c r="E2129" s="5" t="str">
        <f>VLOOKUP(F2129,'Set up'!$A$2:$C$70,2,FALSE)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up'!$A$2:$C$70,3,FALSE)</f>
        <v>Cash</v>
      </c>
      <c r="J2129" s="5">
        <f>VLOOKUP(F2129,'Set up'!$A$2:$D$70,4,FALSE)</f>
        <v>0</v>
      </c>
      <c r="K2129" s="4">
        <f t="shared" si="544"/>
        <v>45189</v>
      </c>
      <c r="L2129" s="5">
        <f t="shared" si="545"/>
        <v>9</v>
      </c>
      <c r="M2129" s="5">
        <f t="shared" si="546"/>
        <v>2023</v>
      </c>
      <c r="N2129" s="96">
        <v>1134</v>
      </c>
      <c r="O2129" s="6">
        <f t="shared" si="553"/>
        <v>-1134</v>
      </c>
      <c r="P2129" s="6">
        <f t="shared" si="548"/>
        <v>0</v>
      </c>
      <c r="Q2129" s="7">
        <f t="shared" si="549"/>
        <v>3623026.0500000017</v>
      </c>
      <c r="R2129" s="44" t="str">
        <f>VLOOKUP(F2129,'Set up'!$A$2:$E$70,5,FALSE)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542"/>
        <v>9</v>
      </c>
      <c r="C2130" s="5">
        <f t="shared" si="543"/>
        <v>2023</v>
      </c>
      <c r="D2130" s="88" t="s">
        <v>1911</v>
      </c>
      <c r="E2130" s="5" t="str">
        <f>VLOOKUP(F2130,'Set up'!$A$2:$C$70,2,FALSE)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up'!$A$2:$C$70,3,FALSE)</f>
        <v>Cash</v>
      </c>
      <c r="J2130" s="5">
        <f>VLOOKUP(F2130,'Set up'!$A$2:$D$70,4,FALSE)</f>
        <v>0</v>
      </c>
      <c r="K2130" s="4">
        <f t="shared" si="544"/>
        <v>45189</v>
      </c>
      <c r="L2130" s="5">
        <f t="shared" si="545"/>
        <v>9</v>
      </c>
      <c r="M2130" s="5">
        <f t="shared" si="546"/>
        <v>2023</v>
      </c>
      <c r="N2130" s="96">
        <v>600</v>
      </c>
      <c r="O2130" s="6">
        <f t="shared" si="553"/>
        <v>-600</v>
      </c>
      <c r="P2130" s="6">
        <f t="shared" si="548"/>
        <v>0</v>
      </c>
      <c r="Q2130" s="7">
        <f t="shared" si="549"/>
        <v>3623626.0500000017</v>
      </c>
      <c r="R2130" s="44" t="str">
        <f>VLOOKUP(F2130,'Set up'!$A$2:$E$70,5,FALSE)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542"/>
        <v>9</v>
      </c>
      <c r="C2131" s="5">
        <f t="shared" si="543"/>
        <v>2023</v>
      </c>
      <c r="D2131" s="88" t="s">
        <v>1911</v>
      </c>
      <c r="E2131" s="5" t="str">
        <f>VLOOKUP(F2131,'Set up'!$A$2:$C$70,2,FALSE)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up'!$A$2:$C$70,3,FALSE)</f>
        <v>Cash</v>
      </c>
      <c r="J2131" s="5">
        <f>VLOOKUP(F2131,'Set up'!$A$2:$D$70,4,FALSE)</f>
        <v>0</v>
      </c>
      <c r="K2131" s="4">
        <f t="shared" si="544"/>
        <v>45189</v>
      </c>
      <c r="L2131" s="5">
        <f t="shared" si="545"/>
        <v>9</v>
      </c>
      <c r="M2131" s="5">
        <f t="shared" si="546"/>
        <v>2023</v>
      </c>
      <c r="N2131" s="96">
        <v>1000</v>
      </c>
      <c r="O2131" s="6">
        <f t="shared" si="553"/>
        <v>-1000</v>
      </c>
      <c r="P2131" s="6">
        <f t="shared" si="548"/>
        <v>0</v>
      </c>
      <c r="Q2131" s="7">
        <f t="shared" si="549"/>
        <v>3624626.0500000017</v>
      </c>
      <c r="R2131" s="44" t="str">
        <f>VLOOKUP(F2131,'Set up'!$A$2:$E$70,5,FALSE)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542"/>
        <v>9</v>
      </c>
      <c r="C2132" s="5">
        <f t="shared" si="543"/>
        <v>2023</v>
      </c>
      <c r="D2132" s="88" t="s">
        <v>1911</v>
      </c>
      <c r="E2132" s="5" t="str">
        <f>VLOOKUP(F2132,'Set up'!$A$2:$C$70,2,FALSE)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up'!$A$2:$C$70,3,FALSE)</f>
        <v>Cash</v>
      </c>
      <c r="J2132" s="5">
        <f>VLOOKUP(F2132,'Set up'!$A$2:$D$70,4,FALSE)</f>
        <v>0</v>
      </c>
      <c r="K2132" s="4">
        <f t="shared" si="544"/>
        <v>45189</v>
      </c>
      <c r="L2132" s="5">
        <f t="shared" si="545"/>
        <v>9</v>
      </c>
      <c r="M2132" s="5">
        <f t="shared" si="546"/>
        <v>2023</v>
      </c>
      <c r="N2132" s="96">
        <v>380</v>
      </c>
      <c r="O2132" s="6">
        <f t="shared" si="553"/>
        <v>-380</v>
      </c>
      <c r="P2132" s="6">
        <f t="shared" si="548"/>
        <v>0</v>
      </c>
      <c r="Q2132" s="7">
        <f t="shared" si="549"/>
        <v>3625006.0500000017</v>
      </c>
      <c r="R2132" s="44" t="str">
        <f>VLOOKUP(F2132,'Set up'!$A$2:$E$70,5,FALSE)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542"/>
        <v>9</v>
      </c>
      <c r="C2133" s="5">
        <f t="shared" si="543"/>
        <v>2023</v>
      </c>
      <c r="D2133" s="88" t="s">
        <v>1913</v>
      </c>
      <c r="E2133" s="5" t="str">
        <f>VLOOKUP(F2133,'Set up'!$A$2:$C$70,2,FALSE)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up'!$A$2:$C$70,3,FALSE)</f>
        <v>30</v>
      </c>
      <c r="J2133" s="5">
        <f>VLOOKUP(F2133,'Set up'!$A$2:$D$70,4,FALSE)</f>
        <v>30</v>
      </c>
      <c r="K2133" s="4">
        <f t="shared" si="544"/>
        <v>45221</v>
      </c>
      <c r="L2133" s="5">
        <f t="shared" si="545"/>
        <v>10</v>
      </c>
      <c r="M2133" s="5">
        <f t="shared" si="546"/>
        <v>2023</v>
      </c>
      <c r="N2133" s="96">
        <v>10428</v>
      </c>
      <c r="O2133" s="6">
        <f t="shared" ref="O2133:O2139" si="554">-N2133</f>
        <v>-10428</v>
      </c>
      <c r="P2133" s="6">
        <f t="shared" si="548"/>
        <v>0</v>
      </c>
      <c r="Q2133" s="7">
        <f t="shared" si="549"/>
        <v>3635434.0500000017</v>
      </c>
      <c r="R2133" s="44" t="str">
        <f>VLOOKUP(F2133,'Set up'!$A$2:$E$70,5,FALSE)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542"/>
        <v>9</v>
      </c>
      <c r="C2134" s="5">
        <f t="shared" si="543"/>
        <v>2023</v>
      </c>
      <c r="D2134" s="88" t="s">
        <v>1913</v>
      </c>
      <c r="E2134" s="5" t="str">
        <f>VLOOKUP(F2134,'Set up'!$A$2:$C$70,2,FALSE)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up'!$A$2:$C$70,3,FALSE)</f>
        <v>30</v>
      </c>
      <c r="J2134" s="5">
        <f>VLOOKUP(F2134,'Set up'!$A$2:$D$70,4,FALSE)</f>
        <v>30</v>
      </c>
      <c r="K2134" s="4">
        <f t="shared" si="544"/>
        <v>45221</v>
      </c>
      <c r="L2134" s="5">
        <f t="shared" si="545"/>
        <v>10</v>
      </c>
      <c r="M2134" s="5">
        <f t="shared" si="546"/>
        <v>2023</v>
      </c>
      <c r="N2134" s="96">
        <v>2948.4</v>
      </c>
      <c r="O2134" s="6">
        <f t="shared" si="554"/>
        <v>-2948.4</v>
      </c>
      <c r="P2134" s="6">
        <f t="shared" si="548"/>
        <v>0</v>
      </c>
      <c r="Q2134" s="7">
        <f t="shared" si="549"/>
        <v>3638382.4500000016</v>
      </c>
      <c r="R2134" s="44" t="str">
        <f>VLOOKUP(F2134,'Set up'!$A$2:$E$70,5,FALSE)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542"/>
        <v>9</v>
      </c>
      <c r="C2135" s="5">
        <f t="shared" si="543"/>
        <v>2023</v>
      </c>
      <c r="D2135" s="88" t="s">
        <v>1913</v>
      </c>
      <c r="E2135" s="5" t="str">
        <f>VLOOKUP(F2135,'Set up'!$A$2:$C$70,2,FALSE)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up'!$A$2:$C$70,3,FALSE)</f>
        <v>30</v>
      </c>
      <c r="J2135" s="5">
        <f>VLOOKUP(F2135,'Set up'!$A$2:$D$70,4,FALSE)</f>
        <v>30</v>
      </c>
      <c r="K2135" s="4">
        <f t="shared" si="544"/>
        <v>45221</v>
      </c>
      <c r="L2135" s="5">
        <f t="shared" si="545"/>
        <v>10</v>
      </c>
      <c r="M2135" s="5">
        <f t="shared" si="546"/>
        <v>2023</v>
      </c>
      <c r="N2135" s="96">
        <v>288</v>
      </c>
      <c r="O2135" s="6">
        <f t="shared" si="554"/>
        <v>-288</v>
      </c>
      <c r="P2135" s="6">
        <f t="shared" si="548"/>
        <v>0</v>
      </c>
      <c r="Q2135" s="7">
        <f t="shared" si="549"/>
        <v>3638670.4500000016</v>
      </c>
      <c r="R2135" s="44" t="str">
        <f>VLOOKUP(F2135,'Set up'!$A$2:$E$70,5,FALSE)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542"/>
        <v>9</v>
      </c>
      <c r="C2136" s="5">
        <f t="shared" si="543"/>
        <v>2023</v>
      </c>
      <c r="D2136" s="88" t="s">
        <v>1913</v>
      </c>
      <c r="E2136" s="5" t="str">
        <f>VLOOKUP(F2136,'Set up'!$A$2:$C$70,2,FALSE)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up'!$A$2:$C$70,3,FALSE)</f>
        <v>30</v>
      </c>
      <c r="J2136" s="5">
        <f>VLOOKUP(F2136,'Set up'!$A$2:$D$70,4,FALSE)</f>
        <v>30</v>
      </c>
      <c r="K2136" s="4">
        <f t="shared" si="544"/>
        <v>45221</v>
      </c>
      <c r="L2136" s="5">
        <f t="shared" si="545"/>
        <v>10</v>
      </c>
      <c r="M2136" s="5">
        <f t="shared" si="546"/>
        <v>2023</v>
      </c>
      <c r="N2136" s="96">
        <v>312.5</v>
      </c>
      <c r="O2136" s="6">
        <f t="shared" si="554"/>
        <v>-312.5</v>
      </c>
      <c r="P2136" s="6">
        <f t="shared" si="548"/>
        <v>0</v>
      </c>
      <c r="Q2136" s="7">
        <f t="shared" si="549"/>
        <v>3638982.9500000016</v>
      </c>
      <c r="R2136" s="44" t="str">
        <f>VLOOKUP(F2136,'Set up'!$A$2:$E$70,5,FALSE)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542"/>
        <v>9</v>
      </c>
      <c r="C2137" s="5">
        <f t="shared" si="543"/>
        <v>2023</v>
      </c>
      <c r="D2137" s="88" t="s">
        <v>1913</v>
      </c>
      <c r="E2137" s="5" t="str">
        <f>VLOOKUP(F2137,'Set up'!$A$2:$C$70,2,FALSE)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up'!$A$2:$C$70,3,FALSE)</f>
        <v>30</v>
      </c>
      <c r="J2137" s="5">
        <f>VLOOKUP(F2137,'Set up'!$A$2:$D$70,4,FALSE)</f>
        <v>30</v>
      </c>
      <c r="K2137" s="4">
        <f t="shared" si="544"/>
        <v>45221</v>
      </c>
      <c r="L2137" s="5">
        <f t="shared" si="545"/>
        <v>10</v>
      </c>
      <c r="M2137" s="5">
        <f t="shared" si="546"/>
        <v>2023</v>
      </c>
      <c r="N2137" s="96">
        <v>520</v>
      </c>
      <c r="O2137" s="6">
        <f t="shared" si="554"/>
        <v>-520</v>
      </c>
      <c r="P2137" s="6">
        <f t="shared" si="548"/>
        <v>0</v>
      </c>
      <c r="Q2137" s="7">
        <f t="shared" si="549"/>
        <v>3639502.9500000016</v>
      </c>
      <c r="R2137" s="44" t="str">
        <f>VLOOKUP(F2137,'Set up'!$A$2:$E$70,5,FALSE)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542"/>
        <v>9</v>
      </c>
      <c r="C2138" s="5">
        <f t="shared" si="543"/>
        <v>2023</v>
      </c>
      <c r="D2138" s="88" t="s">
        <v>1913</v>
      </c>
      <c r="E2138" s="5" t="str">
        <f>VLOOKUP(F2138,'Set up'!$A$2:$C$70,2,FALSE)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up'!$A$2:$C$70,3,FALSE)</f>
        <v>30</v>
      </c>
      <c r="J2138" s="5">
        <f>VLOOKUP(F2138,'Set up'!$A$2:$D$70,4,FALSE)</f>
        <v>30</v>
      </c>
      <c r="K2138" s="4">
        <f t="shared" si="544"/>
        <v>45221</v>
      </c>
      <c r="L2138" s="5">
        <f t="shared" si="545"/>
        <v>10</v>
      </c>
      <c r="M2138" s="5">
        <f t="shared" si="546"/>
        <v>2023</v>
      </c>
      <c r="N2138" s="96">
        <v>930</v>
      </c>
      <c r="O2138" s="6">
        <f t="shared" si="554"/>
        <v>-930</v>
      </c>
      <c r="P2138" s="6">
        <f t="shared" si="548"/>
        <v>0</v>
      </c>
      <c r="Q2138" s="7">
        <f t="shared" si="549"/>
        <v>3640432.9500000016</v>
      </c>
      <c r="R2138" s="44" t="str">
        <f>VLOOKUP(F2138,'Set up'!$A$2:$E$70,5,FALSE)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542"/>
        <v>9</v>
      </c>
      <c r="C2139" s="5">
        <f t="shared" si="543"/>
        <v>2023</v>
      </c>
      <c r="D2139" s="88" t="s">
        <v>1913</v>
      </c>
      <c r="E2139" s="5" t="str">
        <f>VLOOKUP(F2139,'Set up'!$A$2:$C$70,2,FALSE)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up'!$A$2:$C$70,3,FALSE)</f>
        <v>30</v>
      </c>
      <c r="J2139" s="5">
        <f>VLOOKUP(F2139,'Set up'!$A$2:$D$70,4,FALSE)</f>
        <v>30</v>
      </c>
      <c r="K2139" s="4">
        <f t="shared" si="544"/>
        <v>45221</v>
      </c>
      <c r="L2139" s="5">
        <f t="shared" si="545"/>
        <v>10</v>
      </c>
      <c r="M2139" s="5">
        <f t="shared" si="546"/>
        <v>2023</v>
      </c>
      <c r="N2139" s="96">
        <v>190</v>
      </c>
      <c r="O2139" s="6">
        <f t="shared" si="554"/>
        <v>-190</v>
      </c>
      <c r="P2139" s="6">
        <f t="shared" si="548"/>
        <v>0</v>
      </c>
      <c r="Q2139" s="7">
        <f t="shared" si="549"/>
        <v>3640622.9500000016</v>
      </c>
      <c r="R2139" s="44" t="str">
        <f>VLOOKUP(F2139,'Set up'!$A$2:$E$70,5,FALSE)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si="542"/>
        <v>9</v>
      </c>
      <c r="C2140" s="5">
        <f t="shared" si="543"/>
        <v>2023</v>
      </c>
      <c r="D2140" s="88" t="s">
        <v>1914</v>
      </c>
      <c r="E2140" s="5" t="str">
        <f>VLOOKUP(F2140,'Set up'!$A$2:$C$70,2,FALSE)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up'!$A$2:$C$70,3,FALSE)</f>
        <v>Cash</v>
      </c>
      <c r="J2140" s="5">
        <f>VLOOKUP(F2140,'Set up'!$A$2:$D$70,4,FALSE)</f>
        <v>0</v>
      </c>
      <c r="K2140" s="4">
        <f t="shared" si="544"/>
        <v>45191</v>
      </c>
      <c r="L2140" s="5">
        <f t="shared" si="545"/>
        <v>9</v>
      </c>
      <c r="M2140" s="5">
        <f t="shared" si="546"/>
        <v>2023</v>
      </c>
      <c r="N2140" s="96">
        <v>3388</v>
      </c>
      <c r="O2140" s="6">
        <f t="shared" ref="O2140:O2146" si="555">-N2140</f>
        <v>-3388</v>
      </c>
      <c r="P2140" s="6">
        <f t="shared" ref="P2140:P2154" si="556">SUM(N2140+O2140)</f>
        <v>0</v>
      </c>
      <c r="Q2140" s="7">
        <f t="shared" ref="Q2140:Q2154" si="557">SUM(Q2139+N2140)</f>
        <v>3644010.9500000016</v>
      </c>
      <c r="R2140" s="44" t="str">
        <f>VLOOKUP(F2140,'Set up'!$A$2:$E$70,5,FALSE)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542"/>
        <v>9</v>
      </c>
      <c r="C2141" s="5">
        <f t="shared" si="543"/>
        <v>2023</v>
      </c>
      <c r="D2141" s="88" t="s">
        <v>1914</v>
      </c>
      <c r="E2141" s="5" t="str">
        <f>VLOOKUP(F2141,'Set up'!$A$2:$C$70,2,FALSE)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up'!$A$2:$C$70,3,FALSE)</f>
        <v>Cash</v>
      </c>
      <c r="J2141" s="5">
        <f>VLOOKUP(F2141,'Set up'!$A$2:$D$70,4,FALSE)</f>
        <v>0</v>
      </c>
      <c r="K2141" s="4">
        <f t="shared" si="544"/>
        <v>45191</v>
      </c>
      <c r="L2141" s="5">
        <f t="shared" si="545"/>
        <v>9</v>
      </c>
      <c r="M2141" s="5">
        <f t="shared" si="546"/>
        <v>2023</v>
      </c>
      <c r="N2141" s="96">
        <v>936</v>
      </c>
      <c r="O2141" s="6">
        <f t="shared" si="555"/>
        <v>-936</v>
      </c>
      <c r="P2141" s="6">
        <f t="shared" si="556"/>
        <v>0</v>
      </c>
      <c r="Q2141" s="7">
        <f t="shared" si="557"/>
        <v>3644946.9500000016</v>
      </c>
      <c r="R2141" s="44" t="str">
        <f>VLOOKUP(F2141,'Set up'!$A$2:$E$70,5,FALSE)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542"/>
        <v>9</v>
      </c>
      <c r="C2142" s="5">
        <f t="shared" si="543"/>
        <v>2023</v>
      </c>
      <c r="D2142" s="88" t="s">
        <v>1914</v>
      </c>
      <c r="E2142" s="5" t="str">
        <f>VLOOKUP(F2142,'Set up'!$A$2:$C$70,2,FALSE)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up'!$A$2:$C$70,3,FALSE)</f>
        <v>Cash</v>
      </c>
      <c r="J2142" s="5">
        <f>VLOOKUP(F2142,'Set up'!$A$2:$D$70,4,FALSE)</f>
        <v>0</v>
      </c>
      <c r="K2142" s="4">
        <f t="shared" si="544"/>
        <v>45191</v>
      </c>
      <c r="L2142" s="5">
        <f t="shared" si="545"/>
        <v>9</v>
      </c>
      <c r="M2142" s="5">
        <f t="shared" si="546"/>
        <v>2023</v>
      </c>
      <c r="N2142" s="96">
        <v>322.5</v>
      </c>
      <c r="O2142" s="6">
        <f t="shared" si="555"/>
        <v>-322.5</v>
      </c>
      <c r="P2142" s="6">
        <f t="shared" si="556"/>
        <v>0</v>
      </c>
      <c r="Q2142" s="7">
        <f t="shared" si="557"/>
        <v>3645269.4500000016</v>
      </c>
      <c r="R2142" s="44" t="str">
        <f>VLOOKUP(F2142,'Set up'!$A$2:$E$70,5,FALSE)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542"/>
        <v>9</v>
      </c>
      <c r="C2143" s="5">
        <f t="shared" si="543"/>
        <v>2023</v>
      </c>
      <c r="D2143" s="88" t="s">
        <v>1914</v>
      </c>
      <c r="E2143" s="5" t="str">
        <f>VLOOKUP(F2143,'Set up'!$A$2:$C$70,2,FALSE)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up'!$A$2:$C$70,3,FALSE)</f>
        <v>Cash</v>
      </c>
      <c r="J2143" s="5">
        <f>VLOOKUP(F2143,'Set up'!$A$2:$D$70,4,FALSE)</f>
        <v>0</v>
      </c>
      <c r="K2143" s="4">
        <f t="shared" si="544"/>
        <v>45191</v>
      </c>
      <c r="L2143" s="5">
        <f t="shared" si="545"/>
        <v>9</v>
      </c>
      <c r="M2143" s="5">
        <f t="shared" si="546"/>
        <v>2023</v>
      </c>
      <c r="N2143" s="96">
        <v>160</v>
      </c>
      <c r="O2143" s="6">
        <f t="shared" si="555"/>
        <v>-160</v>
      </c>
      <c r="P2143" s="6">
        <f t="shared" si="556"/>
        <v>0</v>
      </c>
      <c r="Q2143" s="7">
        <f t="shared" si="557"/>
        <v>3645429.4500000016</v>
      </c>
      <c r="R2143" s="44" t="str">
        <f>VLOOKUP(F2143,'Set up'!$A$2:$E$70,5,FALSE)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542"/>
        <v>9</v>
      </c>
      <c r="C2144" s="5">
        <f t="shared" si="543"/>
        <v>2023</v>
      </c>
      <c r="D2144" s="88" t="s">
        <v>1914</v>
      </c>
      <c r="E2144" s="5" t="str">
        <f>VLOOKUP(F2144,'Set up'!$A$2:$C$70,2,FALSE)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up'!$A$2:$C$70,3,FALSE)</f>
        <v>Cash</v>
      </c>
      <c r="J2144" s="5">
        <f>VLOOKUP(F2144,'Set up'!$A$2:$D$70,4,FALSE)</f>
        <v>0</v>
      </c>
      <c r="K2144" s="4">
        <f t="shared" si="544"/>
        <v>45191</v>
      </c>
      <c r="L2144" s="5">
        <f t="shared" si="545"/>
        <v>9</v>
      </c>
      <c r="M2144" s="5">
        <f t="shared" si="546"/>
        <v>2023</v>
      </c>
      <c r="N2144" s="96">
        <v>165</v>
      </c>
      <c r="O2144" s="6">
        <f t="shared" si="555"/>
        <v>-165</v>
      </c>
      <c r="P2144" s="6">
        <f t="shared" si="556"/>
        <v>0</v>
      </c>
      <c r="Q2144" s="7">
        <f t="shared" si="557"/>
        <v>3645594.4500000016</v>
      </c>
      <c r="R2144" s="44" t="str">
        <f>VLOOKUP(F2144,'Set up'!$A$2:$E$70,5,FALSE)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542"/>
        <v>9</v>
      </c>
      <c r="C2145" s="5">
        <f t="shared" si="543"/>
        <v>2023</v>
      </c>
      <c r="D2145" s="88" t="s">
        <v>1914</v>
      </c>
      <c r="E2145" s="5" t="str">
        <f>VLOOKUP(F2145,'Set up'!$A$2:$C$70,2,FALSE)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up'!$A$2:$C$70,3,FALSE)</f>
        <v>Cash</v>
      </c>
      <c r="J2145" s="5">
        <f>VLOOKUP(F2145,'Set up'!$A$2:$D$70,4,FALSE)</f>
        <v>0</v>
      </c>
      <c r="K2145" s="4">
        <f t="shared" si="544"/>
        <v>45191</v>
      </c>
      <c r="L2145" s="5">
        <f t="shared" si="545"/>
        <v>9</v>
      </c>
      <c r="M2145" s="5">
        <f t="shared" si="546"/>
        <v>2023</v>
      </c>
      <c r="N2145" s="96">
        <v>105</v>
      </c>
      <c r="O2145" s="6">
        <f t="shared" si="555"/>
        <v>-105</v>
      </c>
      <c r="P2145" s="6">
        <f t="shared" si="556"/>
        <v>0</v>
      </c>
      <c r="Q2145" s="7">
        <f t="shared" si="557"/>
        <v>3645699.4500000016</v>
      </c>
      <c r="R2145" s="44" t="str">
        <f>VLOOKUP(F2145,'Set up'!$A$2:$E$70,5,FALSE)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542"/>
        <v>9</v>
      </c>
      <c r="C2146" s="5">
        <f t="shared" si="543"/>
        <v>2023</v>
      </c>
      <c r="D2146" s="88" t="s">
        <v>1914</v>
      </c>
      <c r="E2146" s="5" t="str">
        <f>VLOOKUP(F2146,'Set up'!$A$2:$C$70,2,FALSE)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up'!$A$2:$C$70,3,FALSE)</f>
        <v>Cash</v>
      </c>
      <c r="J2146" s="5">
        <f>VLOOKUP(F2146,'Set up'!$A$2:$D$70,4,FALSE)</f>
        <v>0</v>
      </c>
      <c r="K2146" s="4">
        <f t="shared" si="544"/>
        <v>45191</v>
      </c>
      <c r="L2146" s="5">
        <f t="shared" si="545"/>
        <v>9</v>
      </c>
      <c r="M2146" s="5">
        <f t="shared" si="546"/>
        <v>2023</v>
      </c>
      <c r="N2146" s="96">
        <v>187.5</v>
      </c>
      <c r="O2146" s="6">
        <f t="shared" si="555"/>
        <v>-187.5</v>
      </c>
      <c r="P2146" s="6">
        <f t="shared" si="556"/>
        <v>0</v>
      </c>
      <c r="Q2146" s="7">
        <f t="shared" si="557"/>
        <v>3645886.9500000016</v>
      </c>
      <c r="R2146" s="44" t="str">
        <f>VLOOKUP(F2146,'Set up'!$A$2:$E$70,5,FALSE)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542"/>
        <v>9</v>
      </c>
      <c r="C2147" s="5">
        <f t="shared" si="543"/>
        <v>2023</v>
      </c>
      <c r="D2147" s="88" t="s">
        <v>1916</v>
      </c>
      <c r="E2147" s="5" t="str">
        <f>VLOOKUP(F2147,'Set up'!$A$2:$C$70,2,FALSE)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up'!$A$2:$C$70,3,FALSE)</f>
        <v>Cash</v>
      </c>
      <c r="J2147" s="5">
        <f>VLOOKUP(F2147,'Set up'!$A$2:$D$70,4,FALSE)</f>
        <v>0</v>
      </c>
      <c r="K2147" s="4">
        <f t="shared" si="544"/>
        <v>45192</v>
      </c>
      <c r="L2147" s="5">
        <f t="shared" si="545"/>
        <v>9</v>
      </c>
      <c r="M2147" s="5">
        <f t="shared" si="546"/>
        <v>2023</v>
      </c>
      <c r="N2147" s="96">
        <v>1738</v>
      </c>
      <c r="O2147" s="6">
        <f>-330.5-1400-7.5</f>
        <v>-1738</v>
      </c>
      <c r="P2147" s="6">
        <f t="shared" si="556"/>
        <v>0</v>
      </c>
      <c r="Q2147" s="7">
        <f t="shared" si="557"/>
        <v>3647624.9500000016</v>
      </c>
      <c r="R2147" s="44" t="str">
        <f>VLOOKUP(F2147,'Set up'!$A$2:$E$70,5,FALSE)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542"/>
        <v>9</v>
      </c>
      <c r="C2148" s="5">
        <f t="shared" si="543"/>
        <v>2023</v>
      </c>
      <c r="D2148" s="88" t="s">
        <v>1916</v>
      </c>
      <c r="E2148" s="5" t="str">
        <f>VLOOKUP(F2148,'Set up'!$A$2:$C$70,2,FALSE)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up'!$A$2:$C$70,3,FALSE)</f>
        <v>Cash</v>
      </c>
      <c r="J2148" s="5">
        <f>VLOOKUP(F2148,'Set up'!$A$2:$D$70,4,FALSE)</f>
        <v>0</v>
      </c>
      <c r="K2148" s="4">
        <f t="shared" si="544"/>
        <v>45192</v>
      </c>
      <c r="L2148" s="5">
        <f t="shared" si="545"/>
        <v>9</v>
      </c>
      <c r="M2148" s="5">
        <f t="shared" si="546"/>
        <v>2023</v>
      </c>
      <c r="N2148" s="96">
        <v>390</v>
      </c>
      <c r="O2148" s="6">
        <f>-N2148</f>
        <v>-390</v>
      </c>
      <c r="P2148" s="6">
        <f t="shared" si="556"/>
        <v>0</v>
      </c>
      <c r="Q2148" s="7">
        <f t="shared" si="557"/>
        <v>3648014.9500000016</v>
      </c>
      <c r="R2148" s="44" t="str">
        <f>VLOOKUP(F2148,'Set up'!$A$2:$E$70,5,FALSE)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542"/>
        <v>9</v>
      </c>
      <c r="C2149" s="5">
        <f t="shared" si="543"/>
        <v>2023</v>
      </c>
      <c r="D2149" s="88" t="s">
        <v>1919</v>
      </c>
      <c r="E2149" s="5" t="str">
        <f>VLOOKUP(F2149,'Set up'!$A$2:$C$70,2,FALSE)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up'!$A$2:$C$70,3,FALSE)</f>
        <v>Cash</v>
      </c>
      <c r="J2149" s="5">
        <f>VLOOKUP(F2149,'Set up'!$A$2:$D$70,4,FALSE)</f>
        <v>0</v>
      </c>
      <c r="K2149" s="4">
        <f t="shared" si="544"/>
        <v>45195</v>
      </c>
      <c r="L2149" s="5">
        <f t="shared" si="545"/>
        <v>9</v>
      </c>
      <c r="M2149" s="5">
        <f t="shared" si="546"/>
        <v>2023</v>
      </c>
      <c r="N2149" s="96">
        <v>390</v>
      </c>
      <c r="O2149" s="6">
        <f t="shared" ref="O2149:O2150" si="558">-N2149</f>
        <v>-390</v>
      </c>
      <c r="P2149" s="6">
        <f t="shared" si="556"/>
        <v>0</v>
      </c>
      <c r="Q2149" s="7">
        <f t="shared" si="557"/>
        <v>3648404.9500000016</v>
      </c>
      <c r="R2149" s="44" t="str">
        <f>VLOOKUP(F2149,'Set up'!$A$2:$E$70,5,FALSE)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542"/>
        <v>9</v>
      </c>
      <c r="C2150" s="5">
        <f t="shared" si="543"/>
        <v>2023</v>
      </c>
      <c r="D2150" s="88" t="s">
        <v>1919</v>
      </c>
      <c r="E2150" s="5" t="str">
        <f>VLOOKUP(F2150,'Set up'!$A$2:$C$70,2,FALSE)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up'!$A$2:$C$70,3,FALSE)</f>
        <v>Cash</v>
      </c>
      <c r="J2150" s="5">
        <f>VLOOKUP(F2150,'Set up'!$A$2:$D$70,4,FALSE)</f>
        <v>0</v>
      </c>
      <c r="K2150" s="4">
        <f t="shared" si="544"/>
        <v>45195</v>
      </c>
      <c r="L2150" s="5">
        <f t="shared" si="545"/>
        <v>9</v>
      </c>
      <c r="M2150" s="5">
        <f t="shared" si="546"/>
        <v>2023</v>
      </c>
      <c r="N2150" s="96">
        <v>219</v>
      </c>
      <c r="O2150" s="6">
        <f t="shared" si="558"/>
        <v>-219</v>
      </c>
      <c r="P2150" s="6">
        <f t="shared" si="556"/>
        <v>0</v>
      </c>
      <c r="Q2150" s="7">
        <f t="shared" si="557"/>
        <v>3648623.9500000016</v>
      </c>
      <c r="R2150" s="44" t="str">
        <f>VLOOKUP(F2150,'Set up'!$A$2:$E$70,5,FALSE)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542"/>
        <v>9</v>
      </c>
      <c r="C2151" s="5">
        <f t="shared" si="543"/>
        <v>2023</v>
      </c>
      <c r="D2151" s="88" t="s">
        <v>1919</v>
      </c>
      <c r="E2151" s="5" t="str">
        <f>VLOOKUP(F2151,'Set up'!$A$2:$C$70,2,FALSE)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up'!$A$2:$C$70,3,FALSE)</f>
        <v>Cash</v>
      </c>
      <c r="J2151" s="5">
        <f>VLOOKUP(F2151,'Set up'!$A$2:$D$70,4,FALSE)</f>
        <v>0</v>
      </c>
      <c r="K2151" s="4">
        <f t="shared" si="544"/>
        <v>45195</v>
      </c>
      <c r="L2151" s="5">
        <f t="shared" si="545"/>
        <v>9</v>
      </c>
      <c r="M2151" s="5">
        <f t="shared" si="546"/>
        <v>2023</v>
      </c>
      <c r="N2151" s="96">
        <v>531</v>
      </c>
      <c r="O2151" s="6">
        <f>-117.7-413.3</f>
        <v>-531</v>
      </c>
      <c r="P2151" s="6">
        <f t="shared" si="556"/>
        <v>0</v>
      </c>
      <c r="Q2151" s="7">
        <f t="shared" si="557"/>
        <v>3649154.9500000016</v>
      </c>
      <c r="R2151" s="44" t="str">
        <f>VLOOKUP(F2151,'Set up'!$A$2:$E$70,5,FALSE)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542"/>
        <v>9</v>
      </c>
      <c r="C2152" s="5">
        <f t="shared" si="543"/>
        <v>2023</v>
      </c>
      <c r="D2152" s="88" t="s">
        <v>1919</v>
      </c>
      <c r="E2152" s="5" t="str">
        <f>VLOOKUP(F2152,'Set up'!$A$2:$C$70,2,FALSE)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up'!$A$2:$C$70,3,FALSE)</f>
        <v>Cash</v>
      </c>
      <c r="J2152" s="5">
        <f>VLOOKUP(F2152,'Set up'!$A$2:$D$70,4,FALSE)</f>
        <v>0</v>
      </c>
      <c r="K2152" s="4">
        <f t="shared" si="544"/>
        <v>45195</v>
      </c>
      <c r="L2152" s="5">
        <f t="shared" si="545"/>
        <v>9</v>
      </c>
      <c r="M2152" s="5">
        <f t="shared" si="546"/>
        <v>2023</v>
      </c>
      <c r="N2152" s="96">
        <v>95</v>
      </c>
      <c r="O2152" s="6">
        <f t="shared" ref="O2152:O2156" si="559">-N2152</f>
        <v>-95</v>
      </c>
      <c r="P2152" s="6">
        <f t="shared" si="556"/>
        <v>0</v>
      </c>
      <c r="Q2152" s="7">
        <f t="shared" si="557"/>
        <v>3649249.9500000016</v>
      </c>
      <c r="R2152" s="44" t="str">
        <f>VLOOKUP(F2152,'Set up'!$A$2:$E$70,5,FALSE)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542"/>
        <v>9</v>
      </c>
      <c r="C2153" s="5">
        <f t="shared" si="543"/>
        <v>2023</v>
      </c>
      <c r="D2153" s="88" t="s">
        <v>1920</v>
      </c>
      <c r="E2153" s="5" t="str">
        <f>VLOOKUP(F2153,'Set up'!$A$2:$C$70,2,FALSE)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up'!$A$2:$C$70,3,FALSE)</f>
        <v>Cash</v>
      </c>
      <c r="J2153" s="5">
        <f>VLOOKUP(F2153,'Set up'!$A$2:$D$70,4,FALSE)</f>
        <v>0</v>
      </c>
      <c r="K2153" s="4">
        <f t="shared" si="544"/>
        <v>45195</v>
      </c>
      <c r="L2153" s="5">
        <f t="shared" si="545"/>
        <v>9</v>
      </c>
      <c r="M2153" s="5">
        <f t="shared" si="546"/>
        <v>2023</v>
      </c>
      <c r="N2153" s="96">
        <v>420</v>
      </c>
      <c r="O2153" s="6">
        <f t="shared" si="559"/>
        <v>-420</v>
      </c>
      <c r="P2153" s="6">
        <f t="shared" si="556"/>
        <v>0</v>
      </c>
      <c r="Q2153" s="7">
        <f t="shared" si="557"/>
        <v>3649669.9500000016</v>
      </c>
      <c r="R2153" s="44" t="str">
        <f>VLOOKUP(F2153,'Set up'!$A$2:$E$70,5,FALSE)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542"/>
        <v>9</v>
      </c>
      <c r="C2154" s="5">
        <f t="shared" si="543"/>
        <v>2023</v>
      </c>
      <c r="D2154" s="88" t="s">
        <v>1920</v>
      </c>
      <c r="E2154" s="5" t="str">
        <f>VLOOKUP(F2154,'Set up'!$A$2:$C$70,2,FALSE)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up'!$A$2:$C$70,3,FALSE)</f>
        <v>Cash</v>
      </c>
      <c r="J2154" s="5">
        <f>VLOOKUP(F2154,'Set up'!$A$2:$D$70,4,FALSE)</f>
        <v>0</v>
      </c>
      <c r="K2154" s="4">
        <f t="shared" si="544"/>
        <v>45195</v>
      </c>
      <c r="L2154" s="5">
        <f t="shared" si="545"/>
        <v>9</v>
      </c>
      <c r="M2154" s="5">
        <f t="shared" si="546"/>
        <v>2023</v>
      </c>
      <c r="N2154" s="96">
        <v>421.2</v>
      </c>
      <c r="O2154" s="6">
        <f>-182.5-238.7</f>
        <v>-421.2</v>
      </c>
      <c r="P2154" s="6">
        <f t="shared" si="556"/>
        <v>0</v>
      </c>
      <c r="Q2154" s="7">
        <f t="shared" si="557"/>
        <v>3650091.1500000018</v>
      </c>
      <c r="R2154" s="44" t="str">
        <f>VLOOKUP(F2154,'Set up'!$A$2:$E$70,5,FALSE)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si="542"/>
        <v>9</v>
      </c>
      <c r="C2155" s="5">
        <f t="shared" si="543"/>
        <v>2023</v>
      </c>
      <c r="D2155" s="88" t="s">
        <v>1920</v>
      </c>
      <c r="E2155" s="5" t="str">
        <f>VLOOKUP(F2155,'Set up'!$A$2:$C$70,2,FALSE)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up'!$A$2:$C$70,3,FALSE)</f>
        <v>Cash</v>
      </c>
      <c r="J2155" s="5">
        <f>VLOOKUP(F2155,'Set up'!$A$2:$D$70,4,FALSE)</f>
        <v>0</v>
      </c>
      <c r="K2155" s="4">
        <f t="shared" si="544"/>
        <v>45195</v>
      </c>
      <c r="L2155" s="5">
        <f t="shared" si="545"/>
        <v>9</v>
      </c>
      <c r="M2155" s="5">
        <f t="shared" si="546"/>
        <v>2023</v>
      </c>
      <c r="N2155" s="96">
        <v>250</v>
      </c>
      <c r="O2155" s="6">
        <f t="shared" si="559"/>
        <v>-250</v>
      </c>
      <c r="P2155" s="6">
        <f t="shared" ref="P2155:P2167" si="560">SUM(N2155+O2155)</f>
        <v>0</v>
      </c>
      <c r="Q2155" s="7">
        <f t="shared" ref="Q2155:Q2167" si="561">SUM(Q2154+N2155)</f>
        <v>3650341.1500000018</v>
      </c>
      <c r="R2155" s="44" t="str">
        <f>VLOOKUP(F2155,'Set up'!$A$2:$E$70,5,FALSE)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542"/>
        <v>9</v>
      </c>
      <c r="C2156" s="5">
        <f t="shared" si="543"/>
        <v>2023</v>
      </c>
      <c r="D2156" s="88" t="s">
        <v>1920</v>
      </c>
      <c r="E2156" s="5" t="str">
        <f>VLOOKUP(F2156,'Set up'!$A$2:$C$70,2,FALSE)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up'!$A$2:$C$70,3,FALSE)</f>
        <v>Cash</v>
      </c>
      <c r="J2156" s="5">
        <f>VLOOKUP(F2156,'Set up'!$A$2:$D$70,4,FALSE)</f>
        <v>0</v>
      </c>
      <c r="K2156" s="4">
        <f t="shared" si="544"/>
        <v>45195</v>
      </c>
      <c r="L2156" s="5">
        <f t="shared" si="545"/>
        <v>9</v>
      </c>
      <c r="M2156" s="5">
        <f t="shared" si="546"/>
        <v>2023</v>
      </c>
      <c r="N2156" s="96">
        <v>105</v>
      </c>
      <c r="O2156" s="6">
        <f t="shared" si="559"/>
        <v>-105</v>
      </c>
      <c r="P2156" s="6">
        <f t="shared" si="560"/>
        <v>0</v>
      </c>
      <c r="Q2156" s="7">
        <f t="shared" si="561"/>
        <v>3650446.1500000018</v>
      </c>
      <c r="R2156" s="44" t="str">
        <f>VLOOKUP(F2156,'Set up'!$A$2:$E$70,5,FALSE)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542"/>
        <v>9</v>
      </c>
      <c r="C2157" s="5">
        <f t="shared" si="543"/>
        <v>2023</v>
      </c>
      <c r="D2157" s="88" t="s">
        <v>1921</v>
      </c>
      <c r="E2157" s="5" t="str">
        <f>VLOOKUP(F2157,'Set up'!$A$2:$C$70,2,FALSE)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up'!$A$2:$C$70,3,FALSE)</f>
        <v>Cash</v>
      </c>
      <c r="J2157" s="5">
        <f>VLOOKUP(F2157,'Set up'!$A$2:$D$70,4,FALSE)</f>
        <v>0</v>
      </c>
      <c r="K2157" s="4">
        <f t="shared" si="544"/>
        <v>45196</v>
      </c>
      <c r="L2157" s="5">
        <f t="shared" si="545"/>
        <v>9</v>
      </c>
      <c r="M2157" s="5">
        <f t="shared" si="546"/>
        <v>2023</v>
      </c>
      <c r="N2157" s="96">
        <v>500</v>
      </c>
      <c r="O2157" s="6">
        <f>-N2157</f>
        <v>-500</v>
      </c>
      <c r="P2157" s="6">
        <f t="shared" si="560"/>
        <v>0</v>
      </c>
      <c r="Q2157" s="7">
        <f t="shared" si="561"/>
        <v>3650946.1500000018</v>
      </c>
      <c r="R2157" s="44" t="str">
        <f>VLOOKUP(F2157,'Set up'!$A$2:$E$70,5,FALSE)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542"/>
        <v>9</v>
      </c>
      <c r="C2158" s="5">
        <f t="shared" si="543"/>
        <v>2023</v>
      </c>
      <c r="D2158" s="88" t="s">
        <v>1923</v>
      </c>
      <c r="E2158" s="5" t="str">
        <f>VLOOKUP(F2158,'Set up'!$A$2:$C$70,2,FALSE)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up'!$A$2:$C$70,3,FALSE)</f>
        <v>Cash</v>
      </c>
      <c r="J2158" s="5">
        <f>VLOOKUP(F2158,'Set up'!$A$2:$D$70,4,FALSE)</f>
        <v>0</v>
      </c>
      <c r="K2158" s="4">
        <f t="shared" si="544"/>
        <v>45196</v>
      </c>
      <c r="L2158" s="5">
        <f t="shared" si="545"/>
        <v>9</v>
      </c>
      <c r="M2158" s="5">
        <f t="shared" si="546"/>
        <v>2023</v>
      </c>
      <c r="N2158" s="96">
        <v>12848</v>
      </c>
      <c r="O2158" s="6">
        <f>-4852.2-7995.8</f>
        <v>-12848</v>
      </c>
      <c r="P2158" s="6">
        <f t="shared" si="560"/>
        <v>0</v>
      </c>
      <c r="Q2158" s="7">
        <f t="shared" si="561"/>
        <v>3663794.1500000018</v>
      </c>
      <c r="R2158" s="44" t="str">
        <f>VLOOKUP(F2158,'Set up'!$A$2:$E$70,5,FALSE)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542"/>
        <v>9</v>
      </c>
      <c r="C2159" s="5">
        <f t="shared" si="543"/>
        <v>2023</v>
      </c>
      <c r="D2159" s="88" t="s">
        <v>1923</v>
      </c>
      <c r="E2159" s="5" t="str">
        <f>VLOOKUP(F2159,'Set up'!$A$2:$C$70,2,FALSE)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up'!$A$2:$C$70,3,FALSE)</f>
        <v>Cash</v>
      </c>
      <c r="J2159" s="5">
        <f>VLOOKUP(F2159,'Set up'!$A$2:$D$70,4,FALSE)</f>
        <v>0</v>
      </c>
      <c r="K2159" s="4">
        <f t="shared" si="544"/>
        <v>45196</v>
      </c>
      <c r="L2159" s="5">
        <f t="shared" si="545"/>
        <v>9</v>
      </c>
      <c r="M2159" s="5">
        <f t="shared" si="546"/>
        <v>2023</v>
      </c>
      <c r="N2159" s="96">
        <v>4536</v>
      </c>
      <c r="O2159" s="6">
        <f>-N2159</f>
        <v>-4536</v>
      </c>
      <c r="P2159" s="6">
        <f t="shared" si="560"/>
        <v>0</v>
      </c>
      <c r="Q2159" s="7">
        <f t="shared" si="561"/>
        <v>3668330.1500000018</v>
      </c>
      <c r="R2159" s="44" t="str">
        <f>VLOOKUP(F2159,'Set up'!$A$2:$E$70,5,FALSE)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542"/>
        <v>9</v>
      </c>
      <c r="C2160" s="5">
        <f t="shared" si="543"/>
        <v>2023</v>
      </c>
      <c r="D2160" s="88" t="s">
        <v>1923</v>
      </c>
      <c r="E2160" s="5" t="str">
        <f>VLOOKUP(F2160,'Set up'!$A$2:$C$70,2,FALSE)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up'!$A$2:$C$70,3,FALSE)</f>
        <v>Cash</v>
      </c>
      <c r="J2160" s="5">
        <f>VLOOKUP(F2160,'Set up'!$A$2:$D$70,4,FALSE)</f>
        <v>0</v>
      </c>
      <c r="K2160" s="4">
        <f t="shared" si="544"/>
        <v>45196</v>
      </c>
      <c r="L2160" s="5">
        <f t="shared" si="545"/>
        <v>9</v>
      </c>
      <c r="M2160" s="5">
        <f t="shared" si="546"/>
        <v>2023</v>
      </c>
      <c r="N2160" s="96">
        <v>2808</v>
      </c>
      <c r="O2160" s="6">
        <f>-N2160</f>
        <v>-2808</v>
      </c>
      <c r="P2160" s="6">
        <f t="shared" si="560"/>
        <v>0</v>
      </c>
      <c r="Q2160" s="7">
        <f t="shared" si="561"/>
        <v>3671138.1500000018</v>
      </c>
      <c r="R2160" s="44" t="str">
        <f>VLOOKUP(F2160,'Set up'!$A$2:$E$70,5,FALSE)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542"/>
        <v>9</v>
      </c>
      <c r="C2161" s="5">
        <f t="shared" si="543"/>
        <v>2023</v>
      </c>
      <c r="D2161" s="88" t="s">
        <v>1923</v>
      </c>
      <c r="E2161" s="5" t="str">
        <f>VLOOKUP(F2161,'Set up'!$A$2:$C$70,2,FALSE)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up'!$A$2:$C$70,3,FALSE)</f>
        <v>Cash</v>
      </c>
      <c r="J2161" s="5">
        <f>VLOOKUP(F2161,'Set up'!$A$2:$D$70,4,FALSE)</f>
        <v>0</v>
      </c>
      <c r="K2161" s="4">
        <f t="shared" si="544"/>
        <v>45196</v>
      </c>
      <c r="L2161" s="5">
        <f t="shared" si="545"/>
        <v>9</v>
      </c>
      <c r="M2161" s="5">
        <f t="shared" si="546"/>
        <v>2023</v>
      </c>
      <c r="N2161" s="96">
        <v>1000</v>
      </c>
      <c r="O2161" s="6">
        <f>-N2161</f>
        <v>-1000</v>
      </c>
      <c r="P2161" s="6">
        <f t="shared" si="560"/>
        <v>0</v>
      </c>
      <c r="Q2161" s="7">
        <f t="shared" si="561"/>
        <v>3672138.1500000018</v>
      </c>
      <c r="R2161" s="44" t="str">
        <f>VLOOKUP(F2161,'Set up'!$A$2:$E$70,5,FALSE)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542"/>
        <v>9</v>
      </c>
      <c r="C2162" s="5">
        <f t="shared" si="543"/>
        <v>2023</v>
      </c>
      <c r="D2162" s="88" t="s">
        <v>1923</v>
      </c>
      <c r="E2162" s="5" t="str">
        <f>VLOOKUP(F2162,'Set up'!$A$2:$C$70,2,FALSE)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up'!$A$2:$C$70,3,FALSE)</f>
        <v>Cash</v>
      </c>
      <c r="J2162" s="5">
        <f>VLOOKUP(F2162,'Set up'!$A$2:$D$70,4,FALSE)</f>
        <v>0</v>
      </c>
      <c r="K2162" s="4">
        <f t="shared" si="544"/>
        <v>45196</v>
      </c>
      <c r="L2162" s="5">
        <f t="shared" si="545"/>
        <v>9</v>
      </c>
      <c r="M2162" s="5">
        <f t="shared" si="546"/>
        <v>2023</v>
      </c>
      <c r="N2162" s="96">
        <v>380</v>
      </c>
      <c r="O2162" s="6">
        <f>-N2162</f>
        <v>-380</v>
      </c>
      <c r="P2162" s="6">
        <f t="shared" si="560"/>
        <v>0</v>
      </c>
      <c r="Q2162" s="7">
        <f t="shared" si="561"/>
        <v>3672518.1500000018</v>
      </c>
      <c r="R2162" s="44" t="str">
        <f>VLOOKUP(F2162,'Set up'!$A$2:$E$70,5,FALSE)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542"/>
        <v>9</v>
      </c>
      <c r="C2163" s="5">
        <f t="shared" si="543"/>
        <v>2023</v>
      </c>
      <c r="D2163" s="88" t="s">
        <v>1924</v>
      </c>
      <c r="E2163" s="5" t="str">
        <f>VLOOKUP(F2163,'Set up'!$A$2:$C$70,2,FALSE)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up'!$A$2:$C$70,3,FALSE)</f>
        <v>Cash</v>
      </c>
      <c r="J2163" s="5">
        <f>VLOOKUP(F2163,'Set up'!$A$2:$D$70,4,FALSE)</f>
        <v>0</v>
      </c>
      <c r="K2163" s="4">
        <f t="shared" si="544"/>
        <v>45198</v>
      </c>
      <c r="L2163" s="5">
        <f t="shared" si="545"/>
        <v>9</v>
      </c>
      <c r="M2163" s="5">
        <f t="shared" si="546"/>
        <v>2023</v>
      </c>
      <c r="N2163" s="96">
        <v>250</v>
      </c>
      <c r="O2163" s="6">
        <f t="shared" ref="O2163" si="562">-N2163</f>
        <v>-250</v>
      </c>
      <c r="P2163" s="6">
        <f t="shared" si="560"/>
        <v>0</v>
      </c>
      <c r="Q2163" s="7">
        <f t="shared" si="561"/>
        <v>3672768.1500000018</v>
      </c>
      <c r="R2163" s="44" t="str">
        <f>VLOOKUP(F2163,'Set up'!$A$2:$E$70,5,FALSE)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542"/>
        <v>9</v>
      </c>
      <c r="C2164" s="5">
        <f t="shared" si="543"/>
        <v>2023</v>
      </c>
      <c r="D2164" s="88" t="s">
        <v>1925</v>
      </c>
      <c r="E2164" s="5" t="str">
        <f>VLOOKUP(F2164,'Set up'!$A$2:$C$70,2,FALSE)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up'!$A$2:$C$70,3,FALSE)</f>
        <v>Cash</v>
      </c>
      <c r="J2164" s="5">
        <f>VLOOKUP(F2164,'Set up'!$A$2:$D$70,4,FALSE)</f>
        <v>0</v>
      </c>
      <c r="K2164" s="4">
        <f t="shared" si="544"/>
        <v>45199</v>
      </c>
      <c r="L2164" s="5">
        <f t="shared" si="545"/>
        <v>9</v>
      </c>
      <c r="M2164" s="5">
        <f t="shared" si="546"/>
        <v>2023</v>
      </c>
      <c r="N2164" s="96">
        <v>312.5</v>
      </c>
      <c r="O2164" s="6">
        <f>-N2164</f>
        <v>-312.5</v>
      </c>
      <c r="P2164" s="6">
        <f t="shared" si="560"/>
        <v>0</v>
      </c>
      <c r="Q2164" s="7">
        <f t="shared" si="561"/>
        <v>3673080.6500000018</v>
      </c>
      <c r="R2164" s="44" t="str">
        <f>VLOOKUP(F2164,'Set up'!$A$2:$E$70,5,FALSE)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542"/>
        <v>9</v>
      </c>
      <c r="C2165" s="5">
        <f t="shared" si="543"/>
        <v>2023</v>
      </c>
      <c r="D2165" s="88" t="s">
        <v>1926</v>
      </c>
      <c r="E2165" s="5" t="str">
        <f>VLOOKUP(F2165,'Set up'!$A$2:$C$70,2,FALSE)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up'!$A$2:$C$70,3,FALSE)</f>
        <v>Cash</v>
      </c>
      <c r="J2165" s="5">
        <f>VLOOKUP(F2165,'Set up'!$A$2:$D$70,4,FALSE)</f>
        <v>0</v>
      </c>
      <c r="K2165" s="4">
        <f t="shared" si="544"/>
        <v>45199</v>
      </c>
      <c r="L2165" s="5">
        <f t="shared" si="545"/>
        <v>9</v>
      </c>
      <c r="M2165" s="5">
        <f t="shared" si="546"/>
        <v>2023</v>
      </c>
      <c r="N2165" s="96">
        <v>8030</v>
      </c>
      <c r="O2165" s="6">
        <f>-4567.7-3462.3</f>
        <v>-8030</v>
      </c>
      <c r="P2165" s="6">
        <f t="shared" si="560"/>
        <v>0</v>
      </c>
      <c r="Q2165" s="7">
        <f t="shared" si="561"/>
        <v>3681110.6500000018</v>
      </c>
      <c r="R2165" s="44" t="str">
        <f>VLOOKUP(F2165,'Set up'!$A$2:$E$70,5,FALSE)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542"/>
        <v>9</v>
      </c>
      <c r="C2166" s="5">
        <f t="shared" si="543"/>
        <v>2023</v>
      </c>
      <c r="D2166" s="88" t="s">
        <v>1926</v>
      </c>
      <c r="E2166" s="5" t="str">
        <f>VLOOKUP(F2166,'Set up'!$A$2:$C$70,2,FALSE)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up'!$A$2:$C$70,3,FALSE)</f>
        <v>Cash</v>
      </c>
      <c r="J2166" s="5">
        <f>VLOOKUP(F2166,'Set up'!$A$2:$D$70,4,FALSE)</f>
        <v>0</v>
      </c>
      <c r="K2166" s="4">
        <f t="shared" si="544"/>
        <v>45199</v>
      </c>
      <c r="L2166" s="5">
        <f t="shared" si="545"/>
        <v>9</v>
      </c>
      <c r="M2166" s="5">
        <f t="shared" si="546"/>
        <v>2023</v>
      </c>
      <c r="N2166" s="96">
        <v>2835</v>
      </c>
      <c r="O2166" s="6">
        <f>-N2166</f>
        <v>-2835</v>
      </c>
      <c r="P2166" s="6">
        <f t="shared" si="560"/>
        <v>0</v>
      </c>
      <c r="Q2166" s="7">
        <f t="shared" si="561"/>
        <v>3683945.6500000018</v>
      </c>
      <c r="R2166" s="44" t="str">
        <f>VLOOKUP(F2166,'Set up'!$A$2:$E$70,5,FALSE)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542"/>
        <v>9</v>
      </c>
      <c r="C2167" s="5">
        <f t="shared" si="543"/>
        <v>2023</v>
      </c>
      <c r="D2167" s="88" t="s">
        <v>1926</v>
      </c>
      <c r="E2167" s="5" t="str">
        <f>VLOOKUP(F2167,'Set up'!$A$2:$C$70,2,FALSE)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up'!$A$2:$C$70,3,FALSE)</f>
        <v>Cash</v>
      </c>
      <c r="J2167" s="5">
        <f>VLOOKUP(F2167,'Set up'!$A$2:$D$70,4,FALSE)</f>
        <v>0</v>
      </c>
      <c r="K2167" s="4">
        <f t="shared" si="544"/>
        <v>45199</v>
      </c>
      <c r="L2167" s="5">
        <f t="shared" si="545"/>
        <v>9</v>
      </c>
      <c r="M2167" s="5">
        <f t="shared" si="546"/>
        <v>2023</v>
      </c>
      <c r="N2167" s="96">
        <v>1872</v>
      </c>
      <c r="O2167" s="6">
        <f>-N2167</f>
        <v>-1872</v>
      </c>
      <c r="P2167" s="6">
        <f t="shared" si="560"/>
        <v>0</v>
      </c>
      <c r="Q2167" s="7">
        <f t="shared" si="561"/>
        <v>3685817.6500000018</v>
      </c>
      <c r="R2167" s="44" t="str">
        <f>VLOOKUP(F2167,'Set up'!$A$2:$E$70,5,FALSE)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si="542"/>
        <v>9</v>
      </c>
      <c r="C2168" s="5">
        <f t="shared" si="543"/>
        <v>2023</v>
      </c>
      <c r="D2168" s="88" t="s">
        <v>1926</v>
      </c>
      <c r="E2168" s="5" t="str">
        <f>VLOOKUP(F2168,'Set up'!$A$2:$C$70,2,FALSE)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up'!$A$2:$C$70,3,FALSE)</f>
        <v>Cash</v>
      </c>
      <c r="J2168" s="5">
        <f>VLOOKUP(F2168,'Set up'!$A$2:$D$70,4,FALSE)</f>
        <v>0</v>
      </c>
      <c r="K2168" s="4">
        <f t="shared" si="544"/>
        <v>45199</v>
      </c>
      <c r="L2168" s="5">
        <f t="shared" si="545"/>
        <v>9</v>
      </c>
      <c r="M2168" s="5">
        <f t="shared" si="546"/>
        <v>2023</v>
      </c>
      <c r="N2168" s="96">
        <v>1000</v>
      </c>
      <c r="O2168" s="6">
        <f>-N2168</f>
        <v>-1000</v>
      </c>
      <c r="P2168" s="6">
        <f t="shared" ref="P2168:P2228" si="563">SUM(N2168+O2168)</f>
        <v>0</v>
      </c>
      <c r="Q2168" s="7">
        <f t="shared" ref="Q2168:Q2169" si="564">SUM(Q2167+N2168)</f>
        <v>3686817.6500000018</v>
      </c>
      <c r="R2168" s="44" t="str">
        <f>VLOOKUP(F2168,'Set up'!$A$2:$E$70,5,FALSE)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542"/>
        <v>9</v>
      </c>
      <c r="C2169" s="5">
        <f t="shared" si="543"/>
        <v>2023</v>
      </c>
      <c r="D2169" s="88" t="s">
        <v>1926</v>
      </c>
      <c r="E2169" s="5" t="str">
        <f>VLOOKUP(F2169,'Set up'!$A$2:$C$70,2,FALSE)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up'!$A$2:$C$70,3,FALSE)</f>
        <v>Cash</v>
      </c>
      <c r="J2169" s="5">
        <f>VLOOKUP(F2169,'Set up'!$A$2:$D$70,4,FALSE)</f>
        <v>0</v>
      </c>
      <c r="K2169" s="4">
        <f t="shared" si="544"/>
        <v>45199</v>
      </c>
      <c r="L2169" s="5">
        <f t="shared" si="545"/>
        <v>9</v>
      </c>
      <c r="M2169" s="5">
        <f t="shared" si="546"/>
        <v>2023</v>
      </c>
      <c r="N2169" s="96">
        <v>380</v>
      </c>
      <c r="O2169" s="6">
        <f>-N2169</f>
        <v>-380</v>
      </c>
      <c r="P2169" s="6">
        <f t="shared" si="563"/>
        <v>0</v>
      </c>
      <c r="Q2169" s="7">
        <f t="shared" si="564"/>
        <v>3687197.6500000018</v>
      </c>
      <c r="R2169" s="44" t="str">
        <f>VLOOKUP(F2169,'Set up'!$A$2:$E$70,5,FALSE)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542"/>
        <v>10</v>
      </c>
      <c r="C2170" s="5">
        <f t="shared" si="543"/>
        <v>2023</v>
      </c>
      <c r="D2170" s="88" t="s">
        <v>1988</v>
      </c>
      <c r="E2170" s="5" t="str">
        <f>VLOOKUP(F2170,'Set up'!$A$2:$C$70,2,FALSE)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up'!$A$2:$C$70,3,FALSE)</f>
        <v>Cash</v>
      </c>
      <c r="J2170" s="5">
        <f>VLOOKUP(F2170,'Set up'!$A$2:$D$70,4,FALSE)</f>
        <v>0</v>
      </c>
      <c r="K2170" s="4">
        <f t="shared" si="544"/>
        <v>45201</v>
      </c>
      <c r="L2170" s="5">
        <f t="shared" si="545"/>
        <v>10</v>
      </c>
      <c r="M2170" s="5">
        <f t="shared" si="546"/>
        <v>2023</v>
      </c>
      <c r="N2170" s="96">
        <v>3388</v>
      </c>
      <c r="O2170" s="6">
        <f t="shared" ref="O2170:O2178" si="565">-N2170</f>
        <v>-3388</v>
      </c>
      <c r="P2170" s="6">
        <f t="shared" si="563"/>
        <v>0</v>
      </c>
      <c r="Q2170" s="7">
        <f t="shared" ref="Q2170:Q2214" si="566">SUM(Q2169+N2170)</f>
        <v>3690585.6500000018</v>
      </c>
      <c r="R2170" s="44" t="str">
        <f>VLOOKUP(F2170,'Set up'!$A$2:$E$70,5,FALSE)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si="542"/>
        <v>10</v>
      </c>
      <c r="C2171" s="5">
        <f t="shared" si="543"/>
        <v>2023</v>
      </c>
      <c r="D2171" s="88" t="s">
        <v>1988</v>
      </c>
      <c r="E2171" s="5" t="str">
        <f>VLOOKUP(F2171,'Set up'!$A$2:$C$70,2,FALSE)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up'!$A$2:$C$70,3,FALSE)</f>
        <v>Cash</v>
      </c>
      <c r="J2171" s="5">
        <f>VLOOKUP(F2171,'Set up'!$A$2:$D$70,4,FALSE)</f>
        <v>0</v>
      </c>
      <c r="K2171" s="4">
        <f t="shared" si="544"/>
        <v>45201</v>
      </c>
      <c r="L2171" s="5">
        <f t="shared" si="545"/>
        <v>10</v>
      </c>
      <c r="M2171" s="5">
        <f t="shared" si="546"/>
        <v>2023</v>
      </c>
      <c r="N2171" s="96">
        <v>702</v>
      </c>
      <c r="O2171" s="6">
        <f t="shared" si="565"/>
        <v>-702</v>
      </c>
      <c r="P2171" s="6">
        <f t="shared" si="563"/>
        <v>0</v>
      </c>
      <c r="Q2171" s="7">
        <f t="shared" si="566"/>
        <v>3691287.6500000018</v>
      </c>
      <c r="R2171" s="44" t="str">
        <f>VLOOKUP(F2171,'Set up'!$A$2:$E$70,5,FALSE)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542"/>
        <v>10</v>
      </c>
      <c r="C2172" s="5">
        <f t="shared" si="543"/>
        <v>2023</v>
      </c>
      <c r="D2172" s="88" t="s">
        <v>1988</v>
      </c>
      <c r="E2172" s="5" t="str">
        <f>VLOOKUP(F2172,'Set up'!$A$2:$C$70,2,FALSE)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up'!$A$2:$C$70,3,FALSE)</f>
        <v>Cash</v>
      </c>
      <c r="J2172" s="5">
        <f>VLOOKUP(F2172,'Set up'!$A$2:$D$70,4,FALSE)</f>
        <v>0</v>
      </c>
      <c r="K2172" s="4">
        <f t="shared" si="544"/>
        <v>45201</v>
      </c>
      <c r="L2172" s="5">
        <f t="shared" si="545"/>
        <v>10</v>
      </c>
      <c r="M2172" s="5">
        <f t="shared" si="546"/>
        <v>2023</v>
      </c>
      <c r="N2172" s="96">
        <v>516</v>
      </c>
      <c r="O2172" s="6">
        <f t="shared" si="565"/>
        <v>-516</v>
      </c>
      <c r="P2172" s="6">
        <f t="shared" si="563"/>
        <v>0</v>
      </c>
      <c r="Q2172" s="7">
        <f t="shared" si="566"/>
        <v>3691803.6500000018</v>
      </c>
      <c r="R2172" s="44" t="str">
        <f>VLOOKUP(F2172,'Set up'!$A$2:$E$70,5,FALSE)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542"/>
        <v>10</v>
      </c>
      <c r="C2173" s="5">
        <f t="shared" si="543"/>
        <v>2023</v>
      </c>
      <c r="D2173" s="88" t="s">
        <v>1988</v>
      </c>
      <c r="E2173" s="5" t="str">
        <f>VLOOKUP(F2173,'Set up'!$A$2:$C$70,2,FALSE)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up'!$A$2:$C$70,3,FALSE)</f>
        <v>Cash</v>
      </c>
      <c r="J2173" s="5">
        <f>VLOOKUP(F2173,'Set up'!$A$2:$D$70,4,FALSE)</f>
        <v>0</v>
      </c>
      <c r="K2173" s="4">
        <f t="shared" si="544"/>
        <v>45201</v>
      </c>
      <c r="L2173" s="5">
        <f t="shared" si="545"/>
        <v>10</v>
      </c>
      <c r="M2173" s="5">
        <f t="shared" si="546"/>
        <v>2023</v>
      </c>
      <c r="N2173" s="96">
        <v>320</v>
      </c>
      <c r="O2173" s="6">
        <f t="shared" si="565"/>
        <v>-320</v>
      </c>
      <c r="P2173" s="6">
        <f t="shared" si="563"/>
        <v>0</v>
      </c>
      <c r="Q2173" s="7">
        <f t="shared" si="566"/>
        <v>3692123.6500000018</v>
      </c>
      <c r="R2173" s="44" t="str">
        <f>VLOOKUP(F2173,'Set up'!$A$2:$E$70,5,FALSE)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542"/>
        <v>10</v>
      </c>
      <c r="C2174" s="5">
        <f t="shared" si="543"/>
        <v>2023</v>
      </c>
      <c r="D2174" s="88" t="s">
        <v>1988</v>
      </c>
      <c r="E2174" s="5" t="str">
        <f>VLOOKUP(F2174,'Set up'!$A$2:$C$70,2,FALSE)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up'!$A$2:$C$70,3,FALSE)</f>
        <v>Cash</v>
      </c>
      <c r="J2174" s="5">
        <f>VLOOKUP(F2174,'Set up'!$A$2:$D$70,4,FALSE)</f>
        <v>0</v>
      </c>
      <c r="K2174" s="4">
        <f t="shared" si="544"/>
        <v>45201</v>
      </c>
      <c r="L2174" s="5">
        <f t="shared" si="545"/>
        <v>10</v>
      </c>
      <c r="M2174" s="5">
        <f t="shared" si="546"/>
        <v>2023</v>
      </c>
      <c r="N2174" s="96">
        <v>165</v>
      </c>
      <c r="O2174" s="6">
        <f t="shared" si="565"/>
        <v>-165</v>
      </c>
      <c r="P2174" s="6">
        <f t="shared" si="563"/>
        <v>0</v>
      </c>
      <c r="Q2174" s="7">
        <f t="shared" si="566"/>
        <v>3692288.6500000018</v>
      </c>
      <c r="R2174" s="44" t="str">
        <f>VLOOKUP(F2174,'Set up'!$A$2:$E$70,5,FALSE)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542"/>
        <v>10</v>
      </c>
      <c r="C2175" s="5">
        <f t="shared" si="543"/>
        <v>2023</v>
      </c>
      <c r="D2175" s="88" t="s">
        <v>1988</v>
      </c>
      <c r="E2175" s="5" t="str">
        <f>VLOOKUP(F2175,'Set up'!$A$2:$C$70,2,FALSE)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up'!$A$2:$C$70,3,FALSE)</f>
        <v>Cash</v>
      </c>
      <c r="J2175" s="5">
        <f>VLOOKUP(F2175,'Set up'!$A$2:$D$70,4,FALSE)</f>
        <v>0</v>
      </c>
      <c r="K2175" s="4">
        <f t="shared" si="544"/>
        <v>45201</v>
      </c>
      <c r="L2175" s="5">
        <f t="shared" si="545"/>
        <v>10</v>
      </c>
      <c r="M2175" s="5">
        <f t="shared" si="546"/>
        <v>2023</v>
      </c>
      <c r="N2175" s="96">
        <v>105</v>
      </c>
      <c r="O2175" s="6">
        <f t="shared" si="565"/>
        <v>-105</v>
      </c>
      <c r="P2175" s="6">
        <f t="shared" si="563"/>
        <v>0</v>
      </c>
      <c r="Q2175" s="7">
        <f t="shared" si="566"/>
        <v>3692393.6500000018</v>
      </c>
      <c r="R2175" s="44" t="str">
        <f>VLOOKUP(F2175,'Set up'!$A$2:$E$70,5,FALSE)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542"/>
        <v>10</v>
      </c>
      <c r="C2176" s="5">
        <f t="shared" si="543"/>
        <v>2023</v>
      </c>
      <c r="D2176" s="88" t="s">
        <v>1988</v>
      </c>
      <c r="E2176" s="5" t="str">
        <f>VLOOKUP(F2176,'Set up'!$A$2:$C$70,2,FALSE)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up'!$A$2:$C$70,3,FALSE)</f>
        <v>Cash</v>
      </c>
      <c r="J2176" s="5">
        <f>VLOOKUP(F2176,'Set up'!$A$2:$D$70,4,FALSE)</f>
        <v>0</v>
      </c>
      <c r="K2176" s="4">
        <f t="shared" si="544"/>
        <v>45201</v>
      </c>
      <c r="L2176" s="5">
        <f t="shared" si="545"/>
        <v>10</v>
      </c>
      <c r="M2176" s="5">
        <f t="shared" si="546"/>
        <v>2023</v>
      </c>
      <c r="N2176" s="96">
        <v>62.5</v>
      </c>
      <c r="O2176" s="6">
        <f t="shared" si="565"/>
        <v>-62.5</v>
      </c>
      <c r="P2176" s="6">
        <f t="shared" si="563"/>
        <v>0</v>
      </c>
      <c r="Q2176" s="7">
        <f t="shared" si="566"/>
        <v>3692456.1500000018</v>
      </c>
      <c r="R2176" s="44" t="str">
        <f>VLOOKUP(F2176,'Set up'!$A$2:$E$70,5,FALSE)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542"/>
        <v>10</v>
      </c>
      <c r="C2177" s="5">
        <f t="shared" si="543"/>
        <v>2023</v>
      </c>
      <c r="D2177" s="88" t="s">
        <v>1990</v>
      </c>
      <c r="E2177" s="5" t="str">
        <f>VLOOKUP(F2177,'Set up'!$A$2:$C$70,2,FALSE)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up'!$A$2:$C$70,3,FALSE)</f>
        <v>Cash</v>
      </c>
      <c r="J2177" s="5">
        <f>VLOOKUP(F2177,'Set up'!$A$2:$D$70,4,FALSE)</f>
        <v>0</v>
      </c>
      <c r="K2177" s="4">
        <f t="shared" si="544"/>
        <v>45202</v>
      </c>
      <c r="L2177" s="5">
        <f t="shared" si="545"/>
        <v>10</v>
      </c>
      <c r="M2177" s="5">
        <f t="shared" si="546"/>
        <v>2023</v>
      </c>
      <c r="N2177" s="96">
        <v>580</v>
      </c>
      <c r="O2177" s="6">
        <f t="shared" si="565"/>
        <v>-580</v>
      </c>
      <c r="P2177" s="6">
        <f t="shared" si="563"/>
        <v>0</v>
      </c>
      <c r="Q2177" s="7">
        <f t="shared" si="566"/>
        <v>3693036.1500000018</v>
      </c>
      <c r="R2177" s="44" t="str">
        <f>VLOOKUP(F2177,'Set up'!$A$2:$E$70,5,FALSE)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542"/>
        <v>10</v>
      </c>
      <c r="C2178" s="5">
        <f t="shared" si="543"/>
        <v>2023</v>
      </c>
      <c r="D2178" s="88" t="s">
        <v>1990</v>
      </c>
      <c r="E2178" s="5" t="str">
        <f>VLOOKUP(F2178,'Set up'!$A$2:$C$70,2,FALSE)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up'!$A$2:$C$70,3,FALSE)</f>
        <v>Cash</v>
      </c>
      <c r="J2178" s="5">
        <f>VLOOKUP(F2178,'Set up'!$A$2:$D$70,4,FALSE)</f>
        <v>0</v>
      </c>
      <c r="K2178" s="4">
        <f t="shared" si="544"/>
        <v>45202</v>
      </c>
      <c r="L2178" s="5">
        <f t="shared" si="545"/>
        <v>10</v>
      </c>
      <c r="M2178" s="5">
        <f t="shared" si="546"/>
        <v>2023</v>
      </c>
      <c r="N2178" s="96">
        <v>1032</v>
      </c>
      <c r="O2178" s="6">
        <f t="shared" si="565"/>
        <v>-1032</v>
      </c>
      <c r="P2178" s="6">
        <f t="shared" si="563"/>
        <v>0</v>
      </c>
      <c r="Q2178" s="7">
        <f t="shared" si="566"/>
        <v>3694068.1500000018</v>
      </c>
      <c r="R2178" s="44" t="str">
        <f>VLOOKUP(F2178,'Set up'!$A$2:$E$70,5,FALSE)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ref="B2179:B2242" si="567">MONTH(A2179)</f>
        <v>10</v>
      </c>
      <c r="C2179" s="5">
        <f t="shared" ref="C2179:C2242" si="568">YEAR(A2179)</f>
        <v>2023</v>
      </c>
      <c r="D2179" s="88" t="s">
        <v>1991</v>
      </c>
      <c r="E2179" s="5" t="str">
        <f>VLOOKUP(F2179,'Set up'!$A$2:$C$70,2,FALSE)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up'!$A$2:$C$70,3,FALSE)</f>
        <v>Cash</v>
      </c>
      <c r="J2179" s="5">
        <f>VLOOKUP(F2179,'Set up'!$A$2:$D$70,4,FALSE)</f>
        <v>0</v>
      </c>
      <c r="K2179" s="4">
        <f t="shared" ref="K2179:K2242" si="569">A2179+J2179</f>
        <v>45202</v>
      </c>
      <c r="L2179" s="5">
        <f t="shared" ref="L2179:L2242" si="570">MONTH(K2179)</f>
        <v>10</v>
      </c>
      <c r="M2179" s="5">
        <f t="shared" ref="M2179:M2242" si="571">YEAR(K2179)</f>
        <v>2023</v>
      </c>
      <c r="N2179" s="96">
        <v>1804</v>
      </c>
      <c r="O2179" s="6">
        <f>-406.3-1397.7</f>
        <v>-1804</v>
      </c>
      <c r="P2179" s="6">
        <f t="shared" si="563"/>
        <v>0</v>
      </c>
      <c r="Q2179" s="7">
        <f t="shared" si="566"/>
        <v>3695872.1500000018</v>
      </c>
      <c r="R2179" s="44" t="str">
        <f>VLOOKUP(F2179,'Set up'!$A$2:$E$70,5,FALSE)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567"/>
        <v>10</v>
      </c>
      <c r="C2180" s="5">
        <f t="shared" si="568"/>
        <v>2023</v>
      </c>
      <c r="D2180" s="88" t="s">
        <v>1991</v>
      </c>
      <c r="E2180" s="5" t="str">
        <f>VLOOKUP(F2180,'Set up'!$A$2:$C$70,2,FALSE)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up'!$A$2:$C$70,3,FALSE)</f>
        <v>Cash</v>
      </c>
      <c r="J2180" s="5">
        <f>VLOOKUP(F2180,'Set up'!$A$2:$D$70,4,FALSE)</f>
        <v>0</v>
      </c>
      <c r="K2180" s="4">
        <f t="shared" si="569"/>
        <v>45202</v>
      </c>
      <c r="L2180" s="5">
        <f t="shared" si="570"/>
        <v>10</v>
      </c>
      <c r="M2180" s="5">
        <f t="shared" si="571"/>
        <v>2023</v>
      </c>
      <c r="N2180" s="96">
        <v>390</v>
      </c>
      <c r="O2180" s="6">
        <f t="shared" ref="O2180" si="572">-N2180</f>
        <v>-390</v>
      </c>
      <c r="P2180" s="6">
        <f t="shared" si="563"/>
        <v>0</v>
      </c>
      <c r="Q2180" s="7">
        <f t="shared" si="566"/>
        <v>3696262.1500000018</v>
      </c>
      <c r="R2180" s="44" t="str">
        <f>VLOOKUP(F2180,'Set up'!$A$2:$E$70,5,FALSE)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567"/>
        <v>10</v>
      </c>
      <c r="C2181" s="5">
        <f t="shared" si="568"/>
        <v>2023</v>
      </c>
      <c r="D2181" s="88" t="s">
        <v>1991</v>
      </c>
      <c r="E2181" s="5" t="str">
        <f>VLOOKUP(F2181,'Set up'!$A$2:$C$70,2,FALSE)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up'!$A$2:$C$70,3,FALSE)</f>
        <v>Cash</v>
      </c>
      <c r="J2181" s="5">
        <f>VLOOKUP(F2181,'Set up'!$A$2:$D$70,4,FALSE)</f>
        <v>0</v>
      </c>
      <c r="K2181" s="4">
        <f t="shared" si="569"/>
        <v>45202</v>
      </c>
      <c r="L2181" s="5">
        <f t="shared" si="570"/>
        <v>10</v>
      </c>
      <c r="M2181" s="5">
        <f t="shared" si="571"/>
        <v>2023</v>
      </c>
      <c r="N2181" s="96">
        <v>421.2</v>
      </c>
      <c r="O2181" s="6">
        <f>-212.3-208.9</f>
        <v>-421.20000000000005</v>
      </c>
      <c r="P2181" s="6">
        <f t="shared" si="563"/>
        <v>-5.6843418860808015E-14</v>
      </c>
      <c r="Q2181" s="7">
        <f t="shared" si="566"/>
        <v>3696683.350000002</v>
      </c>
      <c r="R2181" s="44" t="str">
        <f>VLOOKUP(F2181,'Set up'!$A$2:$E$70,5,FALSE)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567"/>
        <v>10</v>
      </c>
      <c r="C2182" s="5">
        <f t="shared" si="568"/>
        <v>2023</v>
      </c>
      <c r="D2182" s="88" t="s">
        <v>1992</v>
      </c>
      <c r="E2182" s="5" t="str">
        <f>VLOOKUP(F2182,'Set up'!$A$2:$C$70,2,FALSE)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up'!$A$2:$C$70,3,FALSE)</f>
        <v>Cash</v>
      </c>
      <c r="J2182" s="5">
        <f>VLOOKUP(F2182,'Set up'!$A$2:$D$70,4,FALSE)</f>
        <v>0</v>
      </c>
      <c r="K2182" s="4">
        <f t="shared" si="569"/>
        <v>45203</v>
      </c>
      <c r="L2182" s="5">
        <f t="shared" si="570"/>
        <v>10</v>
      </c>
      <c r="M2182" s="5">
        <f t="shared" si="571"/>
        <v>2023</v>
      </c>
      <c r="N2182" s="96">
        <v>1738</v>
      </c>
      <c r="O2182" s="6">
        <f t="shared" ref="O2182:O2184" si="573">-N2182</f>
        <v>-1738</v>
      </c>
      <c r="P2182" s="6">
        <f t="shared" si="563"/>
        <v>0</v>
      </c>
      <c r="Q2182" s="7">
        <f t="shared" si="566"/>
        <v>3698421.350000002</v>
      </c>
      <c r="R2182" s="44" t="str">
        <f>VLOOKUP(F2182,'Set up'!$A$2:$E$70,5,FALSE)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567"/>
        <v>10</v>
      </c>
      <c r="C2183" s="5">
        <f t="shared" si="568"/>
        <v>2023</v>
      </c>
      <c r="D2183" s="88" t="s">
        <v>1992</v>
      </c>
      <c r="E2183" s="5" t="str">
        <f>VLOOKUP(F2183,'Set up'!$A$2:$C$70,2,FALSE)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up'!$A$2:$C$70,3,FALSE)</f>
        <v>Cash</v>
      </c>
      <c r="J2183" s="5">
        <f>VLOOKUP(F2183,'Set up'!$A$2:$D$70,4,FALSE)</f>
        <v>0</v>
      </c>
      <c r="K2183" s="4">
        <f t="shared" si="569"/>
        <v>45203</v>
      </c>
      <c r="L2183" s="5">
        <f t="shared" si="570"/>
        <v>10</v>
      </c>
      <c r="M2183" s="5">
        <f t="shared" si="571"/>
        <v>2023</v>
      </c>
      <c r="N2183" s="96">
        <v>702</v>
      </c>
      <c r="O2183" s="6">
        <f t="shared" si="573"/>
        <v>-702</v>
      </c>
      <c r="P2183" s="6">
        <f t="shared" si="563"/>
        <v>0</v>
      </c>
      <c r="Q2183" s="7">
        <f t="shared" si="566"/>
        <v>3699123.350000002</v>
      </c>
      <c r="R2183" s="44" t="str">
        <f>VLOOKUP(F2183,'Set up'!$A$2:$E$70,5,FALSE)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567"/>
        <v>10</v>
      </c>
      <c r="C2184" s="5">
        <f t="shared" si="568"/>
        <v>2023</v>
      </c>
      <c r="D2184" s="88" t="s">
        <v>1992</v>
      </c>
      <c r="E2184" s="5" t="str">
        <f>VLOOKUP(F2184,'Set up'!$A$2:$C$70,2,FALSE)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up'!$A$2:$C$70,3,FALSE)</f>
        <v>Cash</v>
      </c>
      <c r="J2184" s="5">
        <f>VLOOKUP(F2184,'Set up'!$A$2:$D$70,4,FALSE)</f>
        <v>0</v>
      </c>
      <c r="K2184" s="4">
        <f t="shared" si="569"/>
        <v>45203</v>
      </c>
      <c r="L2184" s="5">
        <f t="shared" si="570"/>
        <v>10</v>
      </c>
      <c r="M2184" s="5">
        <f t="shared" si="571"/>
        <v>2023</v>
      </c>
      <c r="N2184" s="96">
        <v>95</v>
      </c>
      <c r="O2184" s="6">
        <f t="shared" si="573"/>
        <v>-95</v>
      </c>
      <c r="P2184" s="6">
        <f t="shared" si="563"/>
        <v>0</v>
      </c>
      <c r="Q2184" s="7">
        <f t="shared" si="566"/>
        <v>3699218.350000002</v>
      </c>
      <c r="R2184" s="44" t="str">
        <f>VLOOKUP(F2184,'Set up'!$A$2:$E$70,5,FALSE)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567"/>
        <v>10</v>
      </c>
      <c r="C2185" s="5">
        <f t="shared" si="568"/>
        <v>2023</v>
      </c>
      <c r="D2185" s="88" t="s">
        <v>1993</v>
      </c>
      <c r="E2185" s="5" t="str">
        <f>VLOOKUP(F2185,'Set up'!$A$2:$C$70,2,FALSE)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up'!$A$2:$C$70,3,FALSE)</f>
        <v>Cash</v>
      </c>
      <c r="J2185" s="5">
        <f>VLOOKUP(F2185,'Set up'!$A$2:$D$70,4,FALSE)</f>
        <v>0</v>
      </c>
      <c r="K2185" s="4">
        <f t="shared" si="569"/>
        <v>45204</v>
      </c>
      <c r="L2185" s="5">
        <f t="shared" si="570"/>
        <v>10</v>
      </c>
      <c r="M2185" s="5">
        <f t="shared" si="571"/>
        <v>2023</v>
      </c>
      <c r="N2185" s="96">
        <v>125</v>
      </c>
      <c r="O2185" s="6">
        <f>-N2185</f>
        <v>-125</v>
      </c>
      <c r="P2185" s="6">
        <f t="shared" si="563"/>
        <v>0</v>
      </c>
      <c r="Q2185" s="7">
        <f t="shared" si="566"/>
        <v>3699343.350000002</v>
      </c>
      <c r="R2185" s="44" t="str">
        <f>VLOOKUP(F2185,'Set up'!$A$2:$E$70,5,FALSE)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567"/>
        <v>10</v>
      </c>
      <c r="C2186" s="5">
        <f t="shared" si="568"/>
        <v>2023</v>
      </c>
      <c r="D2186" s="88" t="s">
        <v>1994</v>
      </c>
      <c r="E2186" s="5" t="str">
        <f>VLOOKUP(F2186,'Set up'!$A$2:$C$70,2,FALSE)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up'!$A$2:$C$70,3,FALSE)</f>
        <v>Cash</v>
      </c>
      <c r="J2186" s="5">
        <f>VLOOKUP(F2186,'Set up'!$A$2:$D$70,4,FALSE)</f>
        <v>0</v>
      </c>
      <c r="K2186" s="4">
        <f t="shared" si="569"/>
        <v>45204</v>
      </c>
      <c r="L2186" s="5">
        <f t="shared" si="570"/>
        <v>10</v>
      </c>
      <c r="M2186" s="5">
        <f t="shared" si="571"/>
        <v>2023</v>
      </c>
      <c r="N2186" s="96">
        <v>3256</v>
      </c>
      <c r="O2186" s="6">
        <f>-N2186</f>
        <v>-3256</v>
      </c>
      <c r="P2186" s="6">
        <f t="shared" si="563"/>
        <v>0</v>
      </c>
      <c r="Q2186" s="7">
        <f t="shared" si="566"/>
        <v>3702599.350000002</v>
      </c>
      <c r="R2186" s="44" t="str">
        <f>VLOOKUP(F2186,'Set up'!$A$2:$E$70,5,FALSE)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567"/>
        <v>10</v>
      </c>
      <c r="C2187" s="5">
        <f t="shared" si="568"/>
        <v>2023</v>
      </c>
      <c r="D2187" s="88" t="s">
        <v>1994</v>
      </c>
      <c r="E2187" s="5" t="str">
        <f>VLOOKUP(F2187,'Set up'!$A$2:$C$70,2,FALSE)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up'!$A$2:$C$70,3,FALSE)</f>
        <v>Cash</v>
      </c>
      <c r="J2187" s="5">
        <f>VLOOKUP(F2187,'Set up'!$A$2:$D$70,4,FALSE)</f>
        <v>0</v>
      </c>
      <c r="K2187" s="4">
        <f t="shared" si="569"/>
        <v>45204</v>
      </c>
      <c r="L2187" s="5">
        <f t="shared" si="570"/>
        <v>10</v>
      </c>
      <c r="M2187" s="5">
        <f t="shared" si="571"/>
        <v>2023</v>
      </c>
      <c r="N2187" s="96">
        <v>1080</v>
      </c>
      <c r="O2187" s="6">
        <f>-N2187</f>
        <v>-1080</v>
      </c>
      <c r="P2187" s="6">
        <f t="shared" si="563"/>
        <v>0</v>
      </c>
      <c r="Q2187" s="7">
        <f t="shared" si="566"/>
        <v>3703679.350000002</v>
      </c>
      <c r="R2187" s="44" t="str">
        <f>VLOOKUP(F2187,'Set up'!$A$2:$E$70,5,FALSE)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567"/>
        <v>10</v>
      </c>
      <c r="C2188" s="5">
        <f t="shared" si="568"/>
        <v>2023</v>
      </c>
      <c r="D2188" s="88" t="s">
        <v>1994</v>
      </c>
      <c r="E2188" s="5" t="str">
        <f>VLOOKUP(F2188,'Set up'!$A$2:$C$70,2,FALSE)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up'!$A$2:$C$70,3,FALSE)</f>
        <v>Cash</v>
      </c>
      <c r="J2188" s="5">
        <f>VLOOKUP(F2188,'Set up'!$A$2:$D$70,4,FALSE)</f>
        <v>0</v>
      </c>
      <c r="K2188" s="4">
        <f t="shared" si="569"/>
        <v>45204</v>
      </c>
      <c r="L2188" s="5">
        <f t="shared" si="570"/>
        <v>10</v>
      </c>
      <c r="M2188" s="5">
        <f t="shared" si="571"/>
        <v>2023</v>
      </c>
      <c r="N2188" s="96">
        <v>702</v>
      </c>
      <c r="O2188" s="6">
        <f>-N2188</f>
        <v>-702</v>
      </c>
      <c r="P2188" s="6">
        <f t="shared" si="563"/>
        <v>0</v>
      </c>
      <c r="Q2188" s="7">
        <f t="shared" si="566"/>
        <v>3704381.350000002</v>
      </c>
      <c r="R2188" s="44" t="str">
        <f>VLOOKUP(F2188,'Set up'!$A$2:$E$70,5,FALSE)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567"/>
        <v>10</v>
      </c>
      <c r="C2189" s="5">
        <f t="shared" si="568"/>
        <v>2023</v>
      </c>
      <c r="D2189" s="88" t="s">
        <v>1994</v>
      </c>
      <c r="E2189" s="5" t="str">
        <f>VLOOKUP(F2189,'Set up'!$A$2:$C$70,2,FALSE)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up'!$A$2:$C$70,3,FALSE)</f>
        <v>Cash</v>
      </c>
      <c r="J2189" s="5">
        <f>VLOOKUP(F2189,'Set up'!$A$2:$D$70,4,FALSE)</f>
        <v>0</v>
      </c>
      <c r="K2189" s="4">
        <f t="shared" si="569"/>
        <v>45204</v>
      </c>
      <c r="L2189" s="5">
        <f t="shared" si="570"/>
        <v>10</v>
      </c>
      <c r="M2189" s="5">
        <f t="shared" si="571"/>
        <v>2023</v>
      </c>
      <c r="N2189" s="96">
        <v>1000</v>
      </c>
      <c r="O2189" s="6">
        <f>-N2189</f>
        <v>-1000</v>
      </c>
      <c r="P2189" s="6">
        <f t="shared" si="563"/>
        <v>0</v>
      </c>
      <c r="Q2189" s="7">
        <f t="shared" si="566"/>
        <v>3705381.350000002</v>
      </c>
      <c r="R2189" s="44" t="str">
        <f>VLOOKUP(F2189,'Set up'!$A$2:$E$70,5,FALSE)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567"/>
        <v>10</v>
      </c>
      <c r="C2190" s="5">
        <f t="shared" si="568"/>
        <v>2023</v>
      </c>
      <c r="D2190" s="88" t="s">
        <v>1996</v>
      </c>
      <c r="E2190" s="5" t="str">
        <f>VLOOKUP(F2190,'Set up'!$A$2:$C$70,2,FALSE)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up'!$A$2:$C$70,3,FALSE)</f>
        <v>Cash</v>
      </c>
      <c r="J2190" s="5">
        <f>VLOOKUP(F2190,'Set up'!$A$2:$D$70,4,FALSE)</f>
        <v>0</v>
      </c>
      <c r="K2190" s="4">
        <f t="shared" si="569"/>
        <v>45205</v>
      </c>
      <c r="L2190" s="5">
        <f t="shared" si="570"/>
        <v>10</v>
      </c>
      <c r="M2190" s="5">
        <f t="shared" si="571"/>
        <v>2023</v>
      </c>
      <c r="N2190" s="96">
        <v>3600</v>
      </c>
      <c r="O2190" s="6">
        <f>-653.8-2946.2</f>
        <v>-3600</v>
      </c>
      <c r="P2190" s="6">
        <f t="shared" si="563"/>
        <v>0</v>
      </c>
      <c r="Q2190" s="7">
        <f t="shared" si="566"/>
        <v>3708981.350000002</v>
      </c>
      <c r="R2190" s="44" t="str">
        <f>VLOOKUP(F2190,'Set up'!$A$2:$E$70,5,FALSE)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567"/>
        <v>10</v>
      </c>
      <c r="C2191" s="5">
        <f t="shared" si="568"/>
        <v>2023</v>
      </c>
      <c r="D2191" s="88" t="s">
        <v>1996</v>
      </c>
      <c r="E2191" s="5" t="str">
        <f>VLOOKUP(F2191,'Set up'!$A$2:$C$70,2,FALSE)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up'!$A$2:$C$70,3,FALSE)</f>
        <v>Cash</v>
      </c>
      <c r="J2191" s="5">
        <f>VLOOKUP(F2191,'Set up'!$A$2:$D$70,4,FALSE)</f>
        <v>0</v>
      </c>
      <c r="K2191" s="4">
        <f t="shared" si="569"/>
        <v>45205</v>
      </c>
      <c r="L2191" s="5">
        <f t="shared" si="570"/>
        <v>10</v>
      </c>
      <c r="M2191" s="5">
        <f t="shared" si="571"/>
        <v>2023</v>
      </c>
      <c r="N2191" s="96">
        <v>468</v>
      </c>
      <c r="O2191" s="6">
        <f t="shared" ref="O2191" si="574">-N2191</f>
        <v>-468</v>
      </c>
      <c r="P2191" s="6">
        <f t="shared" si="563"/>
        <v>0</v>
      </c>
      <c r="Q2191" s="7">
        <f t="shared" si="566"/>
        <v>3709449.350000002</v>
      </c>
      <c r="R2191" s="44" t="str">
        <f>VLOOKUP(F2191,'Set up'!$A$2:$E$70,5,FALSE)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567"/>
        <v>10</v>
      </c>
      <c r="C2192" s="5">
        <f t="shared" si="568"/>
        <v>2023</v>
      </c>
      <c r="D2192" s="88" t="s">
        <v>1998</v>
      </c>
      <c r="E2192" s="5" t="str">
        <f>VLOOKUP(F2192,'Set up'!$A$2:$C$70,2,FALSE)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up'!$A$2:$C$70,3,FALSE)</f>
        <v>120</v>
      </c>
      <c r="J2192" s="5">
        <f>VLOOKUP(F2192,'Set up'!$A$2:$D$70,4,FALSE)</f>
        <v>120</v>
      </c>
      <c r="K2192" s="4">
        <f t="shared" si="569"/>
        <v>45325</v>
      </c>
      <c r="L2192" s="5">
        <f t="shared" si="570"/>
        <v>2</v>
      </c>
      <c r="M2192" s="5">
        <f t="shared" si="571"/>
        <v>2024</v>
      </c>
      <c r="N2192" s="96">
        <v>9636</v>
      </c>
      <c r="O2192" s="6">
        <f t="shared" ref="O2192:O2196" si="575">-N2192</f>
        <v>-9636</v>
      </c>
      <c r="P2192" s="6">
        <f t="shared" si="563"/>
        <v>0</v>
      </c>
      <c r="Q2192" s="7">
        <f t="shared" si="566"/>
        <v>3719085.350000002</v>
      </c>
      <c r="R2192" s="44" t="str">
        <f>VLOOKUP(F2192,'Set up'!$A$2:$E$70,5,FALSE)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567"/>
        <v>10</v>
      </c>
      <c r="C2193" s="5">
        <f t="shared" si="568"/>
        <v>2023</v>
      </c>
      <c r="D2193" s="88" t="s">
        <v>1998</v>
      </c>
      <c r="E2193" s="5" t="str">
        <f>VLOOKUP(F2193,'Set up'!$A$2:$C$70,2,FALSE)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up'!$A$2:$C$70,3,FALSE)</f>
        <v>120</v>
      </c>
      <c r="J2193" s="5">
        <f>VLOOKUP(F2193,'Set up'!$A$2:$D$70,4,FALSE)</f>
        <v>120</v>
      </c>
      <c r="K2193" s="4">
        <f t="shared" si="569"/>
        <v>45325</v>
      </c>
      <c r="L2193" s="5">
        <f t="shared" si="570"/>
        <v>2</v>
      </c>
      <c r="M2193" s="5">
        <f t="shared" si="571"/>
        <v>2024</v>
      </c>
      <c r="N2193" s="96">
        <v>900</v>
      </c>
      <c r="O2193" s="6">
        <f t="shared" si="575"/>
        <v>-900</v>
      </c>
      <c r="P2193" s="6">
        <f t="shared" si="563"/>
        <v>0</v>
      </c>
      <c r="Q2193" s="7">
        <f t="shared" si="566"/>
        <v>3719985.350000002</v>
      </c>
      <c r="R2193" s="44" t="str">
        <f>VLOOKUP(F2193,'Set up'!$A$2:$E$70,5,FALSE)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567"/>
        <v>10</v>
      </c>
      <c r="C2194" s="5">
        <f t="shared" si="568"/>
        <v>2023</v>
      </c>
      <c r="D2194" s="88" t="s">
        <v>1998</v>
      </c>
      <c r="E2194" s="5" t="str">
        <f>VLOOKUP(F2194,'Set up'!$A$2:$C$70,2,FALSE)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up'!$A$2:$C$70,3,FALSE)</f>
        <v>120</v>
      </c>
      <c r="J2194" s="5">
        <f>VLOOKUP(F2194,'Set up'!$A$2:$D$70,4,FALSE)</f>
        <v>120</v>
      </c>
      <c r="K2194" s="4">
        <f t="shared" si="569"/>
        <v>45325</v>
      </c>
      <c r="L2194" s="5">
        <f t="shared" si="570"/>
        <v>2</v>
      </c>
      <c r="M2194" s="5">
        <f t="shared" si="571"/>
        <v>2024</v>
      </c>
      <c r="N2194" s="96">
        <v>575</v>
      </c>
      <c r="O2194" s="6">
        <f t="shared" si="575"/>
        <v>-575</v>
      </c>
      <c r="P2194" s="6">
        <f t="shared" si="563"/>
        <v>0</v>
      </c>
      <c r="Q2194" s="7">
        <f t="shared" si="566"/>
        <v>3720560.350000002</v>
      </c>
      <c r="R2194" s="44" t="str">
        <f>VLOOKUP(F2194,'Set up'!$A$2:$E$70,5,FALSE)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567"/>
        <v>10</v>
      </c>
      <c r="C2195" s="5">
        <f t="shared" si="568"/>
        <v>2023</v>
      </c>
      <c r="D2195" s="88" t="s">
        <v>1998</v>
      </c>
      <c r="E2195" s="5" t="str">
        <f>VLOOKUP(F2195,'Set up'!$A$2:$C$70,2,FALSE)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up'!$A$2:$C$70,3,FALSE)</f>
        <v>120</v>
      </c>
      <c r="J2195" s="5">
        <f>VLOOKUP(F2195,'Set up'!$A$2:$D$70,4,FALSE)</f>
        <v>120</v>
      </c>
      <c r="K2195" s="4">
        <f t="shared" si="569"/>
        <v>45325</v>
      </c>
      <c r="L2195" s="5">
        <f t="shared" si="570"/>
        <v>2</v>
      </c>
      <c r="M2195" s="5">
        <f t="shared" si="571"/>
        <v>2024</v>
      </c>
      <c r="N2195" s="96">
        <v>420</v>
      </c>
      <c r="O2195" s="6">
        <f t="shared" si="575"/>
        <v>-420</v>
      </c>
      <c r="P2195" s="6">
        <f t="shared" si="563"/>
        <v>0</v>
      </c>
      <c r="Q2195" s="7">
        <f t="shared" si="566"/>
        <v>3720980.350000002</v>
      </c>
      <c r="R2195" s="44" t="str">
        <f>VLOOKUP(F2195,'Set up'!$A$2:$E$70,5,FALSE)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567"/>
        <v>10</v>
      </c>
      <c r="C2196" s="5">
        <f t="shared" si="568"/>
        <v>2023</v>
      </c>
      <c r="D2196" s="88" t="s">
        <v>1998</v>
      </c>
      <c r="E2196" s="5" t="str">
        <f>VLOOKUP(F2196,'Set up'!$A$2:$C$70,2,FALSE)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up'!$A$2:$C$70,3,FALSE)</f>
        <v>120</v>
      </c>
      <c r="J2196" s="5">
        <f>VLOOKUP(F2196,'Set up'!$A$2:$D$70,4,FALSE)</f>
        <v>120</v>
      </c>
      <c r="K2196" s="4">
        <f t="shared" si="569"/>
        <v>45325</v>
      </c>
      <c r="L2196" s="5">
        <f t="shared" si="570"/>
        <v>2</v>
      </c>
      <c r="M2196" s="5">
        <f t="shared" si="571"/>
        <v>2024</v>
      </c>
      <c r="N2196" s="96">
        <v>238</v>
      </c>
      <c r="O2196" s="6">
        <f t="shared" si="575"/>
        <v>-238</v>
      </c>
      <c r="P2196" s="6">
        <f t="shared" si="563"/>
        <v>0</v>
      </c>
      <c r="Q2196" s="7">
        <f t="shared" si="566"/>
        <v>3721218.350000002</v>
      </c>
      <c r="R2196" s="44" t="str">
        <f>VLOOKUP(F2196,'Set up'!$A$2:$E$70,5,FALSE)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567"/>
        <v>10</v>
      </c>
      <c r="C2197" s="5">
        <f t="shared" si="568"/>
        <v>2023</v>
      </c>
      <c r="D2197" s="88" t="s">
        <v>1999</v>
      </c>
      <c r="E2197" s="5" t="str">
        <f>VLOOKUP(F2197,'Set up'!$A$2:$C$70,2,FALSE)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up'!$A$2:$C$70,3,FALSE)</f>
        <v>Cash</v>
      </c>
      <c r="J2197" s="5">
        <f>VLOOKUP(F2197,'Set up'!$A$2:$D$70,4,FALSE)</f>
        <v>0</v>
      </c>
      <c r="K2197" s="4">
        <f t="shared" si="569"/>
        <v>45205</v>
      </c>
      <c r="L2197" s="5">
        <f t="shared" si="570"/>
        <v>10</v>
      </c>
      <c r="M2197" s="5">
        <f t="shared" si="571"/>
        <v>2023</v>
      </c>
      <c r="N2197" s="96">
        <v>250</v>
      </c>
      <c r="O2197" s="6">
        <f>-N2197</f>
        <v>-250</v>
      </c>
      <c r="P2197" s="6">
        <f t="shared" si="563"/>
        <v>0</v>
      </c>
      <c r="Q2197" s="7">
        <f t="shared" si="566"/>
        <v>3721468.350000002</v>
      </c>
      <c r="R2197" s="44" t="str">
        <f>VLOOKUP(F2197,'Set up'!$A$2:$E$70,5,FALSE)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567"/>
        <v>10</v>
      </c>
      <c r="C2198" s="5">
        <f t="shared" si="568"/>
        <v>2023</v>
      </c>
      <c r="D2198" s="88" t="s">
        <v>1999</v>
      </c>
      <c r="E2198" s="5" t="str">
        <f>VLOOKUP(F2198,'Set up'!$A$2:$C$70,2,FALSE)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up'!$A$2:$C$70,3,FALSE)</f>
        <v>Cash</v>
      </c>
      <c r="J2198" s="5">
        <f>VLOOKUP(F2198,'Set up'!$A$2:$D$70,4,FALSE)</f>
        <v>0</v>
      </c>
      <c r="K2198" s="4">
        <f t="shared" si="569"/>
        <v>45205</v>
      </c>
      <c r="L2198" s="5">
        <f t="shared" si="570"/>
        <v>10</v>
      </c>
      <c r="M2198" s="5">
        <f t="shared" si="571"/>
        <v>2023</v>
      </c>
      <c r="N2198" s="96">
        <v>360</v>
      </c>
      <c r="O2198" s="6">
        <f>-N2198</f>
        <v>-360</v>
      </c>
      <c r="P2198" s="6">
        <f t="shared" si="563"/>
        <v>0</v>
      </c>
      <c r="Q2198" s="7">
        <f t="shared" si="566"/>
        <v>3721828.350000002</v>
      </c>
      <c r="R2198" s="44" t="str">
        <f>VLOOKUP(F2198,'Set up'!$A$2:$E$70,5,FALSE)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567"/>
        <v>10</v>
      </c>
      <c r="C2199" s="5">
        <f t="shared" si="568"/>
        <v>2023</v>
      </c>
      <c r="D2199" s="88" t="s">
        <v>2000</v>
      </c>
      <c r="E2199" s="5" t="str">
        <f>VLOOKUP(F2199,'Set up'!$A$2:$C$70,2,FALSE)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up'!$A$2:$C$70,3,FALSE)</f>
        <v>Cash</v>
      </c>
      <c r="J2199" s="5">
        <f>VLOOKUP(F2199,'Set up'!$A$2:$D$70,4,FALSE)</f>
        <v>0</v>
      </c>
      <c r="K2199" s="4">
        <f t="shared" si="569"/>
        <v>45206</v>
      </c>
      <c r="L2199" s="5">
        <f t="shared" si="570"/>
        <v>10</v>
      </c>
      <c r="M2199" s="5">
        <f t="shared" si="571"/>
        <v>2023</v>
      </c>
      <c r="N2199" s="96">
        <v>3476</v>
      </c>
      <c r="O2199" s="6">
        <f>-N2199</f>
        <v>-3476</v>
      </c>
      <c r="P2199" s="6">
        <f t="shared" si="563"/>
        <v>0</v>
      </c>
      <c r="Q2199" s="7">
        <f t="shared" si="566"/>
        <v>3725304.350000002</v>
      </c>
      <c r="R2199" s="44" t="str">
        <f>VLOOKUP(F2199,'Set up'!$A$2:$E$70,5,FALSE)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567"/>
        <v>10</v>
      </c>
      <c r="C2200" s="5">
        <f t="shared" si="568"/>
        <v>2023</v>
      </c>
      <c r="D2200" s="88" t="s">
        <v>2000</v>
      </c>
      <c r="E2200" s="5" t="str">
        <f>VLOOKUP(F2200,'Set up'!$A$2:$C$70,2,FALSE)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up'!$A$2:$C$70,3,FALSE)</f>
        <v>Cash</v>
      </c>
      <c r="J2200" s="5">
        <f>VLOOKUP(F2200,'Set up'!$A$2:$D$70,4,FALSE)</f>
        <v>0</v>
      </c>
      <c r="K2200" s="4">
        <f t="shared" si="569"/>
        <v>45206</v>
      </c>
      <c r="L2200" s="5">
        <f t="shared" si="570"/>
        <v>10</v>
      </c>
      <c r="M2200" s="5">
        <f t="shared" si="571"/>
        <v>2023</v>
      </c>
      <c r="N2200" s="96">
        <v>702</v>
      </c>
      <c r="O2200" s="6">
        <f>-N2200</f>
        <v>-702</v>
      </c>
      <c r="P2200" s="6">
        <f t="shared" si="563"/>
        <v>0</v>
      </c>
      <c r="Q2200" s="7">
        <f t="shared" si="566"/>
        <v>3726006.350000002</v>
      </c>
      <c r="R2200" s="44" t="str">
        <f>VLOOKUP(F2200,'Set up'!$A$2:$E$70,5,FALSE)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567"/>
        <v>10</v>
      </c>
      <c r="C2201" s="5">
        <f t="shared" si="568"/>
        <v>2023</v>
      </c>
      <c r="D2201" s="88" t="s">
        <v>2000</v>
      </c>
      <c r="E2201" s="5" t="str">
        <f>VLOOKUP(F2201,'Set up'!$A$2:$C$70,2,FALSE)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up'!$A$2:$C$70,3,FALSE)</f>
        <v>Cash</v>
      </c>
      <c r="J2201" s="5">
        <f>VLOOKUP(F2201,'Set up'!$A$2:$D$70,4,FALSE)</f>
        <v>0</v>
      </c>
      <c r="K2201" s="4">
        <f t="shared" si="569"/>
        <v>45206</v>
      </c>
      <c r="L2201" s="5">
        <f t="shared" si="570"/>
        <v>10</v>
      </c>
      <c r="M2201" s="5">
        <f t="shared" si="571"/>
        <v>2023</v>
      </c>
      <c r="N2201" s="96">
        <v>421.2</v>
      </c>
      <c r="O2201" s="6">
        <f>-421</f>
        <v>-421</v>
      </c>
      <c r="P2201" s="6">
        <f t="shared" si="563"/>
        <v>0.19999999999998863</v>
      </c>
      <c r="Q2201" s="7">
        <f t="shared" si="566"/>
        <v>3726427.5500000021</v>
      </c>
      <c r="R2201" s="44" t="str">
        <f>VLOOKUP(F2201,'Set up'!$A$2:$E$70,5,FALSE)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567"/>
        <v>10</v>
      </c>
      <c r="C2202" s="5">
        <f t="shared" si="568"/>
        <v>2023</v>
      </c>
      <c r="D2202" s="88" t="s">
        <v>2000</v>
      </c>
      <c r="E2202" s="5" t="str">
        <f>VLOOKUP(F2202,'Set up'!$A$2:$C$70,2,FALSE)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up'!$A$2:$C$70,3,FALSE)</f>
        <v>Cash</v>
      </c>
      <c r="J2202" s="5">
        <f>VLOOKUP(F2202,'Set up'!$A$2:$D$70,4,FALSE)</f>
        <v>0</v>
      </c>
      <c r="K2202" s="4">
        <f t="shared" si="569"/>
        <v>45206</v>
      </c>
      <c r="L2202" s="5">
        <f t="shared" si="570"/>
        <v>10</v>
      </c>
      <c r="M2202" s="5">
        <f t="shared" si="571"/>
        <v>2023</v>
      </c>
      <c r="N2202" s="96">
        <v>210</v>
      </c>
      <c r="O2202" s="6">
        <f>-N2202</f>
        <v>-210</v>
      </c>
      <c r="P2202" s="6">
        <f t="shared" si="563"/>
        <v>0</v>
      </c>
      <c r="Q2202" s="7">
        <f t="shared" si="566"/>
        <v>3726637.5500000021</v>
      </c>
      <c r="R2202" s="44" t="str">
        <f>VLOOKUP(F2202,'Set up'!$A$2:$E$70,5,FALSE)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567"/>
        <v>10</v>
      </c>
      <c r="C2203" s="5">
        <f t="shared" si="568"/>
        <v>2023</v>
      </c>
      <c r="D2203" s="88" t="s">
        <v>2000</v>
      </c>
      <c r="E2203" s="5" t="str">
        <f>VLOOKUP(F2203,'Set up'!$A$2:$C$70,2,FALSE)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up'!$A$2:$C$70,3,FALSE)</f>
        <v>Cash</v>
      </c>
      <c r="J2203" s="5">
        <f>VLOOKUP(F2203,'Set up'!$A$2:$D$70,4,FALSE)</f>
        <v>0</v>
      </c>
      <c r="K2203" s="4">
        <f t="shared" si="569"/>
        <v>45206</v>
      </c>
      <c r="L2203" s="5">
        <f t="shared" si="570"/>
        <v>10</v>
      </c>
      <c r="M2203" s="5">
        <f t="shared" si="571"/>
        <v>2023</v>
      </c>
      <c r="N2203" s="96">
        <v>258</v>
      </c>
      <c r="O2203" s="6">
        <f>-N2203</f>
        <v>-258</v>
      </c>
      <c r="P2203" s="6">
        <f t="shared" si="563"/>
        <v>0</v>
      </c>
      <c r="Q2203" s="7">
        <f t="shared" si="566"/>
        <v>3726895.5500000021</v>
      </c>
      <c r="R2203" s="44" t="str">
        <f>VLOOKUP(F2203,'Set up'!$A$2:$E$70,5,FALSE)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567"/>
        <v>10</v>
      </c>
      <c r="C2204" s="5">
        <f t="shared" si="568"/>
        <v>2023</v>
      </c>
      <c r="D2204" s="88" t="s">
        <v>2001</v>
      </c>
      <c r="E2204" s="5" t="str">
        <f>VLOOKUP(F2204,'Set up'!$A$2:$C$70,2,FALSE)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up'!$A$2:$C$70,3,FALSE)</f>
        <v>Cash</v>
      </c>
      <c r="J2204" s="5">
        <f>VLOOKUP(F2204,'Set up'!$A$2:$D$70,4,FALSE)</f>
        <v>0</v>
      </c>
      <c r="K2204" s="4">
        <f t="shared" si="569"/>
        <v>45211</v>
      </c>
      <c r="L2204" s="5">
        <f t="shared" si="570"/>
        <v>10</v>
      </c>
      <c r="M2204" s="5">
        <f t="shared" si="571"/>
        <v>2023</v>
      </c>
      <c r="N2204" s="96">
        <v>125</v>
      </c>
      <c r="O2204" s="6">
        <f>-N2204</f>
        <v>-125</v>
      </c>
      <c r="P2204" s="6">
        <f t="shared" si="563"/>
        <v>0</v>
      </c>
      <c r="Q2204" s="7">
        <f t="shared" si="566"/>
        <v>3727020.5500000021</v>
      </c>
      <c r="R2204" s="44" t="str">
        <f>VLOOKUP(F2204,'Set up'!$A$2:$E$70,5,FALSE)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567"/>
        <v>10</v>
      </c>
      <c r="C2205" s="5">
        <f t="shared" si="568"/>
        <v>2023</v>
      </c>
      <c r="D2205" s="88" t="s">
        <v>2001</v>
      </c>
      <c r="E2205" s="5" t="str">
        <f>VLOOKUP(F2205,'Set up'!$A$2:$C$70,2,FALSE)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up'!$A$2:$C$70,3,FALSE)</f>
        <v>Cash</v>
      </c>
      <c r="J2205" s="5">
        <f>VLOOKUP(F2205,'Set up'!$A$2:$D$70,4,FALSE)</f>
        <v>0</v>
      </c>
      <c r="K2205" s="4">
        <f t="shared" si="569"/>
        <v>45211</v>
      </c>
      <c r="L2205" s="5">
        <f t="shared" si="570"/>
        <v>10</v>
      </c>
      <c r="M2205" s="5">
        <f t="shared" si="571"/>
        <v>2023</v>
      </c>
      <c r="N2205" s="96">
        <v>900</v>
      </c>
      <c r="O2205" s="6">
        <f>-N2205</f>
        <v>-900</v>
      </c>
      <c r="P2205" s="6">
        <f t="shared" si="563"/>
        <v>0</v>
      </c>
      <c r="Q2205" s="7">
        <f t="shared" si="566"/>
        <v>3727920.5500000021</v>
      </c>
      <c r="R2205" s="44" t="str">
        <f>VLOOKUP(F2205,'Set up'!$A$2:$E$70,5,FALSE)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567"/>
        <v>10</v>
      </c>
      <c r="C2206" s="5">
        <f t="shared" si="568"/>
        <v>2023</v>
      </c>
      <c r="D2206" s="88" t="s">
        <v>2003</v>
      </c>
      <c r="E2206" s="5" t="str">
        <f>VLOOKUP(F2206,'Set up'!$A$2:$C$70,2,FALSE)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up'!$A$2:$C$70,3,FALSE)</f>
        <v>Cash</v>
      </c>
      <c r="J2206" s="5">
        <f>VLOOKUP(F2206,'Set up'!$A$2:$D$70,4,FALSE)</f>
        <v>0</v>
      </c>
      <c r="K2206" s="4">
        <f t="shared" si="569"/>
        <v>45209</v>
      </c>
      <c r="L2206" s="5">
        <f t="shared" si="570"/>
        <v>10</v>
      </c>
      <c r="M2206" s="5">
        <f t="shared" si="571"/>
        <v>2023</v>
      </c>
      <c r="N2206" s="96">
        <v>234</v>
      </c>
      <c r="O2206" s="6">
        <f t="shared" ref="O2206:O2207" si="576">-N2206</f>
        <v>-234</v>
      </c>
      <c r="P2206" s="6">
        <f t="shared" si="563"/>
        <v>0</v>
      </c>
      <c r="Q2206" s="7">
        <f t="shared" si="566"/>
        <v>3728154.5500000021</v>
      </c>
      <c r="R2206" s="44" t="str">
        <f>VLOOKUP(F2206,'Set up'!$A$2:$E$70,5,FALSE)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567"/>
        <v>10</v>
      </c>
      <c r="C2207" s="5">
        <f t="shared" si="568"/>
        <v>2023</v>
      </c>
      <c r="D2207" s="88" t="s">
        <v>2003</v>
      </c>
      <c r="E2207" s="5" t="str">
        <f>VLOOKUP(F2207,'Set up'!$A$2:$C$70,2,FALSE)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up'!$A$2:$C$70,3,FALSE)</f>
        <v>Cash</v>
      </c>
      <c r="J2207" s="5">
        <f>VLOOKUP(F2207,'Set up'!$A$2:$D$70,4,FALSE)</f>
        <v>0</v>
      </c>
      <c r="K2207" s="4">
        <f t="shared" si="569"/>
        <v>45209</v>
      </c>
      <c r="L2207" s="5">
        <f t="shared" si="570"/>
        <v>10</v>
      </c>
      <c r="M2207" s="5">
        <f t="shared" si="571"/>
        <v>2023</v>
      </c>
      <c r="N2207" s="96">
        <v>110</v>
      </c>
      <c r="O2207" s="6">
        <f t="shared" si="576"/>
        <v>-110</v>
      </c>
      <c r="P2207" s="6">
        <f t="shared" si="563"/>
        <v>0</v>
      </c>
      <c r="Q2207" s="7">
        <f t="shared" si="566"/>
        <v>3728264.5500000021</v>
      </c>
      <c r="R2207" s="44" t="str">
        <f>VLOOKUP(F2207,'Set up'!$A$2:$E$70,5,FALSE)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567"/>
        <v>10</v>
      </c>
      <c r="C2208" s="5">
        <f t="shared" si="568"/>
        <v>2023</v>
      </c>
      <c r="D2208" s="88" t="s">
        <v>2005</v>
      </c>
      <c r="E2208" s="5" t="str">
        <f>VLOOKUP(F2208,'Set up'!$A$2:$C$70,2,FALSE)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up'!$A$2:$C$70,3,FALSE)</f>
        <v>Cash</v>
      </c>
      <c r="J2208" s="5">
        <f>VLOOKUP(F2208,'Set up'!$A$2:$D$70,4,FALSE)</f>
        <v>0</v>
      </c>
      <c r="K2208" s="4">
        <f t="shared" si="569"/>
        <v>45210</v>
      </c>
      <c r="L2208" s="5">
        <f t="shared" si="570"/>
        <v>10</v>
      </c>
      <c r="M2208" s="5">
        <f t="shared" si="571"/>
        <v>2023</v>
      </c>
      <c r="N2208" s="96">
        <v>1694</v>
      </c>
      <c r="O2208" s="6">
        <f t="shared" ref="O2208:O2212" si="577">-N2208</f>
        <v>-1694</v>
      </c>
      <c r="P2208" s="6">
        <f t="shared" si="563"/>
        <v>0</v>
      </c>
      <c r="Q2208" s="7">
        <f t="shared" si="566"/>
        <v>3729958.5500000021</v>
      </c>
      <c r="R2208" s="44" t="str">
        <f>VLOOKUP(F2208,'Set up'!$A$2:$E$70,5,FALSE)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567"/>
        <v>10</v>
      </c>
      <c r="C2209" s="5">
        <f t="shared" si="568"/>
        <v>2023</v>
      </c>
      <c r="D2209" s="88" t="s">
        <v>2005</v>
      </c>
      <c r="E2209" s="5" t="str">
        <f>VLOOKUP(F2209,'Set up'!$A$2:$C$70,2,FALSE)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up'!$A$2:$C$70,3,FALSE)</f>
        <v>Cash</v>
      </c>
      <c r="J2209" s="5">
        <f>VLOOKUP(F2209,'Set up'!$A$2:$D$70,4,FALSE)</f>
        <v>0</v>
      </c>
      <c r="K2209" s="4">
        <f t="shared" si="569"/>
        <v>45210</v>
      </c>
      <c r="L2209" s="5">
        <f t="shared" si="570"/>
        <v>10</v>
      </c>
      <c r="M2209" s="5">
        <f t="shared" si="571"/>
        <v>2023</v>
      </c>
      <c r="N2209" s="96">
        <v>702</v>
      </c>
      <c r="O2209" s="6">
        <f t="shared" si="577"/>
        <v>-702</v>
      </c>
      <c r="P2209" s="6">
        <f t="shared" si="563"/>
        <v>0</v>
      </c>
      <c r="Q2209" s="7">
        <f t="shared" si="566"/>
        <v>3730660.5500000021</v>
      </c>
      <c r="R2209" s="44" t="str">
        <f>VLOOKUP(F2209,'Set up'!$A$2:$E$70,5,FALSE)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567"/>
        <v>10</v>
      </c>
      <c r="C2210" s="5">
        <f t="shared" si="568"/>
        <v>2023</v>
      </c>
      <c r="D2210" s="88" t="s">
        <v>2005</v>
      </c>
      <c r="E2210" s="5" t="str">
        <f>VLOOKUP(F2210,'Set up'!$A$2:$C$70,2,FALSE)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up'!$A$2:$C$70,3,FALSE)</f>
        <v>Cash</v>
      </c>
      <c r="J2210" s="5">
        <f>VLOOKUP(F2210,'Set up'!$A$2:$D$70,4,FALSE)</f>
        <v>0</v>
      </c>
      <c r="K2210" s="4">
        <f t="shared" si="569"/>
        <v>45210</v>
      </c>
      <c r="L2210" s="5">
        <f t="shared" si="570"/>
        <v>10</v>
      </c>
      <c r="M2210" s="5">
        <f t="shared" si="571"/>
        <v>2023</v>
      </c>
      <c r="N2210" s="96">
        <v>258</v>
      </c>
      <c r="O2210" s="6">
        <f t="shared" si="577"/>
        <v>-258</v>
      </c>
      <c r="P2210" s="6">
        <f t="shared" si="563"/>
        <v>0</v>
      </c>
      <c r="Q2210" s="7">
        <f t="shared" si="566"/>
        <v>3730918.5500000021</v>
      </c>
      <c r="R2210" s="44" t="str">
        <f>VLOOKUP(F2210,'Set up'!$A$2:$E$70,5,FALSE)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567"/>
        <v>10</v>
      </c>
      <c r="C2211" s="5">
        <f t="shared" si="568"/>
        <v>2023</v>
      </c>
      <c r="D2211" s="88" t="s">
        <v>2005</v>
      </c>
      <c r="E2211" s="5" t="str">
        <f>VLOOKUP(F2211,'Set up'!$A$2:$C$70,2,FALSE)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up'!$A$2:$C$70,3,FALSE)</f>
        <v>Cash</v>
      </c>
      <c r="J2211" s="5">
        <f>VLOOKUP(F2211,'Set up'!$A$2:$D$70,4,FALSE)</f>
        <v>0</v>
      </c>
      <c r="K2211" s="4">
        <f t="shared" si="569"/>
        <v>45210</v>
      </c>
      <c r="L2211" s="5">
        <f t="shared" si="570"/>
        <v>10</v>
      </c>
      <c r="M2211" s="5">
        <f t="shared" si="571"/>
        <v>2023</v>
      </c>
      <c r="N2211" s="96">
        <v>105</v>
      </c>
      <c r="O2211" s="6">
        <f t="shared" si="577"/>
        <v>-105</v>
      </c>
      <c r="P2211" s="6">
        <f t="shared" si="563"/>
        <v>0</v>
      </c>
      <c r="Q2211" s="7">
        <f t="shared" si="566"/>
        <v>3731023.5500000021</v>
      </c>
      <c r="R2211" s="44" t="str">
        <f>VLOOKUP(F2211,'Set up'!$A$2:$E$70,5,FALSE)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567"/>
        <v>10</v>
      </c>
      <c r="C2212" s="5">
        <f t="shared" si="568"/>
        <v>2023</v>
      </c>
      <c r="D2212" s="88" t="s">
        <v>2005</v>
      </c>
      <c r="E2212" s="5" t="str">
        <f>VLOOKUP(F2212,'Set up'!$A$2:$C$70,2,FALSE)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up'!$A$2:$C$70,3,FALSE)</f>
        <v>Cash</v>
      </c>
      <c r="J2212" s="5">
        <f>VLOOKUP(F2212,'Set up'!$A$2:$D$70,4,FALSE)</f>
        <v>0</v>
      </c>
      <c r="K2212" s="4">
        <f t="shared" si="569"/>
        <v>45210</v>
      </c>
      <c r="L2212" s="5">
        <f t="shared" si="570"/>
        <v>10</v>
      </c>
      <c r="M2212" s="5">
        <f t="shared" si="571"/>
        <v>2023</v>
      </c>
      <c r="N2212" s="96">
        <v>150</v>
      </c>
      <c r="O2212" s="6">
        <f t="shared" si="577"/>
        <v>-150</v>
      </c>
      <c r="P2212" s="6">
        <f t="shared" si="563"/>
        <v>0</v>
      </c>
      <c r="Q2212" s="7">
        <f t="shared" si="566"/>
        <v>3731173.5500000021</v>
      </c>
      <c r="R2212" s="44" t="str">
        <f>VLOOKUP(F2212,'Set up'!$A$2:$E$70,5,FALSE)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567"/>
        <v>10</v>
      </c>
      <c r="C2213" s="5">
        <f t="shared" si="568"/>
        <v>2023</v>
      </c>
      <c r="D2213" s="88" t="s">
        <v>2007</v>
      </c>
      <c r="E2213" s="5" t="str">
        <f>VLOOKUP(F2213,'Set up'!$A$2:$C$70,2,FALSE)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up'!$A$2:$C$70,3,FALSE)</f>
        <v>Cash</v>
      </c>
      <c r="J2213" s="5">
        <f>VLOOKUP(F2213,'Set up'!$A$2:$D$70,4,FALSE)</f>
        <v>0</v>
      </c>
      <c r="K2213" s="4">
        <f t="shared" si="569"/>
        <v>45210</v>
      </c>
      <c r="L2213" s="5">
        <f t="shared" si="570"/>
        <v>10</v>
      </c>
      <c r="M2213" s="5">
        <f t="shared" si="571"/>
        <v>2023</v>
      </c>
      <c r="N2213" s="96">
        <v>1732.5</v>
      </c>
      <c r="O2213" s="6">
        <f>-241.7-1000-490.8</f>
        <v>-1732.5</v>
      </c>
      <c r="P2213" s="6">
        <f t="shared" si="563"/>
        <v>0</v>
      </c>
      <c r="Q2213" s="7">
        <f t="shared" si="566"/>
        <v>3732906.0500000021</v>
      </c>
      <c r="R2213" s="44" t="str">
        <f>VLOOKUP(F2213,'Set up'!$A$2:$E$70,5,FALSE)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567"/>
        <v>10</v>
      </c>
      <c r="C2214" s="5">
        <f t="shared" si="568"/>
        <v>2023</v>
      </c>
      <c r="D2214" s="88" t="s">
        <v>2007</v>
      </c>
      <c r="E2214" s="5" t="str">
        <f>VLOOKUP(F2214,'Set up'!$A$2:$C$70,2,FALSE)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up'!$A$2:$C$70,3,FALSE)</f>
        <v>Cash</v>
      </c>
      <c r="J2214" s="5">
        <f>VLOOKUP(F2214,'Set up'!$A$2:$D$70,4,FALSE)</f>
        <v>0</v>
      </c>
      <c r="K2214" s="4">
        <f t="shared" si="569"/>
        <v>45210</v>
      </c>
      <c r="L2214" s="5">
        <f t="shared" si="570"/>
        <v>10</v>
      </c>
      <c r="M2214" s="5">
        <f t="shared" si="571"/>
        <v>2023</v>
      </c>
      <c r="N2214" s="96">
        <v>312.5</v>
      </c>
      <c r="O2214" s="6">
        <f t="shared" ref="O2214" si="578">-N2214</f>
        <v>-312.5</v>
      </c>
      <c r="P2214" s="6">
        <f t="shared" si="563"/>
        <v>0</v>
      </c>
      <c r="Q2214" s="7">
        <f t="shared" si="566"/>
        <v>3733218.5500000021</v>
      </c>
      <c r="R2214" s="44" t="str">
        <f>VLOOKUP(F2214,'Set up'!$A$2:$E$70,5,FALSE)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si="567"/>
        <v>10</v>
      </c>
      <c r="C2215" s="5">
        <f t="shared" si="568"/>
        <v>2023</v>
      </c>
      <c r="D2215" s="88" t="s">
        <v>2008</v>
      </c>
      <c r="E2215" s="5" t="str">
        <f>VLOOKUP(F2215,'Set up'!$A$2:$C$70,2,FALSE)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up'!$A$2:$C$70,3,FALSE)</f>
        <v>60</v>
      </c>
      <c r="J2215" s="5">
        <f>VLOOKUP(F2215,'Set up'!$A$2:$D$70,4,FALSE)</f>
        <v>60</v>
      </c>
      <c r="K2215" s="4">
        <f t="shared" si="569"/>
        <v>45273</v>
      </c>
      <c r="L2215" s="5">
        <f t="shared" si="570"/>
        <v>12</v>
      </c>
      <c r="M2215" s="5">
        <f t="shared" si="571"/>
        <v>2023</v>
      </c>
      <c r="N2215" s="96">
        <v>594</v>
      </c>
      <c r="O2215" s="6">
        <f t="shared" ref="O2215:O2217" si="579">-N2215</f>
        <v>-594</v>
      </c>
      <c r="P2215" s="6">
        <f t="shared" si="563"/>
        <v>0</v>
      </c>
      <c r="Q2215" s="7">
        <f t="shared" ref="Q2215:Q2228" si="580">SUM(Q2214+N2215)</f>
        <v>3733812.5500000021</v>
      </c>
      <c r="R2215" s="44" t="str">
        <f>VLOOKUP(F2215,'Set up'!$A$2:$E$70,5,FALSE)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567"/>
        <v>10</v>
      </c>
      <c r="C2216" s="5">
        <f t="shared" si="568"/>
        <v>2023</v>
      </c>
      <c r="D2216" s="88" t="s">
        <v>2008</v>
      </c>
      <c r="E2216" s="5" t="str">
        <f>VLOOKUP(F2216,'Set up'!$A$2:$C$70,2,FALSE)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up'!$A$2:$C$70,3,FALSE)</f>
        <v>60</v>
      </c>
      <c r="J2216" s="5">
        <f>VLOOKUP(F2216,'Set up'!$A$2:$D$70,4,FALSE)</f>
        <v>60</v>
      </c>
      <c r="K2216" s="4">
        <f t="shared" si="569"/>
        <v>45273</v>
      </c>
      <c r="L2216" s="5">
        <f t="shared" si="570"/>
        <v>12</v>
      </c>
      <c r="M2216" s="5">
        <f t="shared" si="571"/>
        <v>2023</v>
      </c>
      <c r="N2216" s="96">
        <v>594</v>
      </c>
      <c r="O2216" s="6">
        <f t="shared" si="579"/>
        <v>-594</v>
      </c>
      <c r="P2216" s="6">
        <f t="shared" si="563"/>
        <v>0</v>
      </c>
      <c r="Q2216" s="7">
        <f t="shared" si="580"/>
        <v>3734406.5500000021</v>
      </c>
      <c r="R2216" s="44" t="str">
        <f>VLOOKUP(F2216,'Set up'!$A$2:$E$70,5,FALSE)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567"/>
        <v>10</v>
      </c>
      <c r="C2217" s="5">
        <f t="shared" si="568"/>
        <v>2023</v>
      </c>
      <c r="D2217" s="88" t="s">
        <v>2008</v>
      </c>
      <c r="E2217" s="5" t="str">
        <f>VLOOKUP(F2217,'Set up'!$A$2:$C$70,2,FALSE)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up'!$A$2:$C$70,3,FALSE)</f>
        <v>60</v>
      </c>
      <c r="J2217" s="5">
        <f>VLOOKUP(F2217,'Set up'!$A$2:$D$70,4,FALSE)</f>
        <v>60</v>
      </c>
      <c r="K2217" s="4">
        <f t="shared" si="569"/>
        <v>45273</v>
      </c>
      <c r="L2217" s="5">
        <f t="shared" si="570"/>
        <v>12</v>
      </c>
      <c r="M2217" s="5">
        <f t="shared" si="571"/>
        <v>2023</v>
      </c>
      <c r="N2217" s="96">
        <v>440</v>
      </c>
      <c r="O2217" s="6">
        <f t="shared" si="579"/>
        <v>-440</v>
      </c>
      <c r="P2217" s="6">
        <f t="shared" si="563"/>
        <v>0</v>
      </c>
      <c r="Q2217" s="7">
        <f t="shared" si="580"/>
        <v>3734846.5500000021</v>
      </c>
      <c r="R2217" s="44" t="str">
        <f>VLOOKUP(F2217,'Set up'!$A$2:$E$70,5,FALSE)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567"/>
        <v>10</v>
      </c>
      <c r="C2218" s="5">
        <f t="shared" si="568"/>
        <v>2023</v>
      </c>
      <c r="D2218" s="88" t="s">
        <v>2010</v>
      </c>
      <c r="E2218" s="5" t="str">
        <f>VLOOKUP(F2218,'Set up'!$A$2:$C$70,2,FALSE)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up'!$A$2:$C$70,3,FALSE)</f>
        <v>Cash</v>
      </c>
      <c r="J2218" s="5">
        <f>VLOOKUP(F2218,'Set up'!$A$2:$D$70,4,FALSE)</f>
        <v>0</v>
      </c>
      <c r="K2218" s="4">
        <f t="shared" si="569"/>
        <v>45213</v>
      </c>
      <c r="L2218" s="5">
        <f t="shared" si="570"/>
        <v>10</v>
      </c>
      <c r="M2218" s="5">
        <f t="shared" si="571"/>
        <v>2023</v>
      </c>
      <c r="N2218" s="96">
        <v>1738</v>
      </c>
      <c r="O2218" s="6">
        <f>-791.1-946.9</f>
        <v>-1738</v>
      </c>
      <c r="P2218" s="6">
        <f t="shared" si="563"/>
        <v>0</v>
      </c>
      <c r="Q2218" s="7">
        <f t="shared" si="580"/>
        <v>3736584.5500000021</v>
      </c>
      <c r="R2218" s="44" t="str">
        <f>VLOOKUP(F2218,'Set up'!$A$2:$E$70,5,FALSE)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567"/>
        <v>10</v>
      </c>
      <c r="C2219" s="5">
        <f t="shared" si="568"/>
        <v>2023</v>
      </c>
      <c r="D2219" s="88" t="s">
        <v>2011</v>
      </c>
      <c r="E2219" s="5" t="str">
        <f>VLOOKUP(F2219,'Set up'!$A$2:$C$70,2,FALSE)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up'!$A$2:$C$70,3,FALSE)</f>
        <v>Cash</v>
      </c>
      <c r="J2219" s="5">
        <f>VLOOKUP(F2219,'Set up'!$A$2:$D$70,4,FALSE)</f>
        <v>0</v>
      </c>
      <c r="K2219" s="4">
        <f t="shared" si="569"/>
        <v>45213</v>
      </c>
      <c r="L2219" s="5">
        <f t="shared" si="570"/>
        <v>10</v>
      </c>
      <c r="M2219" s="5">
        <f t="shared" si="571"/>
        <v>2023</v>
      </c>
      <c r="N2219" s="96">
        <v>1738</v>
      </c>
      <c r="O2219" s="6">
        <f>-241.8-1496.2</f>
        <v>-1738</v>
      </c>
      <c r="P2219" s="6">
        <f t="shared" si="563"/>
        <v>0</v>
      </c>
      <c r="Q2219" s="7">
        <f t="shared" si="580"/>
        <v>3738322.5500000021</v>
      </c>
      <c r="R2219" s="44" t="str">
        <f>VLOOKUP(F2219,'Set up'!$A$2:$E$70,5,FALSE)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567"/>
        <v>10</v>
      </c>
      <c r="C2220" s="5">
        <f t="shared" si="568"/>
        <v>2023</v>
      </c>
      <c r="D2220" s="88" t="s">
        <v>2013</v>
      </c>
      <c r="E2220" s="5" t="str">
        <f>VLOOKUP(F2220,'Set up'!$A$2:$C$70,2,FALSE)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up'!$A$2:$C$70,3,FALSE)</f>
        <v>Cash</v>
      </c>
      <c r="J2220" s="5">
        <f>VLOOKUP(F2220,'Set up'!$A$2:$D$70,4,FALSE)</f>
        <v>0</v>
      </c>
      <c r="K2220" s="4">
        <f t="shared" si="569"/>
        <v>45216</v>
      </c>
      <c r="L2220" s="5">
        <f t="shared" si="570"/>
        <v>10</v>
      </c>
      <c r="M2220" s="5">
        <f t="shared" si="571"/>
        <v>2023</v>
      </c>
      <c r="N2220" s="96">
        <v>312.5</v>
      </c>
      <c r="O2220" s="6">
        <f>-N2220</f>
        <v>-312.5</v>
      </c>
      <c r="P2220" s="6">
        <f t="shared" si="563"/>
        <v>0</v>
      </c>
      <c r="Q2220" s="7">
        <f t="shared" si="580"/>
        <v>3738635.0500000021</v>
      </c>
      <c r="R2220" s="44" t="str">
        <f>VLOOKUP(F2220,'Set up'!$A$2:$E$70,5,FALSE)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567"/>
        <v>10</v>
      </c>
      <c r="C2221" s="5">
        <f t="shared" si="568"/>
        <v>2023</v>
      </c>
      <c r="D2221" s="88" t="s">
        <v>2014</v>
      </c>
      <c r="E2221" s="5" t="str">
        <f>VLOOKUP(F2221,'Set up'!$A$2:$C$70,2,FALSE)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up'!$A$2:$C$70,3,FALSE)</f>
        <v>Cash</v>
      </c>
      <c r="J2221" s="5">
        <f>VLOOKUP(F2221,'Set up'!$A$2:$D$70,4,FALSE)</f>
        <v>0</v>
      </c>
      <c r="K2221" s="4">
        <f t="shared" si="569"/>
        <v>45216</v>
      </c>
      <c r="L2221" s="5">
        <f t="shared" si="570"/>
        <v>10</v>
      </c>
      <c r="M2221" s="5">
        <f t="shared" si="571"/>
        <v>2023</v>
      </c>
      <c r="N2221" s="96">
        <v>8140</v>
      </c>
      <c r="O2221" s="6">
        <f>-1340.2-6799.8</f>
        <v>-8140</v>
      </c>
      <c r="P2221" s="6">
        <f t="shared" si="563"/>
        <v>0</v>
      </c>
      <c r="Q2221" s="7">
        <f t="shared" si="580"/>
        <v>3746775.0500000021</v>
      </c>
      <c r="R2221" s="44" t="str">
        <f>VLOOKUP(F2221,'Set up'!$A$2:$E$70,5,FALSE)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567"/>
        <v>10</v>
      </c>
      <c r="C2222" s="5">
        <f t="shared" si="568"/>
        <v>2023</v>
      </c>
      <c r="D2222" s="88" t="s">
        <v>2014</v>
      </c>
      <c r="E2222" s="5" t="str">
        <f>VLOOKUP(F2222,'Set up'!$A$2:$C$70,2,FALSE)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up'!$A$2:$C$70,3,FALSE)</f>
        <v>Cash</v>
      </c>
      <c r="J2222" s="5">
        <f>VLOOKUP(F2222,'Set up'!$A$2:$D$70,4,FALSE)</f>
        <v>0</v>
      </c>
      <c r="K2222" s="4">
        <f t="shared" si="569"/>
        <v>45216</v>
      </c>
      <c r="L2222" s="5">
        <f t="shared" si="570"/>
        <v>10</v>
      </c>
      <c r="M2222" s="5">
        <f t="shared" si="571"/>
        <v>2023</v>
      </c>
      <c r="N2222" s="96">
        <v>2700</v>
      </c>
      <c r="O2222" s="6">
        <f>-N2222</f>
        <v>-2700</v>
      </c>
      <c r="P2222" s="6">
        <f t="shared" si="563"/>
        <v>0</v>
      </c>
      <c r="Q2222" s="7">
        <f t="shared" si="580"/>
        <v>3749475.0500000021</v>
      </c>
      <c r="R2222" s="44" t="str">
        <f>VLOOKUP(F2222,'Set up'!$A$2:$E$70,5,FALSE)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567"/>
        <v>10</v>
      </c>
      <c r="C2223" s="5">
        <f t="shared" si="568"/>
        <v>2023</v>
      </c>
      <c r="D2223" s="88" t="s">
        <v>2014</v>
      </c>
      <c r="E2223" s="5" t="str">
        <f>VLOOKUP(F2223,'Set up'!$A$2:$C$70,2,FALSE)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up'!$A$2:$C$70,3,FALSE)</f>
        <v>Cash</v>
      </c>
      <c r="J2223" s="5">
        <f>VLOOKUP(F2223,'Set up'!$A$2:$D$70,4,FALSE)</f>
        <v>0</v>
      </c>
      <c r="K2223" s="4">
        <f t="shared" si="569"/>
        <v>45216</v>
      </c>
      <c r="L2223" s="5">
        <f t="shared" si="570"/>
        <v>10</v>
      </c>
      <c r="M2223" s="5">
        <f t="shared" si="571"/>
        <v>2023</v>
      </c>
      <c r="N2223" s="96">
        <v>1638</v>
      </c>
      <c r="O2223" s="6">
        <f>-N2223</f>
        <v>-1638</v>
      </c>
      <c r="P2223" s="6">
        <f t="shared" si="563"/>
        <v>0</v>
      </c>
      <c r="Q2223" s="7">
        <f t="shared" si="580"/>
        <v>3751113.0500000021</v>
      </c>
      <c r="R2223" s="44" t="str">
        <f>VLOOKUP(F2223,'Set up'!$A$2:$E$70,5,FALSE)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567"/>
        <v>10</v>
      </c>
      <c r="C2224" s="5">
        <f t="shared" si="568"/>
        <v>2023</v>
      </c>
      <c r="D2224" s="88" t="s">
        <v>2014</v>
      </c>
      <c r="E2224" s="5" t="str">
        <f>VLOOKUP(F2224,'Set up'!$A$2:$C$70,2,FALSE)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up'!$A$2:$C$70,3,FALSE)</f>
        <v>Cash</v>
      </c>
      <c r="J2224" s="5">
        <f>VLOOKUP(F2224,'Set up'!$A$2:$D$70,4,FALSE)</f>
        <v>0</v>
      </c>
      <c r="K2224" s="4">
        <f t="shared" si="569"/>
        <v>45216</v>
      </c>
      <c r="L2224" s="5">
        <f t="shared" si="570"/>
        <v>10</v>
      </c>
      <c r="M2224" s="5">
        <f t="shared" si="571"/>
        <v>2023</v>
      </c>
      <c r="N2224" s="96">
        <v>1800</v>
      </c>
      <c r="O2224" s="6">
        <f>-N2224</f>
        <v>-1800</v>
      </c>
      <c r="P2224" s="6">
        <f t="shared" si="563"/>
        <v>0</v>
      </c>
      <c r="Q2224" s="7">
        <f t="shared" si="580"/>
        <v>3752913.0500000021</v>
      </c>
      <c r="R2224" s="44" t="str">
        <f>VLOOKUP(F2224,'Set up'!$A$2:$E$70,5,FALSE)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567"/>
        <v>10</v>
      </c>
      <c r="C2225" s="5">
        <f t="shared" si="568"/>
        <v>2023</v>
      </c>
      <c r="D2225" s="88" t="s">
        <v>2014</v>
      </c>
      <c r="E2225" s="5" t="str">
        <f>VLOOKUP(F2225,'Set up'!$A$2:$C$70,2,FALSE)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up'!$A$2:$C$70,3,FALSE)</f>
        <v>Cash</v>
      </c>
      <c r="J2225" s="5">
        <f>VLOOKUP(F2225,'Set up'!$A$2:$D$70,4,FALSE)</f>
        <v>0</v>
      </c>
      <c r="K2225" s="4">
        <f t="shared" si="569"/>
        <v>45216</v>
      </c>
      <c r="L2225" s="5">
        <f t="shared" si="570"/>
        <v>10</v>
      </c>
      <c r="M2225" s="5">
        <f t="shared" si="571"/>
        <v>2023</v>
      </c>
      <c r="N2225" s="96">
        <v>380</v>
      </c>
      <c r="O2225" s="6">
        <f>-N2225</f>
        <v>-380</v>
      </c>
      <c r="P2225" s="6">
        <f t="shared" si="563"/>
        <v>0</v>
      </c>
      <c r="Q2225" s="7">
        <f t="shared" si="580"/>
        <v>3753293.0500000021</v>
      </c>
      <c r="R2225" s="44" t="str">
        <f>VLOOKUP(F2225,'Set up'!$A$2:$E$70,5,FALSE)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567"/>
        <v>10</v>
      </c>
      <c r="C2226" s="5">
        <f t="shared" si="568"/>
        <v>2023</v>
      </c>
      <c r="D2226" s="88" t="s">
        <v>2016</v>
      </c>
      <c r="E2226" s="5" t="str">
        <f>VLOOKUP(F2226,'Set up'!$A$2:$C$70,2,FALSE)</f>
        <v>C00000009</v>
      </c>
      <c r="F2226" s="1" t="s">
        <v>58</v>
      </c>
      <c r="G2226" s="99"/>
      <c r="H2226" s="5">
        <v>2</v>
      </c>
      <c r="I2226" s="5">
        <f>VLOOKUP(F2226,'Set up'!$A$2:$C$70,3,FALSE)</f>
        <v>60</v>
      </c>
      <c r="J2226" s="5">
        <f>VLOOKUP(F2226,'Set up'!$A$2:$D$70,4,FALSE)</f>
        <v>60</v>
      </c>
      <c r="K2226" s="4">
        <f t="shared" si="569"/>
        <v>45278</v>
      </c>
      <c r="L2226" s="5">
        <f t="shared" si="570"/>
        <v>12</v>
      </c>
      <c r="M2226" s="5">
        <f t="shared" si="571"/>
        <v>2023</v>
      </c>
      <c r="N2226" s="96">
        <v>3212</v>
      </c>
      <c r="O2226" s="6">
        <f t="shared" ref="O2226:O2227" si="581">-N2226</f>
        <v>-3212</v>
      </c>
      <c r="P2226" s="6">
        <f t="shared" si="563"/>
        <v>0</v>
      </c>
      <c r="Q2226" s="7">
        <f t="shared" si="580"/>
        <v>3756505.0500000021</v>
      </c>
      <c r="R2226" s="44" t="str">
        <f>VLOOKUP(F2226,'Set up'!$A$2:$E$70,5,FALSE)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567"/>
        <v>10</v>
      </c>
      <c r="C2227" s="5">
        <f t="shared" si="568"/>
        <v>2023</v>
      </c>
      <c r="D2227" s="88" t="s">
        <v>2016</v>
      </c>
      <c r="E2227" s="5" t="str">
        <f>VLOOKUP(F2227,'Set up'!$A$2:$C$70,2,FALSE)</f>
        <v>C00000009</v>
      </c>
      <c r="F2227" s="1" t="s">
        <v>58</v>
      </c>
      <c r="G2227" s="99"/>
      <c r="H2227" s="5">
        <v>1</v>
      </c>
      <c r="I2227" s="5">
        <f>VLOOKUP(F2227,'Set up'!$A$2:$C$70,3,FALSE)</f>
        <v>60</v>
      </c>
      <c r="J2227" s="5">
        <f>VLOOKUP(F2227,'Set up'!$A$2:$D$70,4,FALSE)</f>
        <v>60</v>
      </c>
      <c r="K2227" s="4">
        <f t="shared" si="569"/>
        <v>45278</v>
      </c>
      <c r="L2227" s="5">
        <f t="shared" si="570"/>
        <v>12</v>
      </c>
      <c r="M2227" s="5">
        <f t="shared" si="571"/>
        <v>2023</v>
      </c>
      <c r="N2227" s="96">
        <v>1606</v>
      </c>
      <c r="O2227" s="6">
        <f t="shared" si="581"/>
        <v>-1606</v>
      </c>
      <c r="P2227" s="6">
        <f t="shared" si="563"/>
        <v>0</v>
      </c>
      <c r="Q2227" s="7">
        <f t="shared" si="580"/>
        <v>3758111.0500000021</v>
      </c>
      <c r="R2227" s="44" t="str">
        <f>VLOOKUP(F2227,'Set up'!$A$2:$E$70,5,FALSE)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567"/>
        <v>10</v>
      </c>
      <c r="C2228" s="5">
        <f t="shared" si="568"/>
        <v>2023</v>
      </c>
      <c r="D2228" s="88" t="s">
        <v>2017</v>
      </c>
      <c r="E2228" s="5" t="str">
        <f>VLOOKUP(F2228,'Set up'!$A$2:$C$70,2,FALSE)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up'!$A$2:$C$70,3,FALSE)</f>
        <v>Cash</v>
      </c>
      <c r="J2228" s="5">
        <f>VLOOKUP(F2228,'Set up'!$A$2:$D$70,4,FALSE)</f>
        <v>0</v>
      </c>
      <c r="K2228" s="4">
        <f t="shared" si="569"/>
        <v>45219</v>
      </c>
      <c r="L2228" s="5">
        <f t="shared" si="570"/>
        <v>10</v>
      </c>
      <c r="M2228" s="5">
        <f t="shared" si="571"/>
        <v>2023</v>
      </c>
      <c r="N2228" s="96">
        <v>2700</v>
      </c>
      <c r="O2228" s="6">
        <f>-1682.2-1017.8</f>
        <v>-2700</v>
      </c>
      <c r="P2228" s="6">
        <f t="shared" si="563"/>
        <v>0</v>
      </c>
      <c r="Q2228" s="7">
        <f t="shared" si="580"/>
        <v>3760811.0500000021</v>
      </c>
      <c r="R2228" s="44" t="str">
        <f>VLOOKUP(F2228,'Set up'!$A$2:$E$70,5,FALSE)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si="567"/>
        <v>10</v>
      </c>
      <c r="C2229" s="5">
        <f t="shared" si="568"/>
        <v>2023</v>
      </c>
      <c r="D2229" s="88" t="s">
        <v>2019</v>
      </c>
      <c r="E2229" s="5" t="e">
        <f>VLOOKUP(F2229,'Set up'!$A$2:$C$70,2,FALSE)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up'!$A$2:$C$70,3,FALSE)</f>
        <v>#N/A</v>
      </c>
      <c r="J2229" s="5" t="e">
        <f>VLOOKUP(F2229,'Set up'!$A$2:$D$70,4,FALSE)</f>
        <v>#N/A</v>
      </c>
      <c r="K2229" s="4" t="e">
        <f t="shared" si="569"/>
        <v>#N/A</v>
      </c>
      <c r="L2229" s="5" t="e">
        <f t="shared" si="570"/>
        <v>#N/A</v>
      </c>
      <c r="M2229" s="5" t="e">
        <f t="shared" si="571"/>
        <v>#N/A</v>
      </c>
      <c r="N2229" s="96">
        <v>0</v>
      </c>
      <c r="P2229" s="6">
        <f t="shared" ref="P2229:P2258" si="582">SUM(N2229+O2229)</f>
        <v>0</v>
      </c>
      <c r="Q2229" s="7">
        <f t="shared" ref="Q2229:Q2258" si="583">SUM(Q2228+N2229)</f>
        <v>3760811.0500000021</v>
      </c>
      <c r="R2229" s="44" t="e">
        <f>VLOOKUP(F2229,'Set up'!$A$2:$E$70,5,FALSE)</f>
        <v>#N/A</v>
      </c>
    </row>
    <row r="2230" spans="1:19" ht="15" customHeight="1" x14ac:dyDescent="0.35">
      <c r="A2230" s="4">
        <v>45220</v>
      </c>
      <c r="B2230" s="5">
        <f t="shared" si="567"/>
        <v>10</v>
      </c>
      <c r="C2230" s="5">
        <f t="shared" si="568"/>
        <v>2023</v>
      </c>
      <c r="D2230" s="88" t="s">
        <v>2019</v>
      </c>
      <c r="E2230" s="5" t="e">
        <f>VLOOKUP(F2230,'Set up'!$A$2:$C$70,2,FALSE)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up'!$A$2:$C$70,3,FALSE)</f>
        <v>#N/A</v>
      </c>
      <c r="J2230" s="5" t="e">
        <f>VLOOKUP(F2230,'Set up'!$A$2:$D$70,4,FALSE)</f>
        <v>#N/A</v>
      </c>
      <c r="K2230" s="4" t="e">
        <f t="shared" si="569"/>
        <v>#N/A</v>
      </c>
      <c r="L2230" s="5" t="e">
        <f t="shared" si="570"/>
        <v>#N/A</v>
      </c>
      <c r="M2230" s="5" t="e">
        <f t="shared" si="571"/>
        <v>#N/A</v>
      </c>
      <c r="N2230" s="96">
        <v>0</v>
      </c>
      <c r="P2230" s="6">
        <f t="shared" si="582"/>
        <v>0</v>
      </c>
      <c r="Q2230" s="7">
        <f t="shared" si="583"/>
        <v>3760811.0500000021</v>
      </c>
      <c r="R2230" s="44" t="e">
        <f>VLOOKUP(F2230,'Set up'!$A$2:$E$70,5,FALSE)</f>
        <v>#N/A</v>
      </c>
    </row>
    <row r="2231" spans="1:19" ht="15" customHeight="1" x14ac:dyDescent="0.35">
      <c r="A2231" s="4">
        <v>45220</v>
      </c>
      <c r="B2231" s="5">
        <f t="shared" si="567"/>
        <v>10</v>
      </c>
      <c r="C2231" s="5">
        <f t="shared" si="568"/>
        <v>2023</v>
      </c>
      <c r="D2231" s="88" t="s">
        <v>2019</v>
      </c>
      <c r="E2231" s="5" t="e">
        <f>VLOOKUP(F2231,'Set up'!$A$2:$C$70,2,FALSE)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up'!$A$2:$C$70,3,FALSE)</f>
        <v>#N/A</v>
      </c>
      <c r="J2231" s="5" t="e">
        <f>VLOOKUP(F2231,'Set up'!$A$2:$D$70,4,FALSE)</f>
        <v>#N/A</v>
      </c>
      <c r="K2231" s="4" t="e">
        <f t="shared" si="569"/>
        <v>#N/A</v>
      </c>
      <c r="L2231" s="5" t="e">
        <f t="shared" si="570"/>
        <v>#N/A</v>
      </c>
      <c r="M2231" s="5" t="e">
        <f t="shared" si="571"/>
        <v>#N/A</v>
      </c>
      <c r="N2231" s="96">
        <v>0</v>
      </c>
      <c r="P2231" s="6">
        <f t="shared" si="582"/>
        <v>0</v>
      </c>
      <c r="Q2231" s="7">
        <f t="shared" si="583"/>
        <v>3760811.0500000021</v>
      </c>
      <c r="R2231" s="44" t="e">
        <f>VLOOKUP(F2231,'Set up'!$A$2:$E$70,5,FALSE)</f>
        <v>#N/A</v>
      </c>
    </row>
    <row r="2232" spans="1:19" ht="15" customHeight="1" x14ac:dyDescent="0.35">
      <c r="A2232" s="4">
        <v>45220</v>
      </c>
      <c r="B2232" s="5">
        <f t="shared" si="567"/>
        <v>10</v>
      </c>
      <c r="C2232" s="5">
        <f t="shared" si="568"/>
        <v>2023</v>
      </c>
      <c r="D2232" s="88" t="s">
        <v>2019</v>
      </c>
      <c r="E2232" s="5" t="e">
        <f>VLOOKUP(F2232,'Set up'!$A$2:$C$70,2,FALSE)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up'!$A$2:$C$70,3,FALSE)</f>
        <v>#N/A</v>
      </c>
      <c r="J2232" s="5" t="e">
        <f>VLOOKUP(F2232,'Set up'!$A$2:$D$70,4,FALSE)</f>
        <v>#N/A</v>
      </c>
      <c r="K2232" s="4" t="e">
        <f t="shared" si="569"/>
        <v>#N/A</v>
      </c>
      <c r="L2232" s="5" t="e">
        <f t="shared" si="570"/>
        <v>#N/A</v>
      </c>
      <c r="M2232" s="5" t="e">
        <f t="shared" si="571"/>
        <v>#N/A</v>
      </c>
      <c r="N2232" s="96">
        <v>0</v>
      </c>
      <c r="P2232" s="6">
        <f t="shared" si="582"/>
        <v>0</v>
      </c>
      <c r="Q2232" s="7">
        <f t="shared" si="583"/>
        <v>3760811.0500000021</v>
      </c>
      <c r="R2232" s="44" t="e">
        <f>VLOOKUP(F2232,'Set up'!$A$2:$E$70,5,FALSE)</f>
        <v>#N/A</v>
      </c>
    </row>
    <row r="2233" spans="1:19" ht="15" customHeight="1" x14ac:dyDescent="0.35">
      <c r="A2233" s="4">
        <v>45220</v>
      </c>
      <c r="B2233" s="5">
        <f t="shared" si="567"/>
        <v>10</v>
      </c>
      <c r="C2233" s="5">
        <f t="shared" si="568"/>
        <v>2023</v>
      </c>
      <c r="D2233" s="88" t="s">
        <v>2019</v>
      </c>
      <c r="E2233" s="5" t="e">
        <f>VLOOKUP(F2233,'Set up'!$A$2:$C$70,2,FALSE)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up'!$A$2:$C$70,3,FALSE)</f>
        <v>#N/A</v>
      </c>
      <c r="J2233" s="5" t="e">
        <f>VLOOKUP(F2233,'Set up'!$A$2:$D$70,4,FALSE)</f>
        <v>#N/A</v>
      </c>
      <c r="K2233" s="4" t="e">
        <f t="shared" si="569"/>
        <v>#N/A</v>
      </c>
      <c r="L2233" s="5" t="e">
        <f t="shared" si="570"/>
        <v>#N/A</v>
      </c>
      <c r="M2233" s="5" t="e">
        <f t="shared" si="571"/>
        <v>#N/A</v>
      </c>
      <c r="N2233" s="96">
        <v>0</v>
      </c>
      <c r="P2233" s="6">
        <f t="shared" si="582"/>
        <v>0</v>
      </c>
      <c r="Q2233" s="7">
        <f t="shared" si="583"/>
        <v>3760811.0500000021</v>
      </c>
      <c r="R2233" s="44" t="e">
        <f>VLOOKUP(F2233,'Set up'!$A$2:$E$70,5,FALSE)</f>
        <v>#N/A</v>
      </c>
    </row>
    <row r="2234" spans="1:19" ht="15" customHeight="1" x14ac:dyDescent="0.35">
      <c r="A2234" s="4">
        <v>45220</v>
      </c>
      <c r="B2234" s="5">
        <f t="shared" si="567"/>
        <v>10</v>
      </c>
      <c r="C2234" s="5">
        <f t="shared" si="568"/>
        <v>2023</v>
      </c>
      <c r="D2234" s="88" t="s">
        <v>2019</v>
      </c>
      <c r="E2234" s="5" t="e">
        <f>VLOOKUP(F2234,'Set up'!$A$2:$C$70,2,FALSE)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up'!$A$2:$C$70,3,FALSE)</f>
        <v>#N/A</v>
      </c>
      <c r="J2234" s="5" t="e">
        <f>VLOOKUP(F2234,'Set up'!$A$2:$D$70,4,FALSE)</f>
        <v>#N/A</v>
      </c>
      <c r="K2234" s="4" t="e">
        <f t="shared" si="569"/>
        <v>#N/A</v>
      </c>
      <c r="L2234" s="5" t="e">
        <f t="shared" si="570"/>
        <v>#N/A</v>
      </c>
      <c r="M2234" s="5" t="e">
        <f t="shared" si="571"/>
        <v>#N/A</v>
      </c>
      <c r="N2234" s="96">
        <v>0</v>
      </c>
      <c r="P2234" s="6">
        <f t="shared" si="582"/>
        <v>0</v>
      </c>
      <c r="Q2234" s="7">
        <f t="shared" si="583"/>
        <v>3760811.0500000021</v>
      </c>
      <c r="R2234" s="44" t="e">
        <f>VLOOKUP(F2234,'Set up'!$A$2:$E$70,5,FALSE)</f>
        <v>#N/A</v>
      </c>
    </row>
    <row r="2235" spans="1:19" ht="15" customHeight="1" x14ac:dyDescent="0.35">
      <c r="A2235" s="4">
        <v>45224</v>
      </c>
      <c r="B2235" s="5">
        <f t="shared" si="567"/>
        <v>10</v>
      </c>
      <c r="C2235" s="5">
        <f t="shared" si="568"/>
        <v>2023</v>
      </c>
      <c r="D2235" s="88" t="s">
        <v>2020</v>
      </c>
      <c r="E2235" s="5" t="str">
        <f>VLOOKUP(F2235,'Set up'!$A$2:$C$70,2,FALSE)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up'!$A$2:$C$70,3,FALSE)</f>
        <v>Cash</v>
      </c>
      <c r="J2235" s="5">
        <f>VLOOKUP(F2235,'Set up'!$A$2:$D$70,4,FALSE)</f>
        <v>0</v>
      </c>
      <c r="K2235" s="4">
        <f t="shared" si="569"/>
        <v>45224</v>
      </c>
      <c r="L2235" s="5">
        <f t="shared" si="570"/>
        <v>10</v>
      </c>
      <c r="M2235" s="5">
        <f t="shared" si="571"/>
        <v>2023</v>
      </c>
      <c r="N2235" s="96">
        <v>250</v>
      </c>
      <c r="O2235" s="6">
        <f>-N2235</f>
        <v>-250</v>
      </c>
      <c r="P2235" s="6">
        <f t="shared" si="582"/>
        <v>0</v>
      </c>
      <c r="Q2235" s="7">
        <f t="shared" si="583"/>
        <v>3761061.0500000021</v>
      </c>
      <c r="R2235" s="44" t="str">
        <f>VLOOKUP(F2235,'Set up'!$A$2:$E$70,5,FALSE)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567"/>
        <v>10</v>
      </c>
      <c r="C2236" s="5">
        <f t="shared" si="568"/>
        <v>2023</v>
      </c>
      <c r="D2236" s="88" t="s">
        <v>2021</v>
      </c>
      <c r="E2236" s="5" t="str">
        <f>VLOOKUP(F2236,'Set up'!$A$2:$C$70,2,FALSE)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up'!$A$2:$C$70,3,FALSE)</f>
        <v>Cash</v>
      </c>
      <c r="J2236" s="5">
        <f>VLOOKUP(F2236,'Set up'!$A$2:$D$70,4,FALSE)</f>
        <v>0</v>
      </c>
      <c r="K2236" s="4">
        <f t="shared" si="569"/>
        <v>45224</v>
      </c>
      <c r="L2236" s="5">
        <f t="shared" si="570"/>
        <v>10</v>
      </c>
      <c r="M2236" s="5">
        <f t="shared" si="571"/>
        <v>2023</v>
      </c>
      <c r="N2236" s="96">
        <v>6512</v>
      </c>
      <c r="O2236" s="6">
        <f>-232.2-3500-2779.8</f>
        <v>-6512</v>
      </c>
      <c r="P2236" s="6">
        <f t="shared" si="582"/>
        <v>0</v>
      </c>
      <c r="Q2236" s="7">
        <f t="shared" si="583"/>
        <v>3767573.0500000021</v>
      </c>
      <c r="R2236" s="44" t="str">
        <f>VLOOKUP(F2236,'Set up'!$A$2:$E$70,5,FALSE)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567"/>
        <v>10</v>
      </c>
      <c r="C2237" s="5">
        <f t="shared" si="568"/>
        <v>2023</v>
      </c>
      <c r="D2237" s="88" t="s">
        <v>2021</v>
      </c>
      <c r="E2237" s="5" t="str">
        <f>VLOOKUP(F2237,'Set up'!$A$2:$C$70,2,FALSE)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up'!$A$2:$C$70,3,FALSE)</f>
        <v>Cash</v>
      </c>
      <c r="J2237" s="5">
        <f>VLOOKUP(F2237,'Set up'!$A$2:$D$70,4,FALSE)</f>
        <v>0</v>
      </c>
      <c r="K2237" s="4">
        <f t="shared" si="569"/>
        <v>45224</v>
      </c>
      <c r="L2237" s="5">
        <f t="shared" si="570"/>
        <v>10</v>
      </c>
      <c r="M2237" s="5">
        <f t="shared" si="571"/>
        <v>2023</v>
      </c>
      <c r="N2237" s="96">
        <v>1404</v>
      </c>
      <c r="O2237" s="6">
        <f>-N2237</f>
        <v>-1404</v>
      </c>
      <c r="P2237" s="6">
        <f t="shared" si="582"/>
        <v>0</v>
      </c>
      <c r="Q2237" s="7">
        <f t="shared" si="583"/>
        <v>3768977.0500000021</v>
      </c>
      <c r="R2237" s="44" t="str">
        <f>VLOOKUP(F2237,'Set up'!$A$2:$E$70,5,FALSE)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567"/>
        <v>10</v>
      </c>
      <c r="C2238" s="5">
        <f t="shared" si="568"/>
        <v>2023</v>
      </c>
      <c r="D2238" s="88" t="s">
        <v>2027</v>
      </c>
      <c r="E2238" s="5" t="str">
        <f>VLOOKUP(F2238,'Set up'!$A$2:$C$70,2,FALSE)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up'!$A$2:$C$70,3,FALSE)</f>
        <v>Cash</v>
      </c>
      <c r="J2238" s="5">
        <f>VLOOKUP(F2238,'Set up'!$A$2:$D$70,4,FALSE)</f>
        <v>0</v>
      </c>
      <c r="K2238" s="4">
        <f t="shared" si="569"/>
        <v>45224</v>
      </c>
      <c r="L2238" s="5">
        <f t="shared" si="570"/>
        <v>10</v>
      </c>
      <c r="M2238" s="5">
        <f t="shared" si="571"/>
        <v>2023</v>
      </c>
      <c r="N2238" s="96">
        <v>2530</v>
      </c>
      <c r="O2238" s="6">
        <f t="shared" ref="O2238:O2246" si="584">-N2238</f>
        <v>-2530</v>
      </c>
      <c r="P2238" s="6">
        <f t="shared" si="582"/>
        <v>0</v>
      </c>
      <c r="Q2238" s="7">
        <f t="shared" si="583"/>
        <v>3771507.0500000021</v>
      </c>
      <c r="R2238" s="44" t="str">
        <f>VLOOKUP(F2238,'Set up'!$A$2:$E$70,5,FALSE)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567"/>
        <v>10</v>
      </c>
      <c r="C2239" s="5">
        <f t="shared" si="568"/>
        <v>2023</v>
      </c>
      <c r="D2239" s="88" t="s">
        <v>2027</v>
      </c>
      <c r="E2239" s="5" t="str">
        <f>VLOOKUP(F2239,'Set up'!$A$2:$C$70,2,FALSE)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up'!$A$2:$C$70,3,FALSE)</f>
        <v>Cash</v>
      </c>
      <c r="J2239" s="5">
        <f>VLOOKUP(F2239,'Set up'!$A$2:$D$70,4,FALSE)</f>
        <v>0</v>
      </c>
      <c r="K2239" s="4">
        <f t="shared" si="569"/>
        <v>45224</v>
      </c>
      <c r="L2239" s="5">
        <f t="shared" si="570"/>
        <v>10</v>
      </c>
      <c r="M2239" s="5">
        <f t="shared" si="571"/>
        <v>2023</v>
      </c>
      <c r="N2239" s="96">
        <v>475.2</v>
      </c>
      <c r="O2239" s="6">
        <f t="shared" si="584"/>
        <v>-475.2</v>
      </c>
      <c r="P2239" s="6">
        <f t="shared" si="582"/>
        <v>0</v>
      </c>
      <c r="Q2239" s="7">
        <f t="shared" si="583"/>
        <v>3771982.2500000023</v>
      </c>
      <c r="R2239" s="44" t="str">
        <f>VLOOKUP(F2239,'Set up'!$A$2:$E$70,5,FALSE)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567"/>
        <v>10</v>
      </c>
      <c r="C2240" s="5">
        <f t="shared" si="568"/>
        <v>2023</v>
      </c>
      <c r="D2240" s="88" t="s">
        <v>2027</v>
      </c>
      <c r="E2240" s="5" t="str">
        <f>VLOOKUP(F2240,'Set up'!$A$2:$C$70,2,FALSE)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up'!$A$2:$C$70,3,FALSE)</f>
        <v>Cash</v>
      </c>
      <c r="J2240" s="5">
        <f>VLOOKUP(F2240,'Set up'!$A$2:$D$70,4,FALSE)</f>
        <v>0</v>
      </c>
      <c r="K2240" s="4">
        <f t="shared" si="569"/>
        <v>45224</v>
      </c>
      <c r="L2240" s="5">
        <f t="shared" si="570"/>
        <v>10</v>
      </c>
      <c r="M2240" s="5">
        <f t="shared" si="571"/>
        <v>2023</v>
      </c>
      <c r="N2240" s="96">
        <v>120</v>
      </c>
      <c r="O2240" s="6">
        <f t="shared" si="584"/>
        <v>-120</v>
      </c>
      <c r="P2240" s="6">
        <f t="shared" si="582"/>
        <v>0</v>
      </c>
      <c r="Q2240" s="7">
        <f t="shared" si="583"/>
        <v>3772102.2500000023</v>
      </c>
      <c r="R2240" s="44" t="str">
        <f>VLOOKUP(F2240,'Set up'!$A$2:$E$70,5,FALSE)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567"/>
        <v>10</v>
      </c>
      <c r="C2241" s="5">
        <f t="shared" si="568"/>
        <v>2023</v>
      </c>
      <c r="D2241" s="88" t="s">
        <v>2027</v>
      </c>
      <c r="E2241" s="5" t="str">
        <f>VLOOKUP(F2241,'Set up'!$A$2:$C$70,2,FALSE)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up'!$A$2:$C$70,3,FALSE)</f>
        <v>Cash</v>
      </c>
      <c r="J2241" s="5">
        <f>VLOOKUP(F2241,'Set up'!$A$2:$D$70,4,FALSE)</f>
        <v>0</v>
      </c>
      <c r="K2241" s="4">
        <f t="shared" si="569"/>
        <v>45224</v>
      </c>
      <c r="L2241" s="5">
        <f t="shared" si="570"/>
        <v>10</v>
      </c>
      <c r="M2241" s="5">
        <f t="shared" si="571"/>
        <v>2023</v>
      </c>
      <c r="N2241" s="96">
        <v>310</v>
      </c>
      <c r="O2241" s="6">
        <f t="shared" si="584"/>
        <v>-310</v>
      </c>
      <c r="P2241" s="6">
        <f t="shared" si="582"/>
        <v>0</v>
      </c>
      <c r="Q2241" s="7">
        <f t="shared" si="583"/>
        <v>3772412.2500000023</v>
      </c>
      <c r="R2241" s="44" t="str">
        <f>VLOOKUP(F2241,'Set up'!$A$2:$E$70,5,FALSE)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567"/>
        <v>10</v>
      </c>
      <c r="C2242" s="5">
        <f t="shared" si="568"/>
        <v>2023</v>
      </c>
      <c r="D2242" s="88" t="s">
        <v>2027</v>
      </c>
      <c r="E2242" s="5" t="str">
        <f>VLOOKUP(F2242,'Set up'!$A$2:$C$70,2,FALSE)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up'!$A$2:$C$70,3,FALSE)</f>
        <v>Cash</v>
      </c>
      <c r="J2242" s="5">
        <f>VLOOKUP(F2242,'Set up'!$A$2:$D$70,4,FALSE)</f>
        <v>0</v>
      </c>
      <c r="K2242" s="4">
        <f t="shared" si="569"/>
        <v>45224</v>
      </c>
      <c r="L2242" s="5">
        <f t="shared" si="570"/>
        <v>10</v>
      </c>
      <c r="M2242" s="5">
        <f t="shared" si="571"/>
        <v>2023</v>
      </c>
      <c r="N2242" s="96">
        <v>100</v>
      </c>
      <c r="O2242" s="6">
        <f t="shared" si="584"/>
        <v>-100</v>
      </c>
      <c r="P2242" s="6">
        <f t="shared" si="582"/>
        <v>0</v>
      </c>
      <c r="Q2242" s="7">
        <f t="shared" si="583"/>
        <v>3772512.2500000023</v>
      </c>
      <c r="R2242" s="44" t="str">
        <f>VLOOKUP(F2242,'Set up'!$A$2:$E$70,5,FALSE)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ref="B2243:B2306" si="585">MONTH(A2243)</f>
        <v>10</v>
      </c>
      <c r="C2243" s="5">
        <f t="shared" ref="C2243:C2306" si="586">YEAR(A2243)</f>
        <v>2023</v>
      </c>
      <c r="D2243" s="88" t="s">
        <v>2028</v>
      </c>
      <c r="E2243" s="5" t="str">
        <f>VLOOKUP(F2243,'Set up'!$A$2:$C$70,2,FALSE)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up'!$A$2:$C$70,3,FALSE)</f>
        <v>Cash</v>
      </c>
      <c r="J2243" s="5">
        <f>VLOOKUP(F2243,'Set up'!$A$2:$D$70,4,FALSE)</f>
        <v>0</v>
      </c>
      <c r="K2243" s="4">
        <f t="shared" ref="K2243:K2306" si="587">A2243+J2243</f>
        <v>45224</v>
      </c>
      <c r="L2243" s="5">
        <f t="shared" ref="L2243:L2306" si="588">MONTH(K2243)</f>
        <v>10</v>
      </c>
      <c r="M2243" s="5">
        <f t="shared" ref="M2243:M2306" si="589">YEAR(K2243)</f>
        <v>2023</v>
      </c>
      <c r="N2243" s="96">
        <v>1738</v>
      </c>
      <c r="O2243" s="6">
        <f t="shared" si="584"/>
        <v>-1738</v>
      </c>
      <c r="P2243" s="6">
        <f t="shared" si="582"/>
        <v>0</v>
      </c>
      <c r="Q2243" s="7">
        <f t="shared" si="583"/>
        <v>3774250.2500000023</v>
      </c>
      <c r="R2243" s="44" t="str">
        <f>VLOOKUP(F2243,'Set up'!$A$2:$E$70,5,FALSE)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585"/>
        <v>10</v>
      </c>
      <c r="C2244" s="5">
        <f t="shared" si="586"/>
        <v>2023</v>
      </c>
      <c r="D2244" s="88" t="s">
        <v>2028</v>
      </c>
      <c r="E2244" s="5" t="str">
        <f>VLOOKUP(F2244,'Set up'!$A$2:$C$70,2,FALSE)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up'!$A$2:$C$70,3,FALSE)</f>
        <v>Cash</v>
      </c>
      <c r="J2244" s="5">
        <f>VLOOKUP(F2244,'Set up'!$A$2:$D$70,4,FALSE)</f>
        <v>0</v>
      </c>
      <c r="K2244" s="4">
        <f t="shared" si="587"/>
        <v>45224</v>
      </c>
      <c r="L2244" s="5">
        <f t="shared" si="588"/>
        <v>10</v>
      </c>
      <c r="M2244" s="5">
        <f t="shared" si="589"/>
        <v>2023</v>
      </c>
      <c r="N2244" s="96">
        <v>468</v>
      </c>
      <c r="O2244" s="6">
        <f t="shared" si="584"/>
        <v>-468</v>
      </c>
      <c r="P2244" s="6">
        <f t="shared" si="582"/>
        <v>0</v>
      </c>
      <c r="Q2244" s="7">
        <f t="shared" si="583"/>
        <v>3774718.2500000023</v>
      </c>
      <c r="R2244" s="44" t="str">
        <f>VLOOKUP(F2244,'Set up'!$A$2:$E$70,5,FALSE)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585"/>
        <v>10</v>
      </c>
      <c r="C2245" s="5">
        <f t="shared" si="586"/>
        <v>2023</v>
      </c>
      <c r="D2245" s="88" t="s">
        <v>2028</v>
      </c>
      <c r="E2245" s="5" t="str">
        <f>VLOOKUP(F2245,'Set up'!$A$2:$C$70,2,FALSE)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up'!$A$2:$C$70,3,FALSE)</f>
        <v>Cash</v>
      </c>
      <c r="J2245" s="5">
        <f>VLOOKUP(F2245,'Set up'!$A$2:$D$70,4,FALSE)</f>
        <v>0</v>
      </c>
      <c r="K2245" s="4">
        <f t="shared" si="587"/>
        <v>45224</v>
      </c>
      <c r="L2245" s="5">
        <f t="shared" si="588"/>
        <v>10</v>
      </c>
      <c r="M2245" s="5">
        <f t="shared" si="589"/>
        <v>2023</v>
      </c>
      <c r="N2245" s="96">
        <v>95</v>
      </c>
      <c r="O2245" s="6">
        <f t="shared" si="584"/>
        <v>-95</v>
      </c>
      <c r="P2245" s="6">
        <f t="shared" si="582"/>
        <v>0</v>
      </c>
      <c r="Q2245" s="7">
        <f t="shared" si="583"/>
        <v>3774813.2500000023</v>
      </c>
      <c r="R2245" s="44" t="str">
        <f>VLOOKUP(F2245,'Set up'!$A$2:$E$70,5,FALSE)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585"/>
        <v>10</v>
      </c>
      <c r="C2246" s="5">
        <f t="shared" si="586"/>
        <v>2023</v>
      </c>
      <c r="D2246" s="88" t="s">
        <v>2028</v>
      </c>
      <c r="E2246" s="5" t="str">
        <f>VLOOKUP(F2246,'Set up'!$A$2:$C$70,2,FALSE)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up'!$A$2:$C$70,3,FALSE)</f>
        <v>Cash</v>
      </c>
      <c r="J2246" s="5">
        <f>VLOOKUP(F2246,'Set up'!$A$2:$D$70,4,FALSE)</f>
        <v>0</v>
      </c>
      <c r="K2246" s="4">
        <f t="shared" si="587"/>
        <v>45224</v>
      </c>
      <c r="L2246" s="5">
        <f t="shared" si="588"/>
        <v>10</v>
      </c>
      <c r="M2246" s="5">
        <f t="shared" si="589"/>
        <v>2023</v>
      </c>
      <c r="N2246" s="96">
        <v>260</v>
      </c>
      <c r="O2246" s="6">
        <f t="shared" si="584"/>
        <v>-260</v>
      </c>
      <c r="P2246" s="6">
        <f t="shared" si="582"/>
        <v>0</v>
      </c>
      <c r="Q2246" s="7">
        <f t="shared" si="583"/>
        <v>3775073.2500000023</v>
      </c>
      <c r="R2246" s="44" t="str">
        <f>VLOOKUP(F2246,'Set up'!$A$2:$E$70,5,FALSE)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585"/>
        <v>10</v>
      </c>
      <c r="C2247" s="5">
        <f t="shared" si="586"/>
        <v>2023</v>
      </c>
      <c r="D2247" s="88" t="s">
        <v>2030</v>
      </c>
      <c r="E2247" s="5" t="str">
        <f>VLOOKUP(F2247,'Set up'!$A$2:$C$70,2,FALSE)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up'!$A$2:$C$70,3,FALSE)</f>
        <v>Cash</v>
      </c>
      <c r="J2247" s="5">
        <f>VLOOKUP(F2247,'Set up'!$A$2:$D$70,4,FALSE)</f>
        <v>0</v>
      </c>
      <c r="K2247" s="4">
        <f t="shared" si="587"/>
        <v>45225</v>
      </c>
      <c r="L2247" s="5">
        <f t="shared" si="588"/>
        <v>10</v>
      </c>
      <c r="M2247" s="5">
        <f t="shared" si="589"/>
        <v>2023</v>
      </c>
      <c r="N2247" s="96">
        <v>1738</v>
      </c>
      <c r="O2247" s="6">
        <f>-53.1-1500-184.9</f>
        <v>-1738</v>
      </c>
      <c r="P2247" s="6">
        <f t="shared" si="582"/>
        <v>0</v>
      </c>
      <c r="Q2247" s="7">
        <f t="shared" si="583"/>
        <v>3776811.2500000023</v>
      </c>
      <c r="R2247" s="44" t="str">
        <f>VLOOKUP(F2247,'Set up'!$A$2:$E$70,5,FALSE)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585"/>
        <v>10</v>
      </c>
      <c r="C2248" s="5">
        <f t="shared" si="586"/>
        <v>2023</v>
      </c>
      <c r="D2248" s="88" t="s">
        <v>2030</v>
      </c>
      <c r="E2248" s="5" t="str">
        <f>VLOOKUP(F2248,'Set up'!$A$2:$C$70,2,FALSE)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up'!$A$2:$C$70,3,FALSE)</f>
        <v>Cash</v>
      </c>
      <c r="J2248" s="5">
        <f>VLOOKUP(F2248,'Set up'!$A$2:$D$70,4,FALSE)</f>
        <v>0</v>
      </c>
      <c r="K2248" s="4">
        <f t="shared" si="587"/>
        <v>45225</v>
      </c>
      <c r="L2248" s="5">
        <f t="shared" si="588"/>
        <v>10</v>
      </c>
      <c r="M2248" s="5">
        <f t="shared" si="589"/>
        <v>2023</v>
      </c>
      <c r="N2248" s="96">
        <v>405</v>
      </c>
      <c r="O2248" s="6">
        <f t="shared" ref="O2248" si="590">-N2248</f>
        <v>-405</v>
      </c>
      <c r="P2248" s="6">
        <f t="shared" si="582"/>
        <v>0</v>
      </c>
      <c r="Q2248" s="7">
        <f t="shared" si="583"/>
        <v>3777216.2500000023</v>
      </c>
      <c r="R2248" s="44" t="str">
        <f>VLOOKUP(F2248,'Set up'!$A$2:$E$70,5,FALSE)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585"/>
        <v>10</v>
      </c>
      <c r="C2249" s="5">
        <f t="shared" si="586"/>
        <v>2023</v>
      </c>
      <c r="D2249" s="88" t="s">
        <v>2030</v>
      </c>
      <c r="E2249" s="5" t="str">
        <f>VLOOKUP(F2249,'Set up'!$A$2:$C$70,2,FALSE)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up'!$A$2:$C$70,3,FALSE)</f>
        <v>Cash</v>
      </c>
      <c r="J2249" s="5">
        <f>VLOOKUP(F2249,'Set up'!$A$2:$D$70,4,FALSE)</f>
        <v>0</v>
      </c>
      <c r="K2249" s="4">
        <f t="shared" si="587"/>
        <v>45225</v>
      </c>
      <c r="L2249" s="5">
        <f t="shared" si="588"/>
        <v>10</v>
      </c>
      <c r="M2249" s="5">
        <f t="shared" si="589"/>
        <v>2023</v>
      </c>
      <c r="N2249" s="96">
        <v>187.5</v>
      </c>
      <c r="O2249" s="6">
        <f>-110.1-77.4</f>
        <v>-187.5</v>
      </c>
      <c r="P2249" s="6">
        <f t="shared" si="582"/>
        <v>0</v>
      </c>
      <c r="Q2249" s="7">
        <f t="shared" si="583"/>
        <v>3777403.7500000023</v>
      </c>
      <c r="R2249" s="44" t="str">
        <f>VLOOKUP(F2249,'Set up'!$A$2:$E$70,5,FALSE)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585"/>
        <v>10</v>
      </c>
      <c r="C2250" s="5">
        <f t="shared" si="586"/>
        <v>2023</v>
      </c>
      <c r="D2250" s="88" t="s">
        <v>2030</v>
      </c>
      <c r="E2250" s="5" t="str">
        <f>VLOOKUP(F2250,'Set up'!$A$2:$C$70,2,FALSE)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up'!$A$2:$C$70,3,FALSE)</f>
        <v>Cash</v>
      </c>
      <c r="J2250" s="5">
        <f>VLOOKUP(F2250,'Set up'!$A$2:$D$70,4,FALSE)</f>
        <v>0</v>
      </c>
      <c r="K2250" s="4">
        <f t="shared" si="587"/>
        <v>45225</v>
      </c>
      <c r="L2250" s="5">
        <f t="shared" si="588"/>
        <v>10</v>
      </c>
      <c r="M2250" s="5">
        <f t="shared" si="589"/>
        <v>2023</v>
      </c>
      <c r="N2250" s="96">
        <v>105</v>
      </c>
      <c r="O2250" s="6">
        <f t="shared" ref="O2250:O2251" si="591">-N2250</f>
        <v>-105</v>
      </c>
      <c r="P2250" s="6">
        <f t="shared" si="582"/>
        <v>0</v>
      </c>
      <c r="Q2250" s="7">
        <f t="shared" si="583"/>
        <v>3777508.7500000023</v>
      </c>
      <c r="R2250" s="44" t="str">
        <f>VLOOKUP(F2250,'Set up'!$A$2:$E$70,5,FALSE)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585"/>
        <v>10</v>
      </c>
      <c r="C2251" s="5">
        <f t="shared" si="586"/>
        <v>2023</v>
      </c>
      <c r="D2251" s="88" t="s">
        <v>2030</v>
      </c>
      <c r="E2251" s="5" t="str">
        <f>VLOOKUP(F2251,'Set up'!$A$2:$C$70,2,FALSE)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up'!$A$2:$C$70,3,FALSE)</f>
        <v>Cash</v>
      </c>
      <c r="J2251" s="5">
        <f>VLOOKUP(F2251,'Set up'!$A$2:$D$70,4,FALSE)</f>
        <v>0</v>
      </c>
      <c r="K2251" s="4">
        <f t="shared" si="587"/>
        <v>45225</v>
      </c>
      <c r="L2251" s="5">
        <f t="shared" si="588"/>
        <v>10</v>
      </c>
      <c r="M2251" s="5">
        <f t="shared" si="589"/>
        <v>2023</v>
      </c>
      <c r="N2251" s="96">
        <v>100</v>
      </c>
      <c r="O2251" s="6">
        <f t="shared" si="591"/>
        <v>-100</v>
      </c>
      <c r="P2251" s="6">
        <f t="shared" si="582"/>
        <v>0</v>
      </c>
      <c r="Q2251" s="7">
        <f t="shared" si="583"/>
        <v>3777608.7500000023</v>
      </c>
      <c r="R2251" s="44" t="str">
        <f>VLOOKUP(F2251,'Set up'!$A$2:$E$70,5,FALSE)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585"/>
        <v>10</v>
      </c>
      <c r="C2252" s="5">
        <f t="shared" si="586"/>
        <v>2023</v>
      </c>
      <c r="D2252" s="88" t="s">
        <v>2031</v>
      </c>
      <c r="E2252" s="5" t="str">
        <f>VLOOKUP(F2252,'Set up'!$A$2:$C$70,2,FALSE)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up'!$A$2:$C$70,3,FALSE)</f>
        <v>Cash</v>
      </c>
      <c r="J2252" s="5">
        <f>VLOOKUP(F2252,'Set up'!$A$2:$D$70,4,FALSE)</f>
        <v>0</v>
      </c>
      <c r="K2252" s="4">
        <f t="shared" si="587"/>
        <v>45225</v>
      </c>
      <c r="L2252" s="5">
        <f t="shared" si="588"/>
        <v>10</v>
      </c>
      <c r="M2252" s="5">
        <f t="shared" si="589"/>
        <v>2023</v>
      </c>
      <c r="N2252" s="96">
        <v>1000</v>
      </c>
      <c r="O2252" s="6">
        <f>-N2252</f>
        <v>-1000</v>
      </c>
      <c r="P2252" s="6">
        <f t="shared" si="582"/>
        <v>0</v>
      </c>
      <c r="Q2252" s="7">
        <f t="shared" si="583"/>
        <v>3778608.7500000023</v>
      </c>
      <c r="R2252" s="44" t="str">
        <f>VLOOKUP(F2252,'Set up'!$A$2:$E$70,5,FALSE)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585"/>
        <v>10</v>
      </c>
      <c r="C2253" s="5">
        <f t="shared" si="586"/>
        <v>2023</v>
      </c>
      <c r="D2253" s="88" t="s">
        <v>2032</v>
      </c>
      <c r="E2253" s="5" t="str">
        <f>VLOOKUP(F2253,'Set up'!$A$2:$C$70,2,FALSE)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up'!$A$2:$C$70,3,FALSE)</f>
        <v>Cash</v>
      </c>
      <c r="J2253" s="5">
        <f>VLOOKUP(F2253,'Set up'!$A$2:$D$70,4,FALSE)</f>
        <v>0</v>
      </c>
      <c r="K2253" s="4">
        <f t="shared" si="587"/>
        <v>45226</v>
      </c>
      <c r="L2253" s="5">
        <f t="shared" si="588"/>
        <v>10</v>
      </c>
      <c r="M2253" s="5">
        <f t="shared" si="589"/>
        <v>2023</v>
      </c>
      <c r="N2253" s="96">
        <v>258</v>
      </c>
      <c r="O2253" s="6">
        <f t="shared" ref="O2253:O2254" si="592">-N2253</f>
        <v>-258</v>
      </c>
      <c r="P2253" s="6">
        <f t="shared" si="582"/>
        <v>0</v>
      </c>
      <c r="Q2253" s="7">
        <f t="shared" si="583"/>
        <v>3778866.7500000023</v>
      </c>
      <c r="R2253" s="44" t="str">
        <f>VLOOKUP(F2253,'Set up'!$A$2:$E$70,5,FALSE)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585"/>
        <v>10</v>
      </c>
      <c r="C2254" s="5">
        <f t="shared" si="586"/>
        <v>2023</v>
      </c>
      <c r="D2254" s="88" t="s">
        <v>2032</v>
      </c>
      <c r="E2254" s="5" t="str">
        <f>VLOOKUP(F2254,'Set up'!$A$2:$C$70,2,FALSE)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up'!$A$2:$C$70,3,FALSE)</f>
        <v>Cash</v>
      </c>
      <c r="J2254" s="5">
        <f>VLOOKUP(F2254,'Set up'!$A$2:$D$70,4,FALSE)</f>
        <v>0</v>
      </c>
      <c r="K2254" s="4">
        <f t="shared" si="587"/>
        <v>45226</v>
      </c>
      <c r="L2254" s="5">
        <f t="shared" si="588"/>
        <v>10</v>
      </c>
      <c r="M2254" s="5">
        <f t="shared" si="589"/>
        <v>2023</v>
      </c>
      <c r="N2254" s="96">
        <v>390</v>
      </c>
      <c r="O2254" s="6">
        <f t="shared" si="592"/>
        <v>-390</v>
      </c>
      <c r="P2254" s="6">
        <f t="shared" si="582"/>
        <v>0</v>
      </c>
      <c r="Q2254" s="7">
        <f t="shared" si="583"/>
        <v>3779256.7500000023</v>
      </c>
      <c r="R2254" s="44" t="str">
        <f>VLOOKUP(F2254,'Set up'!$A$2:$E$70,5,FALSE)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585"/>
        <v>10</v>
      </c>
      <c r="C2255" s="5">
        <f t="shared" si="586"/>
        <v>2023</v>
      </c>
      <c r="D2255" s="88" t="s">
        <v>2033</v>
      </c>
      <c r="E2255" s="5" t="str">
        <f>VLOOKUP(F2255,'Set up'!$A$2:$C$70,2,FALSE)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up'!$A$2:$C$70,3,FALSE)</f>
        <v>Cash</v>
      </c>
      <c r="J2255" s="5">
        <f>VLOOKUP(F2255,'Set up'!$A$2:$D$70,4,FALSE)</f>
        <v>0</v>
      </c>
      <c r="K2255" s="4">
        <f t="shared" si="587"/>
        <v>45226</v>
      </c>
      <c r="L2255" s="5">
        <f t="shared" si="588"/>
        <v>10</v>
      </c>
      <c r="M2255" s="5">
        <f t="shared" si="589"/>
        <v>2023</v>
      </c>
      <c r="N2255" s="96">
        <v>695</v>
      </c>
      <c r="O2255" s="6">
        <f>-196.7-498.3</f>
        <v>-695</v>
      </c>
      <c r="P2255" s="6">
        <f t="shared" si="582"/>
        <v>0</v>
      </c>
      <c r="Q2255" s="7">
        <f t="shared" si="583"/>
        <v>3779951.7500000023</v>
      </c>
      <c r="R2255" s="44" t="str">
        <f>VLOOKUP(F2255,'Set up'!$A$2:$E$70,5,FALSE)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585"/>
        <v>10</v>
      </c>
      <c r="C2256" s="5">
        <f t="shared" si="586"/>
        <v>2023</v>
      </c>
      <c r="D2256" s="88" t="s">
        <v>2034</v>
      </c>
      <c r="E2256" s="5" t="str">
        <f>VLOOKUP(F2256,'Set up'!$A$2:$C$70,2,FALSE)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up'!$A$2:$C$70,3,FALSE)</f>
        <v>Cash</v>
      </c>
      <c r="J2256" s="5">
        <f>VLOOKUP(F2256,'Set up'!$A$2:$D$70,4,FALSE)</f>
        <v>0</v>
      </c>
      <c r="K2256" s="4">
        <f t="shared" si="587"/>
        <v>45227</v>
      </c>
      <c r="L2256" s="5">
        <f t="shared" si="588"/>
        <v>10</v>
      </c>
      <c r="M2256" s="5">
        <f t="shared" si="589"/>
        <v>2023</v>
      </c>
      <c r="N2256" s="96">
        <v>187.5</v>
      </c>
      <c r="O2256" s="6">
        <f>-N2256</f>
        <v>-187.5</v>
      </c>
      <c r="P2256" s="6">
        <f t="shared" si="582"/>
        <v>0</v>
      </c>
      <c r="Q2256" s="7">
        <f t="shared" si="583"/>
        <v>3780139.2500000023</v>
      </c>
      <c r="R2256" s="44" t="str">
        <f>VLOOKUP(F2256,'Set up'!$A$2:$E$70,5,FALSE)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585"/>
        <v>10</v>
      </c>
      <c r="C2257" s="5">
        <f t="shared" si="586"/>
        <v>2023</v>
      </c>
      <c r="D2257" s="88" t="s">
        <v>2035</v>
      </c>
      <c r="E2257" s="5" t="str">
        <f>VLOOKUP(F2257,'Set up'!$A$2:$C$70,2,FALSE)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up'!$A$2:$C$70,3,FALSE)</f>
        <v>Cash</v>
      </c>
      <c r="J2257" s="5">
        <f>VLOOKUP(F2257,'Set up'!$A$2:$D$70,4,FALSE)</f>
        <v>0</v>
      </c>
      <c r="K2257" s="4">
        <f t="shared" si="587"/>
        <v>45227</v>
      </c>
      <c r="L2257" s="5">
        <f t="shared" si="588"/>
        <v>10</v>
      </c>
      <c r="M2257" s="5">
        <f t="shared" si="589"/>
        <v>2023</v>
      </c>
      <c r="N2257" s="96">
        <v>4884</v>
      </c>
      <c r="O2257" s="6">
        <f>-N2257</f>
        <v>-4884</v>
      </c>
      <c r="P2257" s="6">
        <f t="shared" si="582"/>
        <v>0</v>
      </c>
      <c r="Q2257" s="7">
        <f t="shared" si="583"/>
        <v>3785023.2500000023</v>
      </c>
      <c r="R2257" s="44" t="str">
        <f>VLOOKUP(F2257,'Set up'!$A$2:$E$70,5,FALSE)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585"/>
        <v>10</v>
      </c>
      <c r="C2258" s="5">
        <f t="shared" si="586"/>
        <v>2023</v>
      </c>
      <c r="D2258" s="88" t="s">
        <v>2035</v>
      </c>
      <c r="E2258" s="5" t="str">
        <f>VLOOKUP(F2258,'Set up'!$A$2:$C$70,2,FALSE)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up'!$A$2:$C$70,3,FALSE)</f>
        <v>Cash</v>
      </c>
      <c r="J2258" s="5">
        <f>VLOOKUP(F2258,'Set up'!$A$2:$D$70,4,FALSE)</f>
        <v>0</v>
      </c>
      <c r="K2258" s="4">
        <f t="shared" si="587"/>
        <v>45227</v>
      </c>
      <c r="L2258" s="5">
        <f t="shared" si="588"/>
        <v>10</v>
      </c>
      <c r="M2258" s="5">
        <f t="shared" si="589"/>
        <v>2023</v>
      </c>
      <c r="N2258" s="96">
        <v>1620</v>
      </c>
      <c r="O2258" s="6">
        <f>-N2258</f>
        <v>-1620</v>
      </c>
      <c r="P2258" s="6">
        <f t="shared" si="582"/>
        <v>0</v>
      </c>
      <c r="Q2258" s="7">
        <f t="shared" si="583"/>
        <v>3786643.2500000023</v>
      </c>
      <c r="R2258" s="44" t="str">
        <f>VLOOKUP(F2258,'Set up'!$A$2:$E$70,5,FALSE)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si="585"/>
        <v>10</v>
      </c>
      <c r="C2259" s="5">
        <f t="shared" si="586"/>
        <v>2023</v>
      </c>
      <c r="D2259" s="88" t="s">
        <v>2035</v>
      </c>
      <c r="E2259" s="5" t="str">
        <f>VLOOKUP(F2259,'Set up'!$A$2:$C$70,2,FALSE)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up'!$A$2:$C$70,3,FALSE)</f>
        <v>Cash</v>
      </c>
      <c r="J2259" s="5">
        <f>VLOOKUP(F2259,'Set up'!$A$2:$D$70,4,FALSE)</f>
        <v>0</v>
      </c>
      <c r="K2259" s="4">
        <f t="shared" si="587"/>
        <v>45227</v>
      </c>
      <c r="L2259" s="5">
        <f t="shared" si="588"/>
        <v>10</v>
      </c>
      <c r="M2259" s="5">
        <f t="shared" si="589"/>
        <v>2023</v>
      </c>
      <c r="N2259" s="96">
        <v>936</v>
      </c>
      <c r="O2259" s="6">
        <f>-N2259</f>
        <v>-936</v>
      </c>
      <c r="P2259" s="6">
        <f t="shared" ref="P2259:P2322" si="593">SUM(N2259+O2259)</f>
        <v>0</v>
      </c>
      <c r="Q2259" s="7">
        <f t="shared" ref="Q2259:Q2260" si="594">SUM(Q2258+N2259)</f>
        <v>3787579.2500000023</v>
      </c>
      <c r="R2259" s="44" t="str">
        <f>VLOOKUP(F2259,'Set up'!$A$2:$E$70,5,FALSE)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585"/>
        <v>10</v>
      </c>
      <c r="C2260" s="5">
        <f t="shared" si="586"/>
        <v>2023</v>
      </c>
      <c r="D2260" s="88" t="s">
        <v>2036</v>
      </c>
      <c r="E2260" s="5" t="str">
        <f>VLOOKUP(F2260,'Set up'!$A$2:$C$70,2,FALSE)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up'!$A$2:$C$70,3,FALSE)</f>
        <v>30</v>
      </c>
      <c r="J2260" s="5">
        <f>VLOOKUP(F2260,'Set up'!$A$2:$D$70,4,FALSE)</f>
        <v>30</v>
      </c>
      <c r="K2260" s="4">
        <f t="shared" si="587"/>
        <v>45259</v>
      </c>
      <c r="L2260" s="5">
        <f t="shared" si="588"/>
        <v>11</v>
      </c>
      <c r="M2260" s="5">
        <f t="shared" si="589"/>
        <v>2023</v>
      </c>
      <c r="N2260" s="96">
        <v>8690</v>
      </c>
      <c r="O2260" s="6">
        <f t="shared" ref="O2260:O2268" si="595">-N2260</f>
        <v>-8690</v>
      </c>
      <c r="P2260" s="6">
        <f t="shared" si="593"/>
        <v>0</v>
      </c>
      <c r="Q2260" s="7">
        <f t="shared" si="594"/>
        <v>3796269.2500000023</v>
      </c>
      <c r="R2260" s="44" t="str">
        <f>VLOOKUP(F2260,'Set up'!$A$2:$E$70,5,FALSE)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si="585"/>
        <v>10</v>
      </c>
      <c r="C2261" s="5">
        <f t="shared" si="586"/>
        <v>2023</v>
      </c>
      <c r="D2261" s="88" t="s">
        <v>2036</v>
      </c>
      <c r="E2261" s="5" t="str">
        <f>VLOOKUP(F2261,'Set up'!$A$2:$C$70,2,FALSE)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up'!$A$2:$C$70,3,FALSE)</f>
        <v>30</v>
      </c>
      <c r="J2261" s="5">
        <f>VLOOKUP(F2261,'Set up'!$A$2:$D$70,4,FALSE)</f>
        <v>30</v>
      </c>
      <c r="K2261" s="4">
        <f t="shared" si="587"/>
        <v>45259</v>
      </c>
      <c r="L2261" s="5">
        <f t="shared" si="588"/>
        <v>11</v>
      </c>
      <c r="M2261" s="5">
        <f t="shared" si="589"/>
        <v>2023</v>
      </c>
      <c r="N2261" s="96">
        <v>2613</v>
      </c>
      <c r="O2261" s="6">
        <f t="shared" si="595"/>
        <v>-2613</v>
      </c>
      <c r="P2261" s="6">
        <f t="shared" si="593"/>
        <v>0</v>
      </c>
      <c r="Q2261" s="7">
        <f t="shared" ref="Q2261:Q2268" si="596">SUM(Q2260+N2261)</f>
        <v>3798882.2500000023</v>
      </c>
      <c r="R2261" s="44" t="str">
        <f>VLOOKUP(F2261,'Set up'!$A$2:$E$70,5,FALSE)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585"/>
        <v>10</v>
      </c>
      <c r="C2262" s="5">
        <f t="shared" si="586"/>
        <v>2023</v>
      </c>
      <c r="D2262" s="88" t="s">
        <v>2036</v>
      </c>
      <c r="E2262" s="5" t="str">
        <f>VLOOKUP(F2262,'Set up'!$A$2:$C$70,2,FALSE)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up'!$A$2:$C$70,3,FALSE)</f>
        <v>30</v>
      </c>
      <c r="J2262" s="5">
        <f>VLOOKUP(F2262,'Set up'!$A$2:$D$70,4,FALSE)</f>
        <v>30</v>
      </c>
      <c r="K2262" s="4">
        <f t="shared" si="587"/>
        <v>45259</v>
      </c>
      <c r="L2262" s="5">
        <f t="shared" si="588"/>
        <v>11</v>
      </c>
      <c r="M2262" s="5">
        <f t="shared" si="589"/>
        <v>2023</v>
      </c>
      <c r="N2262" s="96">
        <v>842.4</v>
      </c>
      <c r="O2262" s="6">
        <f t="shared" si="595"/>
        <v>-842.4</v>
      </c>
      <c r="P2262" s="6">
        <f t="shared" si="593"/>
        <v>0</v>
      </c>
      <c r="Q2262" s="7">
        <f t="shared" si="596"/>
        <v>3799724.6500000022</v>
      </c>
      <c r="R2262" s="44" t="str">
        <f>VLOOKUP(F2262,'Set up'!$A$2:$E$70,5,FALSE)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585"/>
        <v>10</v>
      </c>
      <c r="C2263" s="5">
        <f t="shared" si="586"/>
        <v>2023</v>
      </c>
      <c r="D2263" s="88" t="s">
        <v>2036</v>
      </c>
      <c r="E2263" s="5" t="str">
        <f>VLOOKUP(F2263,'Set up'!$A$2:$C$70,2,FALSE)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up'!$A$2:$C$70,3,FALSE)</f>
        <v>30</v>
      </c>
      <c r="J2263" s="5">
        <f>VLOOKUP(F2263,'Set up'!$A$2:$D$70,4,FALSE)</f>
        <v>30</v>
      </c>
      <c r="K2263" s="4">
        <f t="shared" si="587"/>
        <v>45259</v>
      </c>
      <c r="L2263" s="5">
        <f t="shared" si="588"/>
        <v>11</v>
      </c>
      <c r="M2263" s="5">
        <f t="shared" si="589"/>
        <v>2023</v>
      </c>
      <c r="N2263" s="96">
        <v>288</v>
      </c>
      <c r="O2263" s="6">
        <f t="shared" si="595"/>
        <v>-288</v>
      </c>
      <c r="P2263" s="6">
        <f t="shared" si="593"/>
        <v>0</v>
      </c>
      <c r="Q2263" s="7">
        <f t="shared" si="596"/>
        <v>3800012.6500000022</v>
      </c>
      <c r="R2263" s="44" t="str">
        <f>VLOOKUP(F2263,'Set up'!$A$2:$E$70,5,FALSE)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585"/>
        <v>10</v>
      </c>
      <c r="C2264" s="5">
        <f t="shared" si="586"/>
        <v>2023</v>
      </c>
      <c r="D2264" s="88" t="s">
        <v>2036</v>
      </c>
      <c r="E2264" s="5" t="str">
        <f>VLOOKUP(F2264,'Set up'!$A$2:$C$70,2,FALSE)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up'!$A$2:$C$70,3,FALSE)</f>
        <v>30</v>
      </c>
      <c r="J2264" s="5">
        <f>VLOOKUP(F2264,'Set up'!$A$2:$D$70,4,FALSE)</f>
        <v>30</v>
      </c>
      <c r="K2264" s="4">
        <f t="shared" si="587"/>
        <v>45259</v>
      </c>
      <c r="L2264" s="5">
        <f t="shared" si="588"/>
        <v>11</v>
      </c>
      <c r="M2264" s="5">
        <f t="shared" si="589"/>
        <v>2023</v>
      </c>
      <c r="N2264" s="96">
        <v>625</v>
      </c>
      <c r="O2264" s="6">
        <f t="shared" si="595"/>
        <v>-625</v>
      </c>
      <c r="P2264" s="6">
        <f t="shared" si="593"/>
        <v>0</v>
      </c>
      <c r="Q2264" s="7">
        <f t="shared" si="596"/>
        <v>3800637.6500000022</v>
      </c>
      <c r="R2264" s="44" t="str">
        <f>VLOOKUP(F2264,'Set up'!$A$2:$E$70,5,FALSE)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585"/>
        <v>10</v>
      </c>
      <c r="C2265" s="5">
        <f t="shared" si="586"/>
        <v>2023</v>
      </c>
      <c r="D2265" s="88" t="s">
        <v>2036</v>
      </c>
      <c r="E2265" s="5" t="str">
        <f>VLOOKUP(F2265,'Set up'!$A$2:$C$70,2,FALSE)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up'!$A$2:$C$70,3,FALSE)</f>
        <v>30</v>
      </c>
      <c r="J2265" s="5">
        <f>VLOOKUP(F2265,'Set up'!$A$2:$D$70,4,FALSE)</f>
        <v>30</v>
      </c>
      <c r="K2265" s="4">
        <f t="shared" si="587"/>
        <v>45259</v>
      </c>
      <c r="L2265" s="5">
        <f t="shared" si="588"/>
        <v>11</v>
      </c>
      <c r="M2265" s="5">
        <f t="shared" si="589"/>
        <v>2023</v>
      </c>
      <c r="N2265" s="96">
        <v>260</v>
      </c>
      <c r="O2265" s="6">
        <f t="shared" si="595"/>
        <v>-260</v>
      </c>
      <c r="P2265" s="6">
        <f t="shared" si="593"/>
        <v>0</v>
      </c>
      <c r="Q2265" s="7">
        <f t="shared" si="596"/>
        <v>3800897.6500000022</v>
      </c>
      <c r="R2265" s="44" t="str">
        <f>VLOOKUP(F2265,'Set up'!$A$2:$E$70,5,FALSE)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585"/>
        <v>10</v>
      </c>
      <c r="C2266" s="5">
        <f t="shared" si="586"/>
        <v>2023</v>
      </c>
      <c r="D2266" s="88" t="s">
        <v>2036</v>
      </c>
      <c r="E2266" s="5" t="str">
        <f>VLOOKUP(F2266,'Set up'!$A$2:$C$70,2,FALSE)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up'!$A$2:$C$70,3,FALSE)</f>
        <v>30</v>
      </c>
      <c r="J2266" s="5">
        <f>VLOOKUP(F2266,'Set up'!$A$2:$D$70,4,FALSE)</f>
        <v>30</v>
      </c>
      <c r="K2266" s="4">
        <f t="shared" si="587"/>
        <v>45259</v>
      </c>
      <c r="L2266" s="5">
        <f t="shared" si="588"/>
        <v>11</v>
      </c>
      <c r="M2266" s="5">
        <f t="shared" si="589"/>
        <v>2023</v>
      </c>
      <c r="N2266" s="96">
        <v>285</v>
      </c>
      <c r="O2266" s="6">
        <f t="shared" si="595"/>
        <v>-285</v>
      </c>
      <c r="P2266" s="6">
        <f t="shared" si="593"/>
        <v>0</v>
      </c>
      <c r="Q2266" s="7">
        <f t="shared" si="596"/>
        <v>3801182.6500000022</v>
      </c>
      <c r="R2266" s="44" t="str">
        <f>VLOOKUP(F2266,'Set up'!$A$2:$E$70,5,FALSE)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585"/>
        <v>10</v>
      </c>
      <c r="C2267" s="5">
        <f t="shared" si="586"/>
        <v>2023</v>
      </c>
      <c r="D2267" s="88" t="s">
        <v>2036</v>
      </c>
      <c r="E2267" s="5" t="str">
        <f>VLOOKUP(F2267,'Set up'!$A$2:$C$70,2,FALSE)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up'!$A$2:$C$70,3,FALSE)</f>
        <v>30</v>
      </c>
      <c r="J2267" s="5">
        <f>VLOOKUP(F2267,'Set up'!$A$2:$D$70,4,FALSE)</f>
        <v>30</v>
      </c>
      <c r="K2267" s="4">
        <f t="shared" si="587"/>
        <v>45259</v>
      </c>
      <c r="L2267" s="5">
        <f t="shared" si="588"/>
        <v>11</v>
      </c>
      <c r="M2267" s="5">
        <f t="shared" si="589"/>
        <v>2023</v>
      </c>
      <c r="N2267" s="96">
        <v>930</v>
      </c>
      <c r="O2267" s="6">
        <f t="shared" si="595"/>
        <v>-930</v>
      </c>
      <c r="P2267" s="6">
        <f t="shared" si="593"/>
        <v>0</v>
      </c>
      <c r="Q2267" s="7">
        <f t="shared" si="596"/>
        <v>3802112.6500000022</v>
      </c>
      <c r="R2267" s="44" t="str">
        <f>VLOOKUP(F2267,'Set up'!$A$2:$E$70,5,FALSE)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585"/>
        <v>10</v>
      </c>
      <c r="C2268" s="5">
        <f t="shared" si="586"/>
        <v>2023</v>
      </c>
      <c r="D2268" s="88" t="s">
        <v>2036</v>
      </c>
      <c r="E2268" s="5" t="str">
        <f>VLOOKUP(F2268,'Set up'!$A$2:$C$70,2,FALSE)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up'!$A$2:$C$70,3,FALSE)</f>
        <v>30</v>
      </c>
      <c r="J2268" s="5">
        <f>VLOOKUP(F2268,'Set up'!$A$2:$D$70,4,FALSE)</f>
        <v>30</v>
      </c>
      <c r="K2268" s="4">
        <f t="shared" si="587"/>
        <v>45259</v>
      </c>
      <c r="L2268" s="5">
        <f t="shared" si="588"/>
        <v>11</v>
      </c>
      <c r="M2268" s="5">
        <f t="shared" si="589"/>
        <v>2023</v>
      </c>
      <c r="N2268" s="96">
        <v>930</v>
      </c>
      <c r="O2268" s="6">
        <f t="shared" si="595"/>
        <v>-930</v>
      </c>
      <c r="P2268" s="6">
        <f t="shared" si="593"/>
        <v>0</v>
      </c>
      <c r="Q2268" s="7">
        <f t="shared" si="596"/>
        <v>3803042.6500000022</v>
      </c>
      <c r="R2268" s="44" t="str">
        <f>VLOOKUP(F2268,'Set up'!$A$2:$E$70,5,FALSE)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si="585"/>
        <v>10</v>
      </c>
      <c r="C2269" s="5">
        <f t="shared" si="586"/>
        <v>2023</v>
      </c>
      <c r="D2269" s="88" t="s">
        <v>2090</v>
      </c>
      <c r="E2269" s="5" t="str">
        <f>VLOOKUP(F2269,'Set up'!$A$2:$C$70,2,FALSE)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up'!$A$2:$C$70,3,FALSE)</f>
        <v>Cash</v>
      </c>
      <c r="J2269" s="5">
        <f>VLOOKUP(F2269,'Set up'!$A$2:$D$70,4,FALSE)</f>
        <v>0</v>
      </c>
      <c r="K2269" s="4">
        <f t="shared" si="587"/>
        <v>45229</v>
      </c>
      <c r="L2269" s="5">
        <f t="shared" si="588"/>
        <v>10</v>
      </c>
      <c r="M2269" s="5">
        <f t="shared" si="589"/>
        <v>2023</v>
      </c>
      <c r="N2269" s="96">
        <v>1000</v>
      </c>
      <c r="O2269" s="6">
        <f>-N2269</f>
        <v>-1000</v>
      </c>
      <c r="P2269" s="6">
        <f t="shared" si="593"/>
        <v>0</v>
      </c>
      <c r="Q2269" s="7">
        <f t="shared" ref="Q2269:Q2332" si="597">SUM(Q2268+N2269)</f>
        <v>3804042.6500000022</v>
      </c>
      <c r="R2269" s="44" t="str">
        <f>VLOOKUP(F2269,'Set up'!$A$2:$E$70,5,FALSE)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si="585"/>
        <v>11</v>
      </c>
      <c r="C2270" s="5">
        <f t="shared" si="586"/>
        <v>2023</v>
      </c>
      <c r="D2270" s="88" t="s">
        <v>2091</v>
      </c>
      <c r="E2270" s="5" t="str">
        <f>VLOOKUP(F2270,'Set up'!$A$2:$C$70,2,FALSE)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up'!$A$2:$C$70,3,FALSE)</f>
        <v>Cash</v>
      </c>
      <c r="J2270" s="5">
        <f>VLOOKUP(F2270,'Set up'!$A$2:$D$70,4,FALSE)</f>
        <v>0</v>
      </c>
      <c r="K2270" s="4">
        <f t="shared" si="587"/>
        <v>45231</v>
      </c>
      <c r="L2270" s="5">
        <f t="shared" si="588"/>
        <v>11</v>
      </c>
      <c r="M2270" s="5">
        <f t="shared" si="589"/>
        <v>2023</v>
      </c>
      <c r="N2270" s="96">
        <v>1826</v>
      </c>
      <c r="O2270" s="6">
        <f t="shared" ref="O2270:O2277" si="598">-N2270</f>
        <v>-1826</v>
      </c>
      <c r="P2270" s="6">
        <f t="shared" si="593"/>
        <v>0</v>
      </c>
      <c r="Q2270" s="7">
        <f t="shared" si="597"/>
        <v>3805868.6500000022</v>
      </c>
      <c r="R2270" s="44" t="str">
        <f>VLOOKUP(F2270,'Set up'!$A$2:$E$70,5,FALSE)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585"/>
        <v>11</v>
      </c>
      <c r="C2271" s="5">
        <f t="shared" si="586"/>
        <v>2023</v>
      </c>
      <c r="D2271" s="88" t="s">
        <v>2091</v>
      </c>
      <c r="E2271" s="5" t="str">
        <f>VLOOKUP(F2271,'Set up'!$A$2:$C$70,2,FALSE)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up'!$A$2:$C$70,3,FALSE)</f>
        <v>Cash</v>
      </c>
      <c r="J2271" s="5">
        <f>VLOOKUP(F2271,'Set up'!$A$2:$D$70,4,FALSE)</f>
        <v>0</v>
      </c>
      <c r="K2271" s="4">
        <f t="shared" si="587"/>
        <v>45231</v>
      </c>
      <c r="L2271" s="5">
        <f t="shared" si="588"/>
        <v>11</v>
      </c>
      <c r="M2271" s="5">
        <f t="shared" si="589"/>
        <v>2023</v>
      </c>
      <c r="N2271" s="96">
        <v>853.2</v>
      </c>
      <c r="O2271" s="6">
        <f t="shared" si="598"/>
        <v>-853.2</v>
      </c>
      <c r="P2271" s="6">
        <f t="shared" si="593"/>
        <v>0</v>
      </c>
      <c r="Q2271" s="7">
        <f t="shared" si="597"/>
        <v>3806721.8500000024</v>
      </c>
      <c r="R2271" s="44" t="str">
        <f>VLOOKUP(F2271,'Set up'!$A$2:$E$70,5,FALSE)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585"/>
        <v>11</v>
      </c>
      <c r="C2272" s="5">
        <f t="shared" si="586"/>
        <v>2023</v>
      </c>
      <c r="D2272" s="88" t="s">
        <v>2091</v>
      </c>
      <c r="E2272" s="5" t="str">
        <f>VLOOKUP(F2272,'Set up'!$A$2:$C$70,2,FALSE)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up'!$A$2:$C$70,3,FALSE)</f>
        <v>Cash</v>
      </c>
      <c r="J2272" s="5">
        <f>VLOOKUP(F2272,'Set up'!$A$2:$D$70,4,FALSE)</f>
        <v>0</v>
      </c>
      <c r="K2272" s="4">
        <f t="shared" si="587"/>
        <v>45231</v>
      </c>
      <c r="L2272" s="5">
        <f t="shared" si="588"/>
        <v>11</v>
      </c>
      <c r="M2272" s="5">
        <f t="shared" si="589"/>
        <v>2023</v>
      </c>
      <c r="N2272" s="96">
        <v>426.6</v>
      </c>
      <c r="O2272" s="6">
        <f t="shared" si="598"/>
        <v>-426.6</v>
      </c>
      <c r="P2272" s="6">
        <f t="shared" si="593"/>
        <v>0</v>
      </c>
      <c r="Q2272" s="7">
        <f t="shared" si="597"/>
        <v>3807148.4500000025</v>
      </c>
      <c r="R2272" s="44" t="str">
        <f>VLOOKUP(F2272,'Set up'!$A$2:$E$70,5,FALSE)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585"/>
        <v>11</v>
      </c>
      <c r="C2273" s="5">
        <f t="shared" si="586"/>
        <v>2023</v>
      </c>
      <c r="D2273" s="88" t="s">
        <v>2091</v>
      </c>
      <c r="E2273" s="5" t="str">
        <f>VLOOKUP(F2273,'Set up'!$A$2:$C$70,2,FALSE)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up'!$A$2:$C$70,3,FALSE)</f>
        <v>Cash</v>
      </c>
      <c r="J2273" s="5">
        <f>VLOOKUP(F2273,'Set up'!$A$2:$D$70,4,FALSE)</f>
        <v>0</v>
      </c>
      <c r="K2273" s="4">
        <f t="shared" si="587"/>
        <v>45231</v>
      </c>
      <c r="L2273" s="5">
        <f t="shared" si="588"/>
        <v>11</v>
      </c>
      <c r="M2273" s="5">
        <f t="shared" si="589"/>
        <v>2023</v>
      </c>
      <c r="N2273" s="96">
        <v>516</v>
      </c>
      <c r="O2273" s="6">
        <f t="shared" si="598"/>
        <v>-516</v>
      </c>
      <c r="P2273" s="6">
        <f t="shared" si="593"/>
        <v>0</v>
      </c>
      <c r="Q2273" s="7">
        <f t="shared" si="597"/>
        <v>3807664.4500000025</v>
      </c>
      <c r="R2273" s="44" t="str">
        <f>VLOOKUP(F2273,'Set up'!$A$2:$E$70,5,FALSE)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585"/>
        <v>11</v>
      </c>
      <c r="C2274" s="5">
        <f t="shared" si="586"/>
        <v>2023</v>
      </c>
      <c r="D2274" s="88" t="s">
        <v>2091</v>
      </c>
      <c r="E2274" s="5" t="str">
        <f>VLOOKUP(F2274,'Set up'!$A$2:$C$70,2,FALSE)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up'!$A$2:$C$70,3,FALSE)</f>
        <v>Cash</v>
      </c>
      <c r="J2274" s="5">
        <f>VLOOKUP(F2274,'Set up'!$A$2:$D$70,4,FALSE)</f>
        <v>0</v>
      </c>
      <c r="K2274" s="4">
        <f t="shared" si="587"/>
        <v>45231</v>
      </c>
      <c r="L2274" s="5">
        <f t="shared" si="588"/>
        <v>11</v>
      </c>
      <c r="M2274" s="5">
        <f t="shared" si="589"/>
        <v>2023</v>
      </c>
      <c r="N2274" s="96">
        <v>110</v>
      </c>
      <c r="O2274" s="6">
        <f t="shared" si="598"/>
        <v>-110</v>
      </c>
      <c r="P2274" s="6">
        <f t="shared" si="593"/>
        <v>0</v>
      </c>
      <c r="Q2274" s="7">
        <f t="shared" si="597"/>
        <v>3807774.4500000025</v>
      </c>
      <c r="R2274" s="44" t="str">
        <f>VLOOKUP(F2274,'Set up'!$A$2:$E$70,5,FALSE)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585"/>
        <v>11</v>
      </c>
      <c r="C2275" s="5">
        <f t="shared" si="586"/>
        <v>2023</v>
      </c>
      <c r="D2275" s="88" t="s">
        <v>2092</v>
      </c>
      <c r="E2275" s="5" t="str">
        <f>VLOOKUP(F2275,'Set up'!$A$2:$C$70,2,FALSE)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up'!$A$2:$C$70,3,FALSE)</f>
        <v>Cash</v>
      </c>
      <c r="J2275" s="5">
        <f>VLOOKUP(F2275,'Set up'!$A$2:$D$70,4,FALSE)</f>
        <v>0</v>
      </c>
      <c r="K2275" s="4">
        <f t="shared" si="587"/>
        <v>45233</v>
      </c>
      <c r="L2275" s="5">
        <f t="shared" si="588"/>
        <v>11</v>
      </c>
      <c r="M2275" s="5">
        <f t="shared" si="589"/>
        <v>2023</v>
      </c>
      <c r="N2275" s="96">
        <v>810</v>
      </c>
      <c r="O2275" s="6">
        <f t="shared" si="598"/>
        <v>-810</v>
      </c>
      <c r="P2275" s="6">
        <f t="shared" si="593"/>
        <v>0</v>
      </c>
      <c r="Q2275" s="7">
        <f t="shared" si="597"/>
        <v>3808584.4500000025</v>
      </c>
      <c r="R2275" s="44" t="str">
        <f>VLOOKUP(F2275,'Set up'!$A$2:$E$70,5,FALSE)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585"/>
        <v>11</v>
      </c>
      <c r="C2276" s="5">
        <f t="shared" si="586"/>
        <v>2023</v>
      </c>
      <c r="D2276" s="88" t="s">
        <v>2092</v>
      </c>
      <c r="E2276" s="5" t="str">
        <f>VLOOKUP(F2276,'Set up'!$A$2:$C$70,2,FALSE)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up'!$A$2:$C$70,3,FALSE)</f>
        <v>Cash</v>
      </c>
      <c r="J2276" s="5">
        <f>VLOOKUP(F2276,'Set up'!$A$2:$D$70,4,FALSE)</f>
        <v>0</v>
      </c>
      <c r="K2276" s="4">
        <f t="shared" si="587"/>
        <v>45233</v>
      </c>
      <c r="L2276" s="5">
        <f t="shared" si="588"/>
        <v>11</v>
      </c>
      <c r="M2276" s="5">
        <f t="shared" si="589"/>
        <v>2023</v>
      </c>
      <c r="N2276" s="96">
        <v>264</v>
      </c>
      <c r="O2276" s="6">
        <f t="shared" si="598"/>
        <v>-264</v>
      </c>
      <c r="P2276" s="6">
        <f t="shared" si="593"/>
        <v>0</v>
      </c>
      <c r="Q2276" s="7">
        <f t="shared" si="597"/>
        <v>3808848.4500000025</v>
      </c>
      <c r="R2276" s="44" t="str">
        <f>VLOOKUP(F2276,'Set up'!$A$2:$E$70,5,FALSE)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585"/>
        <v>11</v>
      </c>
      <c r="C2277" s="5">
        <f t="shared" si="586"/>
        <v>2023</v>
      </c>
      <c r="D2277" s="88" t="s">
        <v>2092</v>
      </c>
      <c r="E2277" s="5" t="str">
        <f>VLOOKUP(F2277,'Set up'!$A$2:$C$70,2,FALSE)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up'!$A$2:$C$70,3,FALSE)</f>
        <v>Cash</v>
      </c>
      <c r="J2277" s="5">
        <f>VLOOKUP(F2277,'Set up'!$A$2:$D$70,4,FALSE)</f>
        <v>0</v>
      </c>
      <c r="K2277" s="4">
        <f t="shared" si="587"/>
        <v>45233</v>
      </c>
      <c r="L2277" s="5">
        <f t="shared" si="588"/>
        <v>11</v>
      </c>
      <c r="M2277" s="5">
        <f t="shared" si="589"/>
        <v>2023</v>
      </c>
      <c r="N2277" s="96">
        <v>100</v>
      </c>
      <c r="O2277" s="6">
        <f t="shared" si="598"/>
        <v>-100</v>
      </c>
      <c r="P2277" s="6">
        <f t="shared" si="593"/>
        <v>0</v>
      </c>
      <c r="Q2277" s="7">
        <f t="shared" si="597"/>
        <v>3808948.4500000025</v>
      </c>
      <c r="R2277" s="44" t="str">
        <f>VLOOKUP(F2277,'Set up'!$A$2:$E$70,5,FALSE)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585"/>
        <v>11</v>
      </c>
      <c r="C2278" s="5">
        <f t="shared" si="586"/>
        <v>2023</v>
      </c>
      <c r="D2278" s="88" t="s">
        <v>2149</v>
      </c>
      <c r="E2278" s="5" t="str">
        <f>VLOOKUP(F2278,'Set up'!$A$2:$C$70,2,FALSE)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up'!$A$2:$C$70,3,FALSE)</f>
        <v>Cash</v>
      </c>
      <c r="J2278" s="5">
        <f>VLOOKUP(F2278,'Set up'!$A$2:$D$70,4,FALSE)</f>
        <v>0</v>
      </c>
      <c r="K2278" s="4">
        <f t="shared" si="587"/>
        <v>45233</v>
      </c>
      <c r="L2278" s="5">
        <f t="shared" si="588"/>
        <v>11</v>
      </c>
      <c r="M2278" s="5">
        <f t="shared" si="589"/>
        <v>2023</v>
      </c>
      <c r="N2278" s="96">
        <v>1738</v>
      </c>
      <c r="O2278" s="6">
        <f>-1069.6-500-168.4</f>
        <v>-1738</v>
      </c>
      <c r="P2278" s="6">
        <f t="shared" si="593"/>
        <v>0</v>
      </c>
      <c r="Q2278" s="7">
        <f t="shared" si="597"/>
        <v>3810686.4500000025</v>
      </c>
      <c r="R2278" s="44" t="str">
        <f>VLOOKUP(F2278,'Set up'!$A$2:$E$70,5,FALSE)</f>
        <v>Trsf</v>
      </c>
      <c r="S2278" s="1" t="s">
        <v>3035</v>
      </c>
    </row>
    <row r="2279" spans="1:19" ht="15" customHeight="1" x14ac:dyDescent="0.35">
      <c r="A2279" s="4">
        <v>45233</v>
      </c>
      <c r="B2279" s="5">
        <f t="shared" si="585"/>
        <v>11</v>
      </c>
      <c r="C2279" s="5">
        <f t="shared" si="586"/>
        <v>2023</v>
      </c>
      <c r="D2279" s="88" t="s">
        <v>2149</v>
      </c>
      <c r="E2279" s="5" t="str">
        <f>VLOOKUP(F2279,'Set up'!$A$2:$C$70,2,FALSE)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up'!$A$2:$C$70,3,FALSE)</f>
        <v>Cash</v>
      </c>
      <c r="J2279" s="5">
        <f>VLOOKUP(F2279,'Set up'!$A$2:$D$70,4,FALSE)</f>
        <v>0</v>
      </c>
      <c r="K2279" s="4">
        <f t="shared" si="587"/>
        <v>45233</v>
      </c>
      <c r="L2279" s="5">
        <f t="shared" si="588"/>
        <v>11</v>
      </c>
      <c r="M2279" s="5">
        <f t="shared" si="589"/>
        <v>2023</v>
      </c>
      <c r="N2279" s="96">
        <v>405</v>
      </c>
      <c r="O2279" s="6">
        <f t="shared" ref="O2279:O2281" si="599">-N2279</f>
        <v>-405</v>
      </c>
      <c r="P2279" s="6">
        <f t="shared" si="593"/>
        <v>0</v>
      </c>
      <c r="Q2279" s="7">
        <f t="shared" si="597"/>
        <v>3811091.4500000025</v>
      </c>
      <c r="R2279" s="44" t="str">
        <f>VLOOKUP(F2279,'Set up'!$A$2:$E$70,5,FALSE)</f>
        <v>Trsf</v>
      </c>
      <c r="S2279" s="1" t="s">
        <v>3044</v>
      </c>
    </row>
    <row r="2280" spans="1:19" ht="15" customHeight="1" x14ac:dyDescent="0.35">
      <c r="A2280" s="4">
        <v>45233</v>
      </c>
      <c r="B2280" s="5">
        <f t="shared" si="585"/>
        <v>11</v>
      </c>
      <c r="C2280" s="5">
        <f t="shared" si="586"/>
        <v>2023</v>
      </c>
      <c r="D2280" s="88" t="s">
        <v>2149</v>
      </c>
      <c r="E2280" s="5" t="str">
        <f>VLOOKUP(F2280,'Set up'!$A$2:$C$70,2,FALSE)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up'!$A$2:$C$70,3,FALSE)</f>
        <v>Cash</v>
      </c>
      <c r="J2280" s="5">
        <f>VLOOKUP(F2280,'Set up'!$A$2:$D$70,4,FALSE)</f>
        <v>0</v>
      </c>
      <c r="K2280" s="4">
        <f t="shared" si="587"/>
        <v>45233</v>
      </c>
      <c r="L2280" s="5">
        <f t="shared" si="588"/>
        <v>11</v>
      </c>
      <c r="M2280" s="5">
        <f t="shared" si="589"/>
        <v>2023</v>
      </c>
      <c r="N2280" s="96">
        <v>125</v>
      </c>
      <c r="O2280" s="6">
        <f t="shared" si="599"/>
        <v>-125</v>
      </c>
      <c r="P2280" s="6">
        <f t="shared" si="593"/>
        <v>0</v>
      </c>
      <c r="Q2280" s="7">
        <f t="shared" si="597"/>
        <v>3811216.4500000025</v>
      </c>
      <c r="R2280" s="44" t="str">
        <f>VLOOKUP(F2280,'Set up'!$A$2:$E$70,5,FALSE)</f>
        <v>Trsf</v>
      </c>
      <c r="S2280" s="1" t="s">
        <v>3045</v>
      </c>
    </row>
    <row r="2281" spans="1:19" ht="15" customHeight="1" x14ac:dyDescent="0.35">
      <c r="A2281" s="4">
        <v>45233</v>
      </c>
      <c r="B2281" s="5">
        <f t="shared" si="585"/>
        <v>11</v>
      </c>
      <c r="C2281" s="5">
        <f t="shared" si="586"/>
        <v>2023</v>
      </c>
      <c r="D2281" s="88" t="s">
        <v>2149</v>
      </c>
      <c r="E2281" s="5" t="str">
        <f>VLOOKUP(F2281,'Set up'!$A$2:$C$70,2,FALSE)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up'!$A$2:$C$70,3,FALSE)</f>
        <v>Cash</v>
      </c>
      <c r="J2281" s="5">
        <f>VLOOKUP(F2281,'Set up'!$A$2:$D$70,4,FALSE)</f>
        <v>0</v>
      </c>
      <c r="K2281" s="4">
        <f t="shared" si="587"/>
        <v>45233</v>
      </c>
      <c r="L2281" s="5">
        <f t="shared" si="588"/>
        <v>11</v>
      </c>
      <c r="M2281" s="5">
        <f t="shared" si="589"/>
        <v>2023</v>
      </c>
      <c r="N2281" s="96">
        <v>150</v>
      </c>
      <c r="O2281" s="6">
        <f t="shared" si="599"/>
        <v>-150</v>
      </c>
      <c r="P2281" s="6">
        <f t="shared" si="593"/>
        <v>0</v>
      </c>
      <c r="Q2281" s="7">
        <f t="shared" si="597"/>
        <v>3811366.4500000025</v>
      </c>
      <c r="R2281" s="44" t="str">
        <f>VLOOKUP(F2281,'Set up'!$A$2:$E$70,5,FALSE)</f>
        <v>Trsf</v>
      </c>
      <c r="S2281" s="1" t="s">
        <v>3046</v>
      </c>
    </row>
    <row r="2282" spans="1:19" ht="15" customHeight="1" x14ac:dyDescent="0.35">
      <c r="A2282" s="4">
        <v>45234</v>
      </c>
      <c r="B2282" s="5">
        <f t="shared" si="585"/>
        <v>11</v>
      </c>
      <c r="C2282" s="5">
        <f t="shared" si="586"/>
        <v>2023</v>
      </c>
      <c r="D2282" s="88" t="s">
        <v>2150</v>
      </c>
      <c r="E2282" s="5" t="str">
        <f>VLOOKUP(F2282,'Set up'!$A$2:$C$70,2,FALSE)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up'!$A$2:$C$70,3,FALSE)</f>
        <v>Cash</v>
      </c>
      <c r="J2282" s="5">
        <f>VLOOKUP(F2282,'Set up'!$A$2:$D$70,4,FALSE)</f>
        <v>0</v>
      </c>
      <c r="K2282" s="4">
        <f t="shared" si="587"/>
        <v>45234</v>
      </c>
      <c r="L2282" s="5">
        <f t="shared" si="588"/>
        <v>11</v>
      </c>
      <c r="M2282" s="5">
        <f t="shared" si="589"/>
        <v>2023</v>
      </c>
      <c r="N2282" s="96">
        <v>1777.5</v>
      </c>
      <c r="O2282" s="6">
        <f>-501.7</f>
        <v>-501.7</v>
      </c>
      <c r="P2282" s="6">
        <f t="shared" si="593"/>
        <v>1275.8</v>
      </c>
      <c r="Q2282" s="7">
        <f t="shared" si="597"/>
        <v>3813143.9500000025</v>
      </c>
      <c r="R2282" s="44" t="str">
        <f>VLOOKUP(F2282,'Set up'!$A$2:$E$70,5,FALSE)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585"/>
        <v>11</v>
      </c>
      <c r="C2283" s="5">
        <f t="shared" si="586"/>
        <v>2023</v>
      </c>
      <c r="D2283" s="88" t="s">
        <v>2150</v>
      </c>
      <c r="E2283" s="5" t="str">
        <f>VLOOKUP(F2283,'Set up'!$A$2:$C$70,2,FALSE)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up'!$A$2:$C$70,3,FALSE)</f>
        <v>Cash</v>
      </c>
      <c r="J2283" s="5">
        <f>VLOOKUP(F2283,'Set up'!$A$2:$D$70,4,FALSE)</f>
        <v>0</v>
      </c>
      <c r="K2283" s="4">
        <f t="shared" si="587"/>
        <v>45234</v>
      </c>
      <c r="L2283" s="5">
        <f t="shared" si="588"/>
        <v>11</v>
      </c>
      <c r="M2283" s="5">
        <f t="shared" si="589"/>
        <v>2023</v>
      </c>
      <c r="N2283" s="96">
        <v>219</v>
      </c>
      <c r="P2283" s="6">
        <f t="shared" si="593"/>
        <v>219</v>
      </c>
      <c r="Q2283" s="7">
        <f t="shared" si="597"/>
        <v>3813362.9500000025</v>
      </c>
      <c r="R2283" s="44" t="str">
        <f>VLOOKUP(F2283,'Set up'!$A$2:$E$70,5,FALSE)</f>
        <v>Trsf</v>
      </c>
    </row>
    <row r="2284" spans="1:19" ht="15" customHeight="1" x14ac:dyDescent="0.35">
      <c r="A2284" s="4">
        <v>45234</v>
      </c>
      <c r="B2284" s="5">
        <f t="shared" si="585"/>
        <v>11</v>
      </c>
      <c r="C2284" s="5">
        <f t="shared" si="586"/>
        <v>2023</v>
      </c>
      <c r="D2284" s="88" t="s">
        <v>2150</v>
      </c>
      <c r="E2284" s="5" t="str">
        <f>VLOOKUP(F2284,'Set up'!$A$2:$C$70,2,FALSE)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up'!$A$2:$C$70,3,FALSE)</f>
        <v>Cash</v>
      </c>
      <c r="J2284" s="5">
        <f>VLOOKUP(F2284,'Set up'!$A$2:$D$70,4,FALSE)</f>
        <v>0</v>
      </c>
      <c r="K2284" s="4">
        <f t="shared" si="587"/>
        <v>45234</v>
      </c>
      <c r="L2284" s="5">
        <f t="shared" si="588"/>
        <v>11</v>
      </c>
      <c r="M2284" s="5">
        <f t="shared" si="589"/>
        <v>2023</v>
      </c>
      <c r="N2284" s="96">
        <v>438</v>
      </c>
      <c r="P2284" s="6">
        <f t="shared" si="593"/>
        <v>438</v>
      </c>
      <c r="Q2284" s="7">
        <f t="shared" si="597"/>
        <v>3813800.9500000025</v>
      </c>
      <c r="R2284" s="44" t="str">
        <f>VLOOKUP(F2284,'Set up'!$A$2:$E$70,5,FALSE)</f>
        <v>Trsf</v>
      </c>
    </row>
    <row r="2285" spans="1:19" ht="15" customHeight="1" x14ac:dyDescent="0.35">
      <c r="A2285" s="4">
        <v>45234</v>
      </c>
      <c r="B2285" s="5">
        <f t="shared" si="585"/>
        <v>11</v>
      </c>
      <c r="C2285" s="5">
        <f t="shared" si="586"/>
        <v>2023</v>
      </c>
      <c r="D2285" s="88" t="s">
        <v>2150</v>
      </c>
      <c r="E2285" s="5" t="str">
        <f>VLOOKUP(F2285,'Set up'!$A$2:$C$70,2,FALSE)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up'!$A$2:$C$70,3,FALSE)</f>
        <v>Cash</v>
      </c>
      <c r="J2285" s="5">
        <f>VLOOKUP(F2285,'Set up'!$A$2:$D$70,4,FALSE)</f>
        <v>0</v>
      </c>
      <c r="K2285" s="4">
        <f t="shared" si="587"/>
        <v>45234</v>
      </c>
      <c r="L2285" s="5">
        <f t="shared" si="588"/>
        <v>11</v>
      </c>
      <c r="M2285" s="5">
        <f t="shared" si="589"/>
        <v>2023</v>
      </c>
      <c r="N2285" s="96">
        <v>236</v>
      </c>
      <c r="P2285" s="6">
        <f t="shared" si="593"/>
        <v>236</v>
      </c>
      <c r="Q2285" s="7">
        <f t="shared" si="597"/>
        <v>3814036.9500000025</v>
      </c>
      <c r="R2285" s="44" t="str">
        <f>VLOOKUP(F2285,'Set up'!$A$2:$E$70,5,FALSE)</f>
        <v>Trsf</v>
      </c>
    </row>
    <row r="2286" spans="1:19" ht="15" customHeight="1" x14ac:dyDescent="0.35">
      <c r="A2286" s="4">
        <v>45234</v>
      </c>
      <c r="B2286" s="5">
        <f t="shared" si="585"/>
        <v>11</v>
      </c>
      <c r="C2286" s="5">
        <f t="shared" si="586"/>
        <v>2023</v>
      </c>
      <c r="D2286" s="88" t="s">
        <v>2150</v>
      </c>
      <c r="E2286" s="5" t="str">
        <f>VLOOKUP(F2286,'Set up'!$A$2:$C$70,2,FALSE)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up'!$A$2:$C$70,3,FALSE)</f>
        <v>Cash</v>
      </c>
      <c r="J2286" s="5">
        <f>VLOOKUP(F2286,'Set up'!$A$2:$D$70,4,FALSE)</f>
        <v>0</v>
      </c>
      <c r="K2286" s="4">
        <f t="shared" si="587"/>
        <v>45234</v>
      </c>
      <c r="L2286" s="5">
        <f t="shared" si="588"/>
        <v>11</v>
      </c>
      <c r="M2286" s="5">
        <f t="shared" si="589"/>
        <v>2023</v>
      </c>
      <c r="N2286" s="96">
        <v>95</v>
      </c>
      <c r="P2286" s="6">
        <f t="shared" si="593"/>
        <v>95</v>
      </c>
      <c r="Q2286" s="7">
        <f t="shared" si="597"/>
        <v>3814131.9500000025</v>
      </c>
      <c r="R2286" s="44" t="str">
        <f>VLOOKUP(F2286,'Set up'!$A$2:$E$70,5,FALSE)</f>
        <v>Trsf</v>
      </c>
    </row>
    <row r="2287" spans="1:19" ht="15" customHeight="1" x14ac:dyDescent="0.35">
      <c r="A2287" s="4">
        <v>45234</v>
      </c>
      <c r="B2287" s="5">
        <f t="shared" si="585"/>
        <v>11</v>
      </c>
      <c r="C2287" s="5">
        <f t="shared" si="586"/>
        <v>2023</v>
      </c>
      <c r="D2287" s="88" t="s">
        <v>2150</v>
      </c>
      <c r="E2287" s="5" t="str">
        <f>VLOOKUP(F2287,'Set up'!$A$2:$C$70,2,FALSE)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up'!$A$2:$C$70,3,FALSE)</f>
        <v>Cash</v>
      </c>
      <c r="J2287" s="5">
        <f>VLOOKUP(F2287,'Set up'!$A$2:$D$70,4,FALSE)</f>
        <v>0</v>
      </c>
      <c r="K2287" s="4">
        <f t="shared" si="587"/>
        <v>45234</v>
      </c>
      <c r="L2287" s="5">
        <f t="shared" si="588"/>
        <v>11</v>
      </c>
      <c r="M2287" s="5">
        <f t="shared" si="589"/>
        <v>2023</v>
      </c>
      <c r="N2287" s="96">
        <v>312.5</v>
      </c>
      <c r="P2287" s="6">
        <f t="shared" si="593"/>
        <v>312.5</v>
      </c>
      <c r="Q2287" s="7">
        <f t="shared" si="597"/>
        <v>3814444.4500000025</v>
      </c>
      <c r="R2287" s="44" t="str">
        <f>VLOOKUP(F2287,'Set up'!$A$2:$E$70,5,FALSE)</f>
        <v>Trsf</v>
      </c>
    </row>
    <row r="2288" spans="1:19" ht="15" customHeight="1" x14ac:dyDescent="0.35">
      <c r="A2288" s="4">
        <v>45236</v>
      </c>
      <c r="B2288" s="5">
        <f t="shared" si="585"/>
        <v>11</v>
      </c>
      <c r="C2288" s="5">
        <f t="shared" si="586"/>
        <v>2023</v>
      </c>
      <c r="D2288" s="88" t="s">
        <v>2151</v>
      </c>
      <c r="E2288" s="5" t="str">
        <f>VLOOKUP(F2288,'Set up'!$A$2:$C$70,2,FALSE)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up'!$A$2:$C$70,3,FALSE)</f>
        <v>Cash</v>
      </c>
      <c r="J2288" s="5">
        <f>VLOOKUP(F2288,'Set up'!$A$2:$D$70,4,FALSE)</f>
        <v>0</v>
      </c>
      <c r="K2288" s="4">
        <f t="shared" si="587"/>
        <v>45236</v>
      </c>
      <c r="L2288" s="5">
        <f t="shared" si="588"/>
        <v>11</v>
      </c>
      <c r="M2288" s="5">
        <f t="shared" si="589"/>
        <v>2023</v>
      </c>
      <c r="N2288" s="96">
        <v>437.5</v>
      </c>
      <c r="O2288" s="6">
        <f>-N2288</f>
        <v>-437.5</v>
      </c>
      <c r="P2288" s="6">
        <f t="shared" si="593"/>
        <v>0</v>
      </c>
      <c r="Q2288" s="7">
        <f t="shared" si="597"/>
        <v>3814881.9500000025</v>
      </c>
      <c r="R2288" s="44" t="str">
        <f>VLOOKUP(F2288,'Set up'!$A$2:$E$70,5,FALSE)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585"/>
        <v>11</v>
      </c>
      <c r="C2289" s="5">
        <f t="shared" si="586"/>
        <v>2023</v>
      </c>
      <c r="D2289" s="88" t="s">
        <v>2152</v>
      </c>
      <c r="E2289" s="5" t="str">
        <f>VLOOKUP(F2289,'Set up'!$A$2:$C$70,2,FALSE)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up'!$A$2:$C$70,3,FALSE)</f>
        <v>Cash</v>
      </c>
      <c r="J2289" s="5">
        <f>VLOOKUP(F2289,'Set up'!$A$2:$D$70,4,FALSE)</f>
        <v>0</v>
      </c>
      <c r="K2289" s="4">
        <f t="shared" si="587"/>
        <v>45236</v>
      </c>
      <c r="L2289" s="5">
        <f t="shared" si="588"/>
        <v>11</v>
      </c>
      <c r="M2289" s="5">
        <f t="shared" si="589"/>
        <v>2023</v>
      </c>
      <c r="N2289" s="96">
        <v>11242</v>
      </c>
      <c r="O2289" s="6">
        <f>-2251.2-6500-2490.8</f>
        <v>-11242</v>
      </c>
      <c r="P2289" s="6">
        <f t="shared" si="593"/>
        <v>0</v>
      </c>
      <c r="Q2289" s="7">
        <f t="shared" si="597"/>
        <v>3826123.9500000025</v>
      </c>
      <c r="R2289" s="44" t="str">
        <f>VLOOKUP(F2289,'Set up'!$A$2:$E$70,5,FALSE)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585"/>
        <v>11</v>
      </c>
      <c r="C2290" s="5">
        <f t="shared" si="586"/>
        <v>2023</v>
      </c>
      <c r="D2290" s="88" t="s">
        <v>2152</v>
      </c>
      <c r="E2290" s="5" t="str">
        <f>VLOOKUP(F2290,'Set up'!$A$2:$C$70,2,FALSE)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up'!$A$2:$C$70,3,FALSE)</f>
        <v>Cash</v>
      </c>
      <c r="J2290" s="5">
        <f>VLOOKUP(F2290,'Set up'!$A$2:$D$70,4,FALSE)</f>
        <v>0</v>
      </c>
      <c r="K2290" s="4">
        <f t="shared" si="587"/>
        <v>45236</v>
      </c>
      <c r="L2290" s="5">
        <f t="shared" si="588"/>
        <v>11</v>
      </c>
      <c r="M2290" s="5">
        <f t="shared" si="589"/>
        <v>2023</v>
      </c>
      <c r="N2290" s="96">
        <v>3828</v>
      </c>
      <c r="O2290" s="6">
        <f>-N2290</f>
        <v>-3828</v>
      </c>
      <c r="P2290" s="6">
        <f t="shared" si="593"/>
        <v>0</v>
      </c>
      <c r="Q2290" s="7">
        <f t="shared" si="597"/>
        <v>3829951.9500000025</v>
      </c>
      <c r="R2290" s="44" t="str">
        <f>VLOOKUP(F2290,'Set up'!$A$2:$E$70,5,FALSE)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585"/>
        <v>11</v>
      </c>
      <c r="C2291" s="5">
        <f t="shared" si="586"/>
        <v>2023</v>
      </c>
      <c r="D2291" s="88" t="s">
        <v>2152</v>
      </c>
      <c r="E2291" s="5" t="str">
        <f>VLOOKUP(F2291,'Set up'!$A$2:$C$70,2,FALSE)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up'!$A$2:$C$70,3,FALSE)</f>
        <v>Cash</v>
      </c>
      <c r="J2291" s="5">
        <f>VLOOKUP(F2291,'Set up'!$A$2:$D$70,4,FALSE)</f>
        <v>0</v>
      </c>
      <c r="K2291" s="4">
        <f t="shared" si="587"/>
        <v>45236</v>
      </c>
      <c r="L2291" s="5">
        <f t="shared" si="588"/>
        <v>11</v>
      </c>
      <c r="M2291" s="5">
        <f t="shared" si="589"/>
        <v>2023</v>
      </c>
      <c r="N2291" s="96">
        <v>2574</v>
      </c>
      <c r="O2291" s="6">
        <f>-N2291</f>
        <v>-2574</v>
      </c>
      <c r="P2291" s="6">
        <f t="shared" si="593"/>
        <v>0</v>
      </c>
      <c r="Q2291" s="7">
        <f t="shared" si="597"/>
        <v>3832525.9500000025</v>
      </c>
      <c r="R2291" s="44" t="str">
        <f>VLOOKUP(F2291,'Set up'!$A$2:$E$70,5,FALSE)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585"/>
        <v>11</v>
      </c>
      <c r="C2292" s="5">
        <f t="shared" si="586"/>
        <v>2023</v>
      </c>
      <c r="D2292" s="88" t="s">
        <v>2152</v>
      </c>
      <c r="E2292" s="5" t="str">
        <f>VLOOKUP(F2292,'Set up'!$A$2:$C$70,2,FALSE)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up'!$A$2:$C$70,3,FALSE)</f>
        <v>Cash</v>
      </c>
      <c r="J2292" s="5">
        <f>VLOOKUP(F2292,'Set up'!$A$2:$D$70,4,FALSE)</f>
        <v>0</v>
      </c>
      <c r="K2292" s="4">
        <f t="shared" si="587"/>
        <v>45236</v>
      </c>
      <c r="L2292" s="5">
        <f t="shared" si="588"/>
        <v>11</v>
      </c>
      <c r="M2292" s="5">
        <f t="shared" si="589"/>
        <v>2023</v>
      </c>
      <c r="N2292" s="96">
        <v>1000</v>
      </c>
      <c r="O2292" s="6">
        <f>-N2292</f>
        <v>-1000</v>
      </c>
      <c r="P2292" s="6">
        <f t="shared" si="593"/>
        <v>0</v>
      </c>
      <c r="Q2292" s="7">
        <f t="shared" si="597"/>
        <v>3833525.9500000025</v>
      </c>
      <c r="R2292" s="44" t="str">
        <f>VLOOKUP(F2292,'Set up'!$A$2:$E$70,5,FALSE)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585"/>
        <v>11</v>
      </c>
      <c r="C2293" s="5">
        <f t="shared" si="586"/>
        <v>2023</v>
      </c>
      <c r="D2293" s="88" t="s">
        <v>2152</v>
      </c>
      <c r="E2293" s="5" t="str">
        <f>VLOOKUP(F2293,'Set up'!$A$2:$C$70,2,FALSE)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up'!$A$2:$C$70,3,FALSE)</f>
        <v>Cash</v>
      </c>
      <c r="J2293" s="5">
        <f>VLOOKUP(F2293,'Set up'!$A$2:$D$70,4,FALSE)</f>
        <v>0</v>
      </c>
      <c r="K2293" s="4">
        <f t="shared" si="587"/>
        <v>45236</v>
      </c>
      <c r="L2293" s="5">
        <f t="shared" si="588"/>
        <v>11</v>
      </c>
      <c r="M2293" s="5">
        <f t="shared" si="589"/>
        <v>2023</v>
      </c>
      <c r="N2293" s="96">
        <v>380</v>
      </c>
      <c r="O2293" s="6">
        <f>-N2293</f>
        <v>-380</v>
      </c>
      <c r="P2293" s="6">
        <f t="shared" si="593"/>
        <v>0</v>
      </c>
      <c r="Q2293" s="7">
        <f t="shared" si="597"/>
        <v>3833905.9500000025</v>
      </c>
      <c r="R2293" s="44" t="str">
        <f>VLOOKUP(F2293,'Set up'!$A$2:$E$70,5,FALSE)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585"/>
        <v>11</v>
      </c>
      <c r="C2294" s="5">
        <f t="shared" si="586"/>
        <v>2023</v>
      </c>
      <c r="D2294" s="88" t="s">
        <v>2153</v>
      </c>
      <c r="E2294" s="5" t="str">
        <f>VLOOKUP(F2294,'Set up'!$A$2:$C$70,2,FALSE)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up'!$A$2:$C$70,3,FALSE)</f>
        <v>Cash</v>
      </c>
      <c r="J2294" s="5">
        <f>VLOOKUP(F2294,'Set up'!$A$2:$D$70,4,FALSE)</f>
        <v>0</v>
      </c>
      <c r="K2294" s="4">
        <f t="shared" si="587"/>
        <v>45237</v>
      </c>
      <c r="L2294" s="5">
        <f t="shared" si="588"/>
        <v>11</v>
      </c>
      <c r="M2294" s="5">
        <f t="shared" si="589"/>
        <v>2023</v>
      </c>
      <c r="N2294" s="96">
        <v>1738</v>
      </c>
      <c r="O2294" s="6">
        <f t="shared" ref="O2294:O2298" si="600">-N2294</f>
        <v>-1738</v>
      </c>
      <c r="P2294" s="6">
        <f t="shared" si="593"/>
        <v>0</v>
      </c>
      <c r="Q2294" s="7">
        <f t="shared" si="597"/>
        <v>3835643.9500000025</v>
      </c>
      <c r="R2294" s="44" t="str">
        <f>VLOOKUP(F2294,'Set up'!$A$2:$E$70,5,FALSE)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585"/>
        <v>11</v>
      </c>
      <c r="C2295" s="5">
        <f t="shared" si="586"/>
        <v>2023</v>
      </c>
      <c r="D2295" s="88" t="s">
        <v>2153</v>
      </c>
      <c r="E2295" s="5" t="str">
        <f>VLOOKUP(F2295,'Set up'!$A$2:$C$70,2,FALSE)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up'!$A$2:$C$70,3,FALSE)</f>
        <v>Cash</v>
      </c>
      <c r="J2295" s="5">
        <f>VLOOKUP(F2295,'Set up'!$A$2:$D$70,4,FALSE)</f>
        <v>0</v>
      </c>
      <c r="K2295" s="4">
        <f t="shared" si="587"/>
        <v>45237</v>
      </c>
      <c r="L2295" s="5">
        <f t="shared" si="588"/>
        <v>11</v>
      </c>
      <c r="M2295" s="5">
        <f t="shared" si="589"/>
        <v>2023</v>
      </c>
      <c r="N2295" s="96">
        <v>450</v>
      </c>
      <c r="O2295" s="6">
        <f t="shared" si="600"/>
        <v>-450</v>
      </c>
      <c r="P2295" s="6">
        <f t="shared" si="593"/>
        <v>0</v>
      </c>
      <c r="Q2295" s="7">
        <f t="shared" si="597"/>
        <v>3836093.9500000025</v>
      </c>
      <c r="R2295" s="44" t="str">
        <f>VLOOKUP(F2295,'Set up'!$A$2:$E$70,5,FALSE)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585"/>
        <v>11</v>
      </c>
      <c r="C2296" s="5">
        <f t="shared" si="586"/>
        <v>2023</v>
      </c>
      <c r="D2296" s="88" t="s">
        <v>2153</v>
      </c>
      <c r="E2296" s="5" t="str">
        <f>VLOOKUP(F2296,'Set up'!$A$2:$C$70,2,FALSE)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up'!$A$2:$C$70,3,FALSE)</f>
        <v>Cash</v>
      </c>
      <c r="J2296" s="5">
        <f>VLOOKUP(F2296,'Set up'!$A$2:$D$70,4,FALSE)</f>
        <v>0</v>
      </c>
      <c r="K2296" s="4">
        <f t="shared" si="587"/>
        <v>45237</v>
      </c>
      <c r="L2296" s="5">
        <f t="shared" si="588"/>
        <v>11</v>
      </c>
      <c r="M2296" s="5">
        <f t="shared" si="589"/>
        <v>2023</v>
      </c>
      <c r="N2296" s="96">
        <v>277.5</v>
      </c>
      <c r="O2296" s="6">
        <f t="shared" si="600"/>
        <v>-277.5</v>
      </c>
      <c r="P2296" s="6">
        <f t="shared" si="593"/>
        <v>0</v>
      </c>
      <c r="Q2296" s="7">
        <f t="shared" si="597"/>
        <v>3836371.4500000025</v>
      </c>
      <c r="R2296" s="44" t="str">
        <f>VLOOKUP(F2296,'Set up'!$A$2:$E$70,5,FALSE)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585"/>
        <v>11</v>
      </c>
      <c r="C2297" s="5">
        <f t="shared" si="586"/>
        <v>2023</v>
      </c>
      <c r="D2297" s="88" t="s">
        <v>2153</v>
      </c>
      <c r="E2297" s="5" t="str">
        <f>VLOOKUP(F2297,'Set up'!$A$2:$C$70,2,FALSE)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up'!$A$2:$C$70,3,FALSE)</f>
        <v>Cash</v>
      </c>
      <c r="J2297" s="5">
        <f>VLOOKUP(F2297,'Set up'!$A$2:$D$70,4,FALSE)</f>
        <v>0</v>
      </c>
      <c r="K2297" s="4">
        <f t="shared" si="587"/>
        <v>45237</v>
      </c>
      <c r="L2297" s="5">
        <f t="shared" si="588"/>
        <v>11</v>
      </c>
      <c r="M2297" s="5">
        <f t="shared" si="589"/>
        <v>2023</v>
      </c>
      <c r="N2297" s="96">
        <v>95</v>
      </c>
      <c r="O2297" s="6">
        <f t="shared" si="600"/>
        <v>-95</v>
      </c>
      <c r="P2297" s="6">
        <f t="shared" si="593"/>
        <v>0</v>
      </c>
      <c r="Q2297" s="7">
        <f t="shared" si="597"/>
        <v>3836466.4500000025</v>
      </c>
      <c r="R2297" s="44" t="str">
        <f>VLOOKUP(F2297,'Set up'!$A$2:$E$70,5,FALSE)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585"/>
        <v>11</v>
      </c>
      <c r="C2298" s="5">
        <f t="shared" si="586"/>
        <v>2023</v>
      </c>
      <c r="D2298" s="88" t="s">
        <v>2153</v>
      </c>
      <c r="E2298" s="5" t="str">
        <f>VLOOKUP(F2298,'Set up'!$A$2:$C$70,2,FALSE)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up'!$A$2:$C$70,3,FALSE)</f>
        <v>Cash</v>
      </c>
      <c r="J2298" s="5">
        <f>VLOOKUP(F2298,'Set up'!$A$2:$D$70,4,FALSE)</f>
        <v>0</v>
      </c>
      <c r="K2298" s="4">
        <f t="shared" si="587"/>
        <v>45237</v>
      </c>
      <c r="L2298" s="5">
        <f t="shared" si="588"/>
        <v>11</v>
      </c>
      <c r="M2298" s="5">
        <f t="shared" si="589"/>
        <v>2023</v>
      </c>
      <c r="N2298" s="96">
        <v>258</v>
      </c>
      <c r="O2298" s="6">
        <f t="shared" si="600"/>
        <v>-258</v>
      </c>
      <c r="P2298" s="6">
        <f t="shared" si="593"/>
        <v>0</v>
      </c>
      <c r="Q2298" s="7">
        <f t="shared" si="597"/>
        <v>3836724.4500000025</v>
      </c>
      <c r="R2298" s="44" t="str">
        <f>VLOOKUP(F2298,'Set up'!$A$2:$E$70,5,FALSE)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585"/>
        <v>11</v>
      </c>
      <c r="C2299" s="5">
        <f t="shared" si="586"/>
        <v>2023</v>
      </c>
      <c r="D2299" s="88" t="s">
        <v>2154</v>
      </c>
      <c r="E2299" s="5" t="str">
        <f>VLOOKUP(F2299,'Set up'!$A$2:$C$70,2,FALSE)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up'!$A$2:$C$70,3,FALSE)</f>
        <v>Cash</v>
      </c>
      <c r="J2299" s="5">
        <f>VLOOKUP(F2299,'Set up'!$A$2:$D$70,4,FALSE)</f>
        <v>0</v>
      </c>
      <c r="K2299" s="4">
        <f t="shared" si="587"/>
        <v>45239</v>
      </c>
      <c r="L2299" s="5">
        <f t="shared" si="588"/>
        <v>11</v>
      </c>
      <c r="M2299" s="5">
        <f t="shared" si="589"/>
        <v>2023</v>
      </c>
      <c r="N2299" s="96">
        <v>3212</v>
      </c>
      <c r="O2299" s="6">
        <f t="shared" ref="O2299:O2305" si="601">-N2299</f>
        <v>-3212</v>
      </c>
      <c r="P2299" s="6">
        <f t="shared" si="593"/>
        <v>0</v>
      </c>
      <c r="Q2299" s="7">
        <f t="shared" si="597"/>
        <v>3839936.4500000025</v>
      </c>
      <c r="R2299" s="44" t="str">
        <f>VLOOKUP(F2299,'Set up'!$A$2:$E$70,5,FALSE)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585"/>
        <v>11</v>
      </c>
      <c r="C2300" s="5">
        <f t="shared" si="586"/>
        <v>2023</v>
      </c>
      <c r="D2300" s="88" t="s">
        <v>2154</v>
      </c>
      <c r="E2300" s="5" t="str">
        <f>VLOOKUP(F2300,'Set up'!$A$2:$C$70,2,FALSE)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up'!$A$2:$C$70,3,FALSE)</f>
        <v>Cash</v>
      </c>
      <c r="J2300" s="5">
        <f>VLOOKUP(F2300,'Set up'!$A$2:$D$70,4,FALSE)</f>
        <v>0</v>
      </c>
      <c r="K2300" s="4">
        <f t="shared" si="587"/>
        <v>45239</v>
      </c>
      <c r="L2300" s="5">
        <f t="shared" si="588"/>
        <v>11</v>
      </c>
      <c r="M2300" s="5">
        <f t="shared" si="589"/>
        <v>2023</v>
      </c>
      <c r="N2300" s="96">
        <v>1295</v>
      </c>
      <c r="O2300" s="6">
        <f t="shared" si="601"/>
        <v>-1295</v>
      </c>
      <c r="P2300" s="6">
        <f t="shared" si="593"/>
        <v>0</v>
      </c>
      <c r="Q2300" s="7">
        <f t="shared" si="597"/>
        <v>3841231.4500000025</v>
      </c>
      <c r="R2300" s="44" t="str">
        <f>VLOOKUP(F2300,'Set up'!$A$2:$E$70,5,FALSE)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585"/>
        <v>11</v>
      </c>
      <c r="C2301" s="5">
        <f t="shared" si="586"/>
        <v>2023</v>
      </c>
      <c r="D2301" s="88" t="s">
        <v>2154</v>
      </c>
      <c r="E2301" s="5" t="str">
        <f>VLOOKUP(F2301,'Set up'!$A$2:$C$70,2,FALSE)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up'!$A$2:$C$70,3,FALSE)</f>
        <v>Cash</v>
      </c>
      <c r="J2301" s="5">
        <f>VLOOKUP(F2301,'Set up'!$A$2:$D$70,4,FALSE)</f>
        <v>0</v>
      </c>
      <c r="K2301" s="4">
        <f t="shared" si="587"/>
        <v>45239</v>
      </c>
      <c r="L2301" s="5">
        <f t="shared" si="588"/>
        <v>11</v>
      </c>
      <c r="M2301" s="5">
        <f t="shared" si="589"/>
        <v>2023</v>
      </c>
      <c r="N2301" s="96">
        <v>516</v>
      </c>
      <c r="O2301" s="6">
        <f t="shared" si="601"/>
        <v>-516</v>
      </c>
      <c r="P2301" s="6">
        <f t="shared" si="593"/>
        <v>0</v>
      </c>
      <c r="Q2301" s="7">
        <f t="shared" si="597"/>
        <v>3841747.4500000025</v>
      </c>
      <c r="R2301" s="44" t="str">
        <f>VLOOKUP(F2301,'Set up'!$A$2:$E$70,5,FALSE)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585"/>
        <v>11</v>
      </c>
      <c r="C2302" s="5">
        <f t="shared" si="586"/>
        <v>2023</v>
      </c>
      <c r="D2302" s="88" t="s">
        <v>2154</v>
      </c>
      <c r="E2302" s="5" t="str">
        <f>VLOOKUP(F2302,'Set up'!$A$2:$C$70,2,FALSE)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up'!$A$2:$C$70,3,FALSE)</f>
        <v>Cash</v>
      </c>
      <c r="J2302" s="5">
        <f>VLOOKUP(F2302,'Set up'!$A$2:$D$70,4,FALSE)</f>
        <v>0</v>
      </c>
      <c r="K2302" s="4">
        <f t="shared" si="587"/>
        <v>45239</v>
      </c>
      <c r="L2302" s="5">
        <f t="shared" si="588"/>
        <v>11</v>
      </c>
      <c r="M2302" s="5">
        <f t="shared" si="589"/>
        <v>2023</v>
      </c>
      <c r="N2302" s="96">
        <v>105</v>
      </c>
      <c r="O2302" s="6">
        <f t="shared" si="601"/>
        <v>-105</v>
      </c>
      <c r="P2302" s="6">
        <f t="shared" si="593"/>
        <v>0</v>
      </c>
      <c r="Q2302" s="7">
        <f t="shared" si="597"/>
        <v>3841852.4500000025</v>
      </c>
      <c r="R2302" s="44" t="str">
        <f>VLOOKUP(F2302,'Set up'!$A$2:$E$70,5,FALSE)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585"/>
        <v>11</v>
      </c>
      <c r="C2303" s="5">
        <f t="shared" si="586"/>
        <v>2023</v>
      </c>
      <c r="D2303" s="88" t="s">
        <v>2154</v>
      </c>
      <c r="E2303" s="5" t="str">
        <f>VLOOKUP(F2303,'Set up'!$A$2:$C$70,2,FALSE)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up'!$A$2:$C$70,3,FALSE)</f>
        <v>Cash</v>
      </c>
      <c r="J2303" s="5">
        <f>VLOOKUP(F2303,'Set up'!$A$2:$D$70,4,FALSE)</f>
        <v>0</v>
      </c>
      <c r="K2303" s="4">
        <f t="shared" si="587"/>
        <v>45239</v>
      </c>
      <c r="L2303" s="5">
        <f t="shared" si="588"/>
        <v>11</v>
      </c>
      <c r="M2303" s="5">
        <f t="shared" si="589"/>
        <v>2023</v>
      </c>
      <c r="N2303" s="96">
        <v>320</v>
      </c>
      <c r="O2303" s="6">
        <f t="shared" si="601"/>
        <v>-320</v>
      </c>
      <c r="P2303" s="6">
        <f t="shared" si="593"/>
        <v>0</v>
      </c>
      <c r="Q2303" s="7">
        <f t="shared" si="597"/>
        <v>3842172.4500000025</v>
      </c>
      <c r="R2303" s="44" t="str">
        <f>VLOOKUP(F2303,'Set up'!$A$2:$E$70,5,FALSE)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585"/>
        <v>11</v>
      </c>
      <c r="C2304" s="5">
        <f t="shared" si="586"/>
        <v>2023</v>
      </c>
      <c r="D2304" s="88" t="s">
        <v>2154</v>
      </c>
      <c r="E2304" s="5" t="str">
        <f>VLOOKUP(F2304,'Set up'!$A$2:$C$70,2,FALSE)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up'!$A$2:$C$70,3,FALSE)</f>
        <v>Cash</v>
      </c>
      <c r="J2304" s="5">
        <f>VLOOKUP(F2304,'Set up'!$A$2:$D$70,4,FALSE)</f>
        <v>0</v>
      </c>
      <c r="K2304" s="4">
        <f t="shared" si="587"/>
        <v>45239</v>
      </c>
      <c r="L2304" s="5">
        <f t="shared" si="588"/>
        <v>11</v>
      </c>
      <c r="M2304" s="5">
        <f t="shared" si="589"/>
        <v>2023</v>
      </c>
      <c r="N2304" s="96">
        <v>165</v>
      </c>
      <c r="O2304" s="6">
        <f t="shared" si="601"/>
        <v>-165</v>
      </c>
      <c r="P2304" s="6">
        <f t="shared" si="593"/>
        <v>0</v>
      </c>
      <c r="Q2304" s="7">
        <f t="shared" si="597"/>
        <v>3842337.4500000025</v>
      </c>
      <c r="R2304" s="44" t="str">
        <f>VLOOKUP(F2304,'Set up'!$A$2:$E$70,5,FALSE)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585"/>
        <v>11</v>
      </c>
      <c r="C2305" s="5">
        <f t="shared" si="586"/>
        <v>2023</v>
      </c>
      <c r="D2305" s="88" t="s">
        <v>2154</v>
      </c>
      <c r="E2305" s="5" t="str">
        <f>VLOOKUP(F2305,'Set up'!$A$2:$C$70,2,FALSE)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up'!$A$2:$C$70,3,FALSE)</f>
        <v>Cash</v>
      </c>
      <c r="J2305" s="5">
        <f>VLOOKUP(F2305,'Set up'!$A$2:$D$70,4,FALSE)</f>
        <v>0</v>
      </c>
      <c r="K2305" s="4">
        <f t="shared" si="587"/>
        <v>45239</v>
      </c>
      <c r="L2305" s="5">
        <f t="shared" si="588"/>
        <v>11</v>
      </c>
      <c r="M2305" s="5">
        <f t="shared" si="589"/>
        <v>2023</v>
      </c>
      <c r="N2305" s="96">
        <v>192</v>
      </c>
      <c r="O2305" s="6">
        <f t="shared" si="601"/>
        <v>-192</v>
      </c>
      <c r="P2305" s="6">
        <f t="shared" si="593"/>
        <v>0</v>
      </c>
      <c r="Q2305" s="7">
        <f t="shared" si="597"/>
        <v>3842529.4500000025</v>
      </c>
      <c r="R2305" s="44" t="str">
        <f>VLOOKUP(F2305,'Set up'!$A$2:$E$70,5,FALSE)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585"/>
        <v>11</v>
      </c>
      <c r="C2306" s="5">
        <f t="shared" si="586"/>
        <v>2023</v>
      </c>
      <c r="D2306" s="88" t="s">
        <v>2155</v>
      </c>
      <c r="E2306" s="5" t="str">
        <f>VLOOKUP(F2306,'Set up'!$A$2:$C$70,2,FALSE)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up'!$A$2:$C$70,3,FALSE)</f>
        <v>Cash</v>
      </c>
      <c r="J2306" s="5">
        <f>VLOOKUP(F2306,'Set up'!$A$2:$D$70,4,FALSE)</f>
        <v>0</v>
      </c>
      <c r="K2306" s="4">
        <f t="shared" si="587"/>
        <v>45240</v>
      </c>
      <c r="L2306" s="5">
        <f t="shared" si="588"/>
        <v>11</v>
      </c>
      <c r="M2306" s="5">
        <f t="shared" si="589"/>
        <v>2023</v>
      </c>
      <c r="N2306" s="96">
        <v>1000</v>
      </c>
      <c r="O2306" s="6">
        <f t="shared" ref="O2306:O2311" si="602">-N2306</f>
        <v>-1000</v>
      </c>
      <c r="P2306" s="6">
        <f t="shared" si="593"/>
        <v>0</v>
      </c>
      <c r="Q2306" s="7">
        <f t="shared" si="597"/>
        <v>3843529.4500000025</v>
      </c>
      <c r="R2306" s="44" t="str">
        <f>VLOOKUP(F2306,'Set up'!$A$2:$E$70,5,FALSE)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ref="B2307:B2370" si="603">MONTH(A2307)</f>
        <v>11</v>
      </c>
      <c r="C2307" s="5">
        <f t="shared" ref="C2307:C2370" si="604">YEAR(A2307)</f>
        <v>2023</v>
      </c>
      <c r="D2307" s="88" t="s">
        <v>2156</v>
      </c>
      <c r="E2307" s="5" t="str">
        <f>VLOOKUP(F2307,'Set up'!$A$2:$C$70,2,FALSE)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up'!$A$2:$C$70,3,FALSE)</f>
        <v>Cash</v>
      </c>
      <c r="J2307" s="5">
        <f>VLOOKUP(F2307,'Set up'!$A$2:$D$70,4,FALSE)</f>
        <v>0</v>
      </c>
      <c r="K2307" s="4">
        <f t="shared" ref="K2307:K2370" si="605">A2307+J2307</f>
        <v>45240</v>
      </c>
      <c r="L2307" s="5">
        <f t="shared" ref="L2307:L2370" si="606">MONTH(K2307)</f>
        <v>11</v>
      </c>
      <c r="M2307" s="5">
        <f t="shared" ref="M2307:M2370" si="607">YEAR(K2307)</f>
        <v>2023</v>
      </c>
      <c r="N2307" s="96">
        <v>125</v>
      </c>
      <c r="O2307" s="6">
        <f t="shared" si="602"/>
        <v>-125</v>
      </c>
      <c r="P2307" s="6">
        <f t="shared" si="593"/>
        <v>0</v>
      </c>
      <c r="Q2307" s="7">
        <f t="shared" si="597"/>
        <v>3843654.4500000025</v>
      </c>
      <c r="R2307" s="44" t="str">
        <f>VLOOKUP(F2307,'Set up'!$A$2:$E$70,5,FALSE)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603"/>
        <v>11</v>
      </c>
      <c r="C2308" s="5">
        <f t="shared" si="604"/>
        <v>2023</v>
      </c>
      <c r="D2308" s="88" t="s">
        <v>2157</v>
      </c>
      <c r="E2308" s="5" t="str">
        <f>VLOOKUP(F2308,'Set up'!$A$2:$C$70,2,FALSE)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up'!$A$2:$C$70,3,FALSE)</f>
        <v>Cash</v>
      </c>
      <c r="J2308" s="5">
        <f>VLOOKUP(F2308,'Set up'!$A$2:$D$70,4,FALSE)</f>
        <v>0</v>
      </c>
      <c r="K2308" s="4">
        <f t="shared" si="605"/>
        <v>45245</v>
      </c>
      <c r="L2308" s="5">
        <f t="shared" si="606"/>
        <v>11</v>
      </c>
      <c r="M2308" s="5">
        <f t="shared" si="607"/>
        <v>2023</v>
      </c>
      <c r="N2308" s="96">
        <v>3212</v>
      </c>
      <c r="O2308" s="6">
        <f t="shared" si="602"/>
        <v>-3212</v>
      </c>
      <c r="P2308" s="6">
        <f t="shared" si="593"/>
        <v>0</v>
      </c>
      <c r="Q2308" s="7">
        <f t="shared" si="597"/>
        <v>3846866.4500000025</v>
      </c>
      <c r="R2308" s="44" t="str">
        <f>VLOOKUP(F2308,'Set up'!$A$2:$E$70,5,FALSE)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603"/>
        <v>11</v>
      </c>
      <c r="C2309" s="5">
        <f t="shared" si="604"/>
        <v>2023</v>
      </c>
      <c r="D2309" s="88" t="s">
        <v>2157</v>
      </c>
      <c r="E2309" s="5" t="str">
        <f>VLOOKUP(F2309,'Set up'!$A$2:$C$70,2,FALSE)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up'!$A$2:$C$70,3,FALSE)</f>
        <v>Cash</v>
      </c>
      <c r="J2309" s="5">
        <f>VLOOKUP(F2309,'Set up'!$A$2:$D$70,4,FALSE)</f>
        <v>0</v>
      </c>
      <c r="K2309" s="4">
        <f t="shared" si="605"/>
        <v>45245</v>
      </c>
      <c r="L2309" s="5">
        <f t="shared" si="606"/>
        <v>11</v>
      </c>
      <c r="M2309" s="5">
        <f t="shared" si="607"/>
        <v>2023</v>
      </c>
      <c r="N2309" s="96">
        <v>1287.5999999999999</v>
      </c>
      <c r="O2309" s="6">
        <f t="shared" si="602"/>
        <v>-1287.5999999999999</v>
      </c>
      <c r="P2309" s="6">
        <f t="shared" si="593"/>
        <v>0</v>
      </c>
      <c r="Q2309" s="7">
        <f t="shared" si="597"/>
        <v>3848154.0500000026</v>
      </c>
      <c r="R2309" s="44" t="str">
        <f>VLOOKUP(F2309,'Set up'!$A$2:$E$70,5,FALSE)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603"/>
        <v>11</v>
      </c>
      <c r="C2310" s="5">
        <f t="shared" si="604"/>
        <v>2023</v>
      </c>
      <c r="D2310" s="88" t="s">
        <v>2157</v>
      </c>
      <c r="E2310" s="5" t="str">
        <f>VLOOKUP(F2310,'Set up'!$A$2:$C$70,2,FALSE)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up'!$A$2:$C$70,3,FALSE)</f>
        <v>Cash</v>
      </c>
      <c r="J2310" s="5">
        <f>VLOOKUP(F2310,'Set up'!$A$2:$D$70,4,FALSE)</f>
        <v>0</v>
      </c>
      <c r="K2310" s="4">
        <f t="shared" si="605"/>
        <v>45245</v>
      </c>
      <c r="L2310" s="5">
        <f t="shared" si="606"/>
        <v>11</v>
      </c>
      <c r="M2310" s="5">
        <f t="shared" si="607"/>
        <v>2023</v>
      </c>
      <c r="N2310" s="96">
        <v>702</v>
      </c>
      <c r="O2310" s="6">
        <f t="shared" si="602"/>
        <v>-702</v>
      </c>
      <c r="P2310" s="6">
        <f t="shared" si="593"/>
        <v>0</v>
      </c>
      <c r="Q2310" s="7">
        <f t="shared" si="597"/>
        <v>3848856.0500000026</v>
      </c>
      <c r="R2310" s="44" t="str">
        <f>VLOOKUP(F2310,'Set up'!$A$2:$E$70,5,FALSE)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603"/>
        <v>11</v>
      </c>
      <c r="C2311" s="5">
        <f t="shared" si="604"/>
        <v>2023</v>
      </c>
      <c r="D2311" s="88" t="s">
        <v>2157</v>
      </c>
      <c r="E2311" s="5" t="str">
        <f>VLOOKUP(F2311,'Set up'!$A$2:$C$70,2,FALSE)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up'!$A$2:$C$70,3,FALSE)</f>
        <v>Cash</v>
      </c>
      <c r="J2311" s="5">
        <f>VLOOKUP(F2311,'Set up'!$A$2:$D$70,4,FALSE)</f>
        <v>0</v>
      </c>
      <c r="K2311" s="4">
        <f t="shared" si="605"/>
        <v>45245</v>
      </c>
      <c r="L2311" s="5">
        <f t="shared" si="606"/>
        <v>11</v>
      </c>
      <c r="M2311" s="5">
        <f t="shared" si="607"/>
        <v>2023</v>
      </c>
      <c r="N2311" s="96">
        <v>1000</v>
      </c>
      <c r="O2311" s="6">
        <f t="shared" si="602"/>
        <v>-1000</v>
      </c>
      <c r="P2311" s="6">
        <f t="shared" si="593"/>
        <v>0</v>
      </c>
      <c r="Q2311" s="7">
        <f t="shared" si="597"/>
        <v>3849856.0500000026</v>
      </c>
      <c r="R2311" s="44" t="str">
        <f>VLOOKUP(F2311,'Set up'!$A$2:$E$70,5,FALSE)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603"/>
        <v>11</v>
      </c>
      <c r="C2312" s="5">
        <f t="shared" si="604"/>
        <v>2023</v>
      </c>
      <c r="D2312" s="88" t="s">
        <v>2158</v>
      </c>
      <c r="E2312" s="5" t="str">
        <f>VLOOKUP(F2312,'Set up'!$A$2:$C$70,2,FALSE)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up'!$A$2:$C$70,3,FALSE)</f>
        <v>Cash</v>
      </c>
      <c r="J2312" s="5">
        <f>VLOOKUP(F2312,'Set up'!$A$2:$D$70,4,FALSE)</f>
        <v>0</v>
      </c>
      <c r="K2312" s="4">
        <f t="shared" si="605"/>
        <v>45245</v>
      </c>
      <c r="L2312" s="5">
        <f t="shared" si="606"/>
        <v>11</v>
      </c>
      <c r="M2312" s="5">
        <f t="shared" si="607"/>
        <v>2023</v>
      </c>
      <c r="N2312" s="96">
        <v>567.6</v>
      </c>
      <c r="O2312" s="6">
        <f t="shared" ref="O2312:O2319" si="608">-N2312</f>
        <v>-567.6</v>
      </c>
      <c r="P2312" s="6">
        <f t="shared" si="593"/>
        <v>0</v>
      </c>
      <c r="Q2312" s="7">
        <f t="shared" si="597"/>
        <v>3850423.6500000027</v>
      </c>
      <c r="R2312" s="44" t="str">
        <f>VLOOKUP(F2312,'Set up'!$A$2:$E$70,5,FALSE)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603"/>
        <v>11</v>
      </c>
      <c r="C2313" s="5">
        <f t="shared" si="604"/>
        <v>2023</v>
      </c>
      <c r="D2313" s="88" t="s">
        <v>2159</v>
      </c>
      <c r="E2313" s="5" t="str">
        <f>VLOOKUP(F2313,'Set up'!$A$2:$C$70,2,FALSE)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up'!$A$2:$C$70,3,FALSE)</f>
        <v>120</v>
      </c>
      <c r="J2313" s="5">
        <f>VLOOKUP(F2313,'Set up'!$A$2:$D$70,4,FALSE)</f>
        <v>120</v>
      </c>
      <c r="K2313" s="4">
        <f t="shared" si="605"/>
        <v>45365</v>
      </c>
      <c r="L2313" s="5">
        <f t="shared" si="606"/>
        <v>3</v>
      </c>
      <c r="M2313" s="5">
        <f t="shared" si="607"/>
        <v>2024</v>
      </c>
      <c r="N2313" s="96">
        <v>8030</v>
      </c>
      <c r="O2313" s="6">
        <f t="shared" si="608"/>
        <v>-8030</v>
      </c>
      <c r="P2313" s="6">
        <f t="shared" si="593"/>
        <v>0</v>
      </c>
      <c r="Q2313" s="7">
        <f t="shared" si="597"/>
        <v>3858453.6500000027</v>
      </c>
      <c r="R2313" s="44" t="str">
        <f>VLOOKUP(F2313,'Set up'!$A$2:$E$70,5,FALSE)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603"/>
        <v>11</v>
      </c>
      <c r="C2314" s="5">
        <f t="shared" si="604"/>
        <v>2023</v>
      </c>
      <c r="D2314" s="88" t="s">
        <v>2159</v>
      </c>
      <c r="E2314" s="5" t="str">
        <f>VLOOKUP(F2314,'Set up'!$A$2:$C$70,2,FALSE)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up'!$A$2:$C$70,3,FALSE)</f>
        <v>120</v>
      </c>
      <c r="J2314" s="5">
        <f>VLOOKUP(F2314,'Set up'!$A$2:$D$70,4,FALSE)</f>
        <v>120</v>
      </c>
      <c r="K2314" s="4">
        <f t="shared" si="605"/>
        <v>45365</v>
      </c>
      <c r="L2314" s="5">
        <f t="shared" si="606"/>
        <v>3</v>
      </c>
      <c r="M2314" s="5">
        <f t="shared" si="607"/>
        <v>2024</v>
      </c>
      <c r="N2314" s="96">
        <v>2146</v>
      </c>
      <c r="O2314" s="6">
        <f t="shared" si="608"/>
        <v>-2146</v>
      </c>
      <c r="P2314" s="6">
        <f t="shared" si="593"/>
        <v>0</v>
      </c>
      <c r="Q2314" s="7">
        <f t="shared" si="597"/>
        <v>3860599.6500000027</v>
      </c>
      <c r="R2314" s="44" t="str">
        <f>VLOOKUP(F2314,'Set up'!$A$2:$E$70,5,FALSE)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603"/>
        <v>11</v>
      </c>
      <c r="C2315" s="5">
        <f t="shared" si="604"/>
        <v>2023</v>
      </c>
      <c r="D2315" s="88" t="s">
        <v>2159</v>
      </c>
      <c r="E2315" s="5" t="str">
        <f>VLOOKUP(F2315,'Set up'!$A$2:$C$70,2,FALSE)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up'!$A$2:$C$70,3,FALSE)</f>
        <v>120</v>
      </c>
      <c r="J2315" s="5">
        <f>VLOOKUP(F2315,'Set up'!$A$2:$D$70,4,FALSE)</f>
        <v>120</v>
      </c>
      <c r="K2315" s="4">
        <f t="shared" si="605"/>
        <v>45365</v>
      </c>
      <c r="L2315" s="5">
        <f t="shared" si="606"/>
        <v>3</v>
      </c>
      <c r="M2315" s="5">
        <f t="shared" si="607"/>
        <v>2024</v>
      </c>
      <c r="N2315" s="96">
        <v>575</v>
      </c>
      <c r="O2315" s="6">
        <f t="shared" si="608"/>
        <v>-575</v>
      </c>
      <c r="P2315" s="6">
        <f t="shared" si="593"/>
        <v>0</v>
      </c>
      <c r="Q2315" s="7">
        <f t="shared" si="597"/>
        <v>3861174.6500000027</v>
      </c>
      <c r="R2315" s="44" t="str">
        <f>VLOOKUP(F2315,'Set up'!$A$2:$E$70,5,FALSE)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603"/>
        <v>11</v>
      </c>
      <c r="C2316" s="5">
        <f t="shared" si="604"/>
        <v>2023</v>
      </c>
      <c r="D2316" s="88" t="s">
        <v>2159</v>
      </c>
      <c r="E2316" s="5" t="str">
        <f>VLOOKUP(F2316,'Set up'!$A$2:$C$70,2,FALSE)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up'!$A$2:$C$70,3,FALSE)</f>
        <v>120</v>
      </c>
      <c r="J2316" s="5">
        <f>VLOOKUP(F2316,'Set up'!$A$2:$D$70,4,FALSE)</f>
        <v>120</v>
      </c>
      <c r="K2316" s="4">
        <f t="shared" si="605"/>
        <v>45365</v>
      </c>
      <c r="L2316" s="5">
        <f t="shared" si="606"/>
        <v>3</v>
      </c>
      <c r="M2316" s="5">
        <f t="shared" si="607"/>
        <v>2024</v>
      </c>
      <c r="N2316" s="96">
        <v>840</v>
      </c>
      <c r="O2316" s="6">
        <f t="shared" si="608"/>
        <v>-840</v>
      </c>
      <c r="P2316" s="6">
        <f t="shared" si="593"/>
        <v>0</v>
      </c>
      <c r="Q2316" s="7">
        <f t="shared" si="597"/>
        <v>3862014.6500000027</v>
      </c>
      <c r="R2316" s="44" t="str">
        <f>VLOOKUP(F2316,'Set up'!$A$2:$E$70,5,FALSE)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603"/>
        <v>11</v>
      </c>
      <c r="C2317" s="5">
        <f t="shared" si="604"/>
        <v>2023</v>
      </c>
      <c r="D2317" s="88" t="s">
        <v>2159</v>
      </c>
      <c r="E2317" s="5" t="str">
        <f>VLOOKUP(F2317,'Set up'!$A$2:$C$70,2,FALSE)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up'!$A$2:$C$70,3,FALSE)</f>
        <v>120</v>
      </c>
      <c r="J2317" s="5">
        <f>VLOOKUP(F2317,'Set up'!$A$2:$D$70,4,FALSE)</f>
        <v>120</v>
      </c>
      <c r="K2317" s="4">
        <f t="shared" si="605"/>
        <v>45365</v>
      </c>
      <c r="L2317" s="5">
        <f t="shared" si="606"/>
        <v>3</v>
      </c>
      <c r="M2317" s="5">
        <f t="shared" si="607"/>
        <v>2024</v>
      </c>
      <c r="N2317" s="96">
        <v>420</v>
      </c>
      <c r="O2317" s="6">
        <f t="shared" si="608"/>
        <v>-420</v>
      </c>
      <c r="P2317" s="6">
        <f t="shared" si="593"/>
        <v>0</v>
      </c>
      <c r="Q2317" s="7">
        <f t="shared" si="597"/>
        <v>3862434.6500000027</v>
      </c>
      <c r="R2317" s="44" t="str">
        <f>VLOOKUP(F2317,'Set up'!$A$2:$E$70,5,FALSE)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603"/>
        <v>11</v>
      </c>
      <c r="C2318" s="5">
        <f t="shared" si="604"/>
        <v>2023</v>
      </c>
      <c r="D2318" s="88" t="s">
        <v>2159</v>
      </c>
      <c r="E2318" s="5" t="str">
        <f>VLOOKUP(F2318,'Set up'!$A$2:$C$70,2,FALSE)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up'!$A$2:$C$70,3,FALSE)</f>
        <v>120</v>
      </c>
      <c r="J2318" s="5">
        <f>VLOOKUP(F2318,'Set up'!$A$2:$D$70,4,FALSE)</f>
        <v>120</v>
      </c>
      <c r="K2318" s="4">
        <f t="shared" si="605"/>
        <v>45365</v>
      </c>
      <c r="L2318" s="5">
        <f t="shared" si="606"/>
        <v>3</v>
      </c>
      <c r="M2318" s="5">
        <f t="shared" si="607"/>
        <v>2024</v>
      </c>
      <c r="N2318" s="96">
        <v>395</v>
      </c>
      <c r="O2318" s="6">
        <f t="shared" si="608"/>
        <v>-395</v>
      </c>
      <c r="P2318" s="6">
        <f t="shared" si="593"/>
        <v>0</v>
      </c>
      <c r="Q2318" s="7">
        <f t="shared" si="597"/>
        <v>3862829.6500000027</v>
      </c>
      <c r="R2318" s="44" t="str">
        <f>VLOOKUP(F2318,'Set up'!$A$2:$E$70,5,FALSE)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603"/>
        <v>11</v>
      </c>
      <c r="C2319" s="5">
        <f t="shared" si="604"/>
        <v>2023</v>
      </c>
      <c r="D2319" s="88" t="s">
        <v>2160</v>
      </c>
      <c r="E2319" s="5" t="str">
        <f>VLOOKUP(F2319,'Set up'!$A$2:$C$70,2,FALSE)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up'!$A$2:$C$70,3,FALSE)</f>
        <v>120</v>
      </c>
      <c r="J2319" s="5">
        <f>VLOOKUP(F2319,'Set up'!$A$2:$D$70,4,FALSE)</f>
        <v>120</v>
      </c>
      <c r="K2319" s="4">
        <f t="shared" si="605"/>
        <v>45365</v>
      </c>
      <c r="L2319" s="5">
        <f t="shared" si="606"/>
        <v>3</v>
      </c>
      <c r="M2319" s="5">
        <f t="shared" si="607"/>
        <v>2024</v>
      </c>
      <c r="N2319" s="96">
        <v>1597.5</v>
      </c>
      <c r="O2319" s="6">
        <f t="shared" si="608"/>
        <v>-1597.5</v>
      </c>
      <c r="P2319" s="6">
        <f t="shared" si="593"/>
        <v>0</v>
      </c>
      <c r="Q2319" s="7">
        <f t="shared" si="597"/>
        <v>3864427.1500000027</v>
      </c>
      <c r="R2319" s="44" t="str">
        <f>VLOOKUP(F2319,'Set up'!$A$2:$E$70,5,FALSE)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603"/>
        <v>11</v>
      </c>
      <c r="C2320" s="5">
        <f t="shared" si="604"/>
        <v>2023</v>
      </c>
      <c r="D2320" s="88" t="s">
        <v>2161</v>
      </c>
      <c r="E2320" s="5" t="str">
        <f>VLOOKUP(F2320,'Set up'!$A$2:$C$70,2,FALSE)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up'!$A$2:$C$70,3,FALSE)</f>
        <v>Cash</v>
      </c>
      <c r="J2320" s="5">
        <f>VLOOKUP(F2320,'Set up'!$A$2:$D$70,4,FALSE)</f>
        <v>0</v>
      </c>
      <c r="K2320" s="4">
        <f t="shared" si="605"/>
        <v>45245</v>
      </c>
      <c r="L2320" s="5">
        <f t="shared" si="606"/>
        <v>11</v>
      </c>
      <c r="M2320" s="5">
        <f t="shared" si="607"/>
        <v>2023</v>
      </c>
      <c r="N2320" s="96">
        <v>1738</v>
      </c>
      <c r="O2320" s="6">
        <f>-151.6-1000-586.4</f>
        <v>-1738</v>
      </c>
      <c r="P2320" s="6">
        <f t="shared" si="593"/>
        <v>0</v>
      </c>
      <c r="Q2320" s="7">
        <f t="shared" si="597"/>
        <v>3866165.1500000027</v>
      </c>
      <c r="R2320" s="44" t="str">
        <f>VLOOKUP(F2320,'Set up'!$A$2:$E$70,5,FALSE)</f>
        <v>Trsf</v>
      </c>
      <c r="S2320" s="1" t="s">
        <v>3047</v>
      </c>
    </row>
    <row r="2321" spans="1:19" ht="15" customHeight="1" x14ac:dyDescent="0.35">
      <c r="A2321" s="4">
        <v>45245</v>
      </c>
      <c r="B2321" s="5">
        <f t="shared" si="603"/>
        <v>11</v>
      </c>
      <c r="C2321" s="5">
        <f t="shared" si="604"/>
        <v>2023</v>
      </c>
      <c r="D2321" s="88" t="s">
        <v>2161</v>
      </c>
      <c r="E2321" s="5" t="str">
        <f>VLOOKUP(F2321,'Set up'!$A$2:$C$70,2,FALSE)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up'!$A$2:$C$70,3,FALSE)</f>
        <v>Cash</v>
      </c>
      <c r="J2321" s="5">
        <f>VLOOKUP(F2321,'Set up'!$A$2:$D$70,4,FALSE)</f>
        <v>0</v>
      </c>
      <c r="K2321" s="4">
        <f t="shared" si="605"/>
        <v>45245</v>
      </c>
      <c r="L2321" s="5">
        <f t="shared" si="606"/>
        <v>11</v>
      </c>
      <c r="M2321" s="5">
        <f t="shared" si="607"/>
        <v>2023</v>
      </c>
      <c r="N2321" s="96">
        <v>405</v>
      </c>
      <c r="O2321" s="6">
        <f t="shared" ref="O2321:O2325" si="609">-N2321</f>
        <v>-405</v>
      </c>
      <c r="P2321" s="6">
        <f t="shared" si="593"/>
        <v>0</v>
      </c>
      <c r="Q2321" s="7">
        <f t="shared" si="597"/>
        <v>3866570.1500000027</v>
      </c>
      <c r="R2321" s="44" t="str">
        <f>VLOOKUP(F2321,'Set up'!$A$2:$E$70,5,FALSE)</f>
        <v>Trsf</v>
      </c>
      <c r="S2321" s="1" t="s">
        <v>3039</v>
      </c>
    </row>
    <row r="2322" spans="1:19" ht="15" customHeight="1" x14ac:dyDescent="0.35">
      <c r="A2322" s="4">
        <v>45245</v>
      </c>
      <c r="B2322" s="5">
        <f t="shared" si="603"/>
        <v>11</v>
      </c>
      <c r="C2322" s="5">
        <f t="shared" si="604"/>
        <v>2023</v>
      </c>
      <c r="D2322" s="88" t="s">
        <v>2161</v>
      </c>
      <c r="E2322" s="5" t="str">
        <f>VLOOKUP(F2322,'Set up'!$A$2:$C$70,2,FALSE)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up'!$A$2:$C$70,3,FALSE)</f>
        <v>Cash</v>
      </c>
      <c r="J2322" s="5">
        <f>VLOOKUP(F2322,'Set up'!$A$2:$D$70,4,FALSE)</f>
        <v>0</v>
      </c>
      <c r="K2322" s="4">
        <f t="shared" si="605"/>
        <v>45245</v>
      </c>
      <c r="L2322" s="5">
        <f t="shared" si="606"/>
        <v>11</v>
      </c>
      <c r="M2322" s="5">
        <f t="shared" si="607"/>
        <v>2023</v>
      </c>
      <c r="N2322" s="96">
        <v>187.5</v>
      </c>
      <c r="O2322" s="6">
        <f t="shared" si="609"/>
        <v>-187.5</v>
      </c>
      <c r="P2322" s="6">
        <f t="shared" si="593"/>
        <v>0</v>
      </c>
      <c r="Q2322" s="7">
        <f t="shared" si="597"/>
        <v>3866757.6500000027</v>
      </c>
      <c r="R2322" s="44" t="str">
        <f>VLOOKUP(F2322,'Set up'!$A$2:$E$70,5,FALSE)</f>
        <v>Trsf</v>
      </c>
      <c r="S2322" s="1" t="s">
        <v>3041</v>
      </c>
    </row>
    <row r="2323" spans="1:19" ht="15" customHeight="1" x14ac:dyDescent="0.35">
      <c r="A2323" s="4">
        <v>45245</v>
      </c>
      <c r="B2323" s="5">
        <f t="shared" si="603"/>
        <v>11</v>
      </c>
      <c r="C2323" s="5">
        <f t="shared" si="604"/>
        <v>2023</v>
      </c>
      <c r="D2323" s="88" t="s">
        <v>2161</v>
      </c>
      <c r="E2323" s="5" t="str">
        <f>VLOOKUP(F2323,'Set up'!$A$2:$C$70,2,FALSE)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up'!$A$2:$C$70,3,FALSE)</f>
        <v>Cash</v>
      </c>
      <c r="J2323" s="5">
        <f>VLOOKUP(F2323,'Set up'!$A$2:$D$70,4,FALSE)</f>
        <v>0</v>
      </c>
      <c r="K2323" s="4">
        <f t="shared" si="605"/>
        <v>45245</v>
      </c>
      <c r="L2323" s="5">
        <f t="shared" si="606"/>
        <v>11</v>
      </c>
      <c r="M2323" s="5">
        <f t="shared" si="607"/>
        <v>2023</v>
      </c>
      <c r="N2323" s="96">
        <v>105</v>
      </c>
      <c r="O2323" s="6">
        <f t="shared" si="609"/>
        <v>-105</v>
      </c>
      <c r="P2323" s="6">
        <f t="shared" ref="P2323:P2386" si="610">SUM(N2323+O2323)</f>
        <v>0</v>
      </c>
      <c r="Q2323" s="7">
        <f t="shared" si="597"/>
        <v>3866862.6500000027</v>
      </c>
      <c r="R2323" s="44" t="str">
        <f>VLOOKUP(F2323,'Set up'!$A$2:$E$70,5,FALSE)</f>
        <v>Trsf</v>
      </c>
      <c r="S2323" s="1" t="s">
        <v>3040</v>
      </c>
    </row>
    <row r="2324" spans="1:19" ht="15" customHeight="1" x14ac:dyDescent="0.35">
      <c r="A2324" s="4">
        <v>45245</v>
      </c>
      <c r="B2324" s="5">
        <f t="shared" si="603"/>
        <v>11</v>
      </c>
      <c r="C2324" s="5">
        <f t="shared" si="604"/>
        <v>2023</v>
      </c>
      <c r="D2324" s="88" t="s">
        <v>2161</v>
      </c>
      <c r="E2324" s="5" t="str">
        <f>VLOOKUP(F2324,'Set up'!$A$2:$C$70,2,FALSE)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up'!$A$2:$C$70,3,FALSE)</f>
        <v>Cash</v>
      </c>
      <c r="J2324" s="5">
        <f>VLOOKUP(F2324,'Set up'!$A$2:$D$70,4,FALSE)</f>
        <v>0</v>
      </c>
      <c r="K2324" s="4">
        <f t="shared" si="605"/>
        <v>45245</v>
      </c>
      <c r="L2324" s="5">
        <f t="shared" si="606"/>
        <v>11</v>
      </c>
      <c r="M2324" s="5">
        <f t="shared" si="607"/>
        <v>2023</v>
      </c>
      <c r="N2324" s="96">
        <v>390</v>
      </c>
      <c r="O2324" s="6">
        <f>-216.1-173.9</f>
        <v>-390</v>
      </c>
      <c r="P2324" s="6">
        <f t="shared" si="610"/>
        <v>0</v>
      </c>
      <c r="Q2324" s="7">
        <f t="shared" si="597"/>
        <v>3867252.6500000027</v>
      </c>
      <c r="R2324" s="44" t="str">
        <f>VLOOKUP(F2324,'Set up'!$A$2:$E$70,5,FALSE)</f>
        <v>Trsf</v>
      </c>
      <c r="S2324" s="1" t="s">
        <v>3042</v>
      </c>
    </row>
    <row r="2325" spans="1:19" ht="15" customHeight="1" x14ac:dyDescent="0.35">
      <c r="A2325" s="4">
        <v>45245</v>
      </c>
      <c r="B2325" s="5">
        <f t="shared" si="603"/>
        <v>11</v>
      </c>
      <c r="C2325" s="5">
        <f t="shared" si="604"/>
        <v>2023</v>
      </c>
      <c r="D2325" s="88" t="s">
        <v>2161</v>
      </c>
      <c r="E2325" s="5" t="str">
        <f>VLOOKUP(F2325,'Set up'!$A$2:$C$70,2,FALSE)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up'!$A$2:$C$70,3,FALSE)</f>
        <v>Cash</v>
      </c>
      <c r="J2325" s="5">
        <f>VLOOKUP(F2325,'Set up'!$A$2:$D$70,4,FALSE)</f>
        <v>0</v>
      </c>
      <c r="K2325" s="4">
        <f t="shared" si="605"/>
        <v>45245</v>
      </c>
      <c r="L2325" s="5">
        <f t="shared" si="606"/>
        <v>11</v>
      </c>
      <c r="M2325" s="5">
        <f t="shared" si="607"/>
        <v>2023</v>
      </c>
      <c r="N2325" s="96">
        <v>260</v>
      </c>
      <c r="O2325" s="6">
        <f t="shared" si="609"/>
        <v>-260</v>
      </c>
      <c r="P2325" s="6">
        <f t="shared" si="610"/>
        <v>0</v>
      </c>
      <c r="Q2325" s="7">
        <f t="shared" si="597"/>
        <v>3867512.6500000027</v>
      </c>
      <c r="R2325" s="44" t="str">
        <f>VLOOKUP(F2325,'Set up'!$A$2:$E$70,5,FALSE)</f>
        <v>Trsf</v>
      </c>
      <c r="S2325" s="1" t="s">
        <v>3043</v>
      </c>
    </row>
    <row r="2326" spans="1:19" ht="15" customHeight="1" x14ac:dyDescent="0.35">
      <c r="A2326" s="4">
        <v>45247</v>
      </c>
      <c r="B2326" s="5">
        <f t="shared" si="603"/>
        <v>11</v>
      </c>
      <c r="C2326" s="5">
        <f t="shared" si="604"/>
        <v>2023</v>
      </c>
      <c r="D2326" s="88" t="s">
        <v>2162</v>
      </c>
      <c r="E2326" s="5" t="str">
        <f>VLOOKUP(F2326,'Set up'!$A$2:$C$70,2,FALSE)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up'!$A$2:$C$70,3,FALSE)</f>
        <v>Cash</v>
      </c>
      <c r="J2326" s="5">
        <f>VLOOKUP(F2326,'Set up'!$A$2:$D$70,4,FALSE)</f>
        <v>0</v>
      </c>
      <c r="K2326" s="4">
        <f t="shared" si="605"/>
        <v>45247</v>
      </c>
      <c r="L2326" s="5">
        <f t="shared" si="606"/>
        <v>11</v>
      </c>
      <c r="M2326" s="5">
        <f t="shared" si="607"/>
        <v>2023</v>
      </c>
      <c r="N2326" s="96">
        <v>62.5</v>
      </c>
      <c r="O2326" s="6">
        <f>-N2326</f>
        <v>-62.5</v>
      </c>
      <c r="P2326" s="6">
        <f t="shared" si="610"/>
        <v>0</v>
      </c>
      <c r="Q2326" s="7">
        <f t="shared" si="597"/>
        <v>3867575.1500000027</v>
      </c>
      <c r="R2326" s="44" t="str">
        <f>VLOOKUP(F2326,'Set up'!$A$2:$E$70,5,FALSE)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603"/>
        <v>11</v>
      </c>
      <c r="C2327" s="5">
        <f t="shared" si="604"/>
        <v>2023</v>
      </c>
      <c r="D2327" s="88" t="s">
        <v>2163</v>
      </c>
      <c r="E2327" s="5" t="str">
        <f>VLOOKUP(F2327,'Set up'!$A$2:$C$70,2,FALSE)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up'!$A$2:$C$70,3,FALSE)</f>
        <v>Cash</v>
      </c>
      <c r="J2327" s="5">
        <f>VLOOKUP(F2327,'Set up'!$A$2:$D$70,4,FALSE)</f>
        <v>0</v>
      </c>
      <c r="K2327" s="4">
        <f t="shared" si="605"/>
        <v>45247</v>
      </c>
      <c r="L2327" s="5">
        <f t="shared" si="606"/>
        <v>11</v>
      </c>
      <c r="M2327" s="5">
        <f t="shared" si="607"/>
        <v>2023</v>
      </c>
      <c r="N2327" s="96">
        <v>1606</v>
      </c>
      <c r="O2327" s="6">
        <f>-N2327</f>
        <v>-1606</v>
      </c>
      <c r="P2327" s="6">
        <f t="shared" si="610"/>
        <v>0</v>
      </c>
      <c r="Q2327" s="7">
        <f t="shared" si="597"/>
        <v>3869181.1500000027</v>
      </c>
      <c r="R2327" s="44" t="str">
        <f>VLOOKUP(F2327,'Set up'!$A$2:$E$70,5,FALSE)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603"/>
        <v>11</v>
      </c>
      <c r="C2328" s="5">
        <f t="shared" si="604"/>
        <v>2023</v>
      </c>
      <c r="D2328" s="88" t="s">
        <v>2163</v>
      </c>
      <c r="E2328" s="5" t="str">
        <f>VLOOKUP(F2328,'Set up'!$A$2:$C$70,2,FALSE)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up'!$A$2:$C$70,3,FALSE)</f>
        <v>Cash</v>
      </c>
      <c r="J2328" s="5">
        <f>VLOOKUP(F2328,'Set up'!$A$2:$D$70,4,FALSE)</f>
        <v>0</v>
      </c>
      <c r="K2328" s="4">
        <f t="shared" si="605"/>
        <v>45247</v>
      </c>
      <c r="L2328" s="5">
        <f t="shared" si="606"/>
        <v>11</v>
      </c>
      <c r="M2328" s="5">
        <f t="shared" si="607"/>
        <v>2023</v>
      </c>
      <c r="N2328" s="96">
        <v>643.79999999999995</v>
      </c>
      <c r="O2328" s="6">
        <f>-N2328</f>
        <v>-643.79999999999995</v>
      </c>
      <c r="P2328" s="6">
        <f t="shared" si="610"/>
        <v>0</v>
      </c>
      <c r="Q2328" s="7">
        <f t="shared" si="597"/>
        <v>3869824.9500000025</v>
      </c>
      <c r="R2328" s="44" t="str">
        <f>VLOOKUP(F2328,'Set up'!$A$2:$E$70,5,FALSE)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603"/>
        <v>11</v>
      </c>
      <c r="C2329" s="5">
        <f t="shared" si="604"/>
        <v>2023</v>
      </c>
      <c r="D2329" s="88" t="s">
        <v>2163</v>
      </c>
      <c r="E2329" s="5" t="str">
        <f>VLOOKUP(F2329,'Set up'!$A$2:$C$70,2,FALSE)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up'!$A$2:$C$70,3,FALSE)</f>
        <v>Cash</v>
      </c>
      <c r="J2329" s="5">
        <f>VLOOKUP(F2329,'Set up'!$A$2:$D$70,4,FALSE)</f>
        <v>0</v>
      </c>
      <c r="K2329" s="4">
        <f t="shared" si="605"/>
        <v>45247</v>
      </c>
      <c r="L2329" s="5">
        <f t="shared" si="606"/>
        <v>11</v>
      </c>
      <c r="M2329" s="5">
        <f t="shared" si="607"/>
        <v>2023</v>
      </c>
      <c r="N2329" s="96">
        <v>468</v>
      </c>
      <c r="O2329" s="6">
        <f>-N2329</f>
        <v>-468</v>
      </c>
      <c r="P2329" s="6">
        <f t="shared" si="610"/>
        <v>0</v>
      </c>
      <c r="Q2329" s="7">
        <f t="shared" si="597"/>
        <v>3870292.9500000025</v>
      </c>
      <c r="R2329" s="44" t="str">
        <f>VLOOKUP(F2329,'Set up'!$A$2:$E$70,5,FALSE)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603"/>
        <v>11</v>
      </c>
      <c r="C2330" s="5">
        <f t="shared" si="604"/>
        <v>2023</v>
      </c>
      <c r="D2330" s="88" t="s">
        <v>2164</v>
      </c>
      <c r="E2330" s="5" t="str">
        <f>VLOOKUP(F2330,'Set up'!$A$2:$C$70,2,FALSE)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up'!$A$2:$C$70,3,FALSE)</f>
        <v>Cash</v>
      </c>
      <c r="J2330" s="5">
        <f>VLOOKUP(F2330,'Set up'!$A$2:$D$70,4,FALSE)</f>
        <v>0</v>
      </c>
      <c r="K2330" s="4">
        <f t="shared" si="605"/>
        <v>45251</v>
      </c>
      <c r="L2330" s="5">
        <f t="shared" si="606"/>
        <v>11</v>
      </c>
      <c r="M2330" s="5">
        <f t="shared" si="607"/>
        <v>2023</v>
      </c>
      <c r="N2330" s="96">
        <v>3212</v>
      </c>
      <c r="O2330" s="6">
        <f t="shared" ref="O2330:O2334" si="611">-N2330</f>
        <v>-3212</v>
      </c>
      <c r="P2330" s="6">
        <f t="shared" si="610"/>
        <v>0</v>
      </c>
      <c r="Q2330" s="7">
        <f t="shared" si="597"/>
        <v>3873504.9500000025</v>
      </c>
      <c r="R2330" s="44" t="str">
        <f>VLOOKUP(F2330,'Set up'!$A$2:$E$70,5,FALSE)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603"/>
        <v>11</v>
      </c>
      <c r="C2331" s="5">
        <f t="shared" si="604"/>
        <v>2023</v>
      </c>
      <c r="D2331" s="88" t="s">
        <v>2164</v>
      </c>
      <c r="E2331" s="5" t="str">
        <f>VLOOKUP(F2331,'Set up'!$A$2:$C$70,2,FALSE)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up'!$A$2:$C$70,3,FALSE)</f>
        <v>Cash</v>
      </c>
      <c r="J2331" s="5">
        <f>VLOOKUP(F2331,'Set up'!$A$2:$D$70,4,FALSE)</f>
        <v>0</v>
      </c>
      <c r="K2331" s="4">
        <f t="shared" si="605"/>
        <v>45251</v>
      </c>
      <c r="L2331" s="5">
        <f t="shared" si="606"/>
        <v>11</v>
      </c>
      <c r="M2331" s="5">
        <f t="shared" si="607"/>
        <v>2023</v>
      </c>
      <c r="N2331" s="96">
        <v>1036</v>
      </c>
      <c r="O2331" s="6">
        <f t="shared" si="611"/>
        <v>-1036</v>
      </c>
      <c r="P2331" s="6">
        <f t="shared" si="610"/>
        <v>0</v>
      </c>
      <c r="Q2331" s="7">
        <f t="shared" si="597"/>
        <v>3874540.9500000025</v>
      </c>
      <c r="R2331" s="44" t="str">
        <f>VLOOKUP(F2331,'Set up'!$A$2:$E$70,5,FALSE)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603"/>
        <v>11</v>
      </c>
      <c r="C2332" s="5">
        <f t="shared" si="604"/>
        <v>2023</v>
      </c>
      <c r="D2332" s="88" t="s">
        <v>2164</v>
      </c>
      <c r="E2332" s="5" t="str">
        <f>VLOOKUP(F2332,'Set up'!$A$2:$C$70,2,FALSE)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up'!$A$2:$C$70,3,FALSE)</f>
        <v>Cash</v>
      </c>
      <c r="J2332" s="5">
        <f>VLOOKUP(F2332,'Set up'!$A$2:$D$70,4,FALSE)</f>
        <v>0</v>
      </c>
      <c r="K2332" s="4">
        <f t="shared" si="605"/>
        <v>45251</v>
      </c>
      <c r="L2332" s="5">
        <f t="shared" si="606"/>
        <v>11</v>
      </c>
      <c r="M2332" s="5">
        <f t="shared" si="607"/>
        <v>2023</v>
      </c>
      <c r="N2332" s="96">
        <v>851.4</v>
      </c>
      <c r="O2332" s="6">
        <f t="shared" si="611"/>
        <v>-851.4</v>
      </c>
      <c r="P2332" s="6">
        <f t="shared" si="610"/>
        <v>0</v>
      </c>
      <c r="Q2332" s="7">
        <f t="shared" si="597"/>
        <v>3875392.3500000024</v>
      </c>
      <c r="R2332" s="44" t="str">
        <f>VLOOKUP(F2332,'Set up'!$A$2:$E$70,5,FALSE)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603"/>
        <v>11</v>
      </c>
      <c r="C2333" s="5">
        <f t="shared" si="604"/>
        <v>2023</v>
      </c>
      <c r="D2333" s="88" t="s">
        <v>2164</v>
      </c>
      <c r="E2333" s="5" t="str">
        <f>VLOOKUP(F2333,'Set up'!$A$2:$C$70,2,FALSE)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up'!$A$2:$C$70,3,FALSE)</f>
        <v>Cash</v>
      </c>
      <c r="J2333" s="5">
        <f>VLOOKUP(F2333,'Set up'!$A$2:$D$70,4,FALSE)</f>
        <v>0</v>
      </c>
      <c r="K2333" s="4">
        <f t="shared" si="605"/>
        <v>45251</v>
      </c>
      <c r="L2333" s="5">
        <f t="shared" si="606"/>
        <v>11</v>
      </c>
      <c r="M2333" s="5">
        <f t="shared" si="607"/>
        <v>2023</v>
      </c>
      <c r="N2333" s="96">
        <v>105</v>
      </c>
      <c r="O2333" s="6">
        <f t="shared" si="611"/>
        <v>-105</v>
      </c>
      <c r="P2333" s="6">
        <f t="shared" si="610"/>
        <v>0</v>
      </c>
      <c r="Q2333" s="7">
        <f t="shared" ref="Q2333:Q2396" si="612">SUM(Q2332+N2333)</f>
        <v>3875497.3500000024</v>
      </c>
      <c r="R2333" s="44" t="str">
        <f>VLOOKUP(F2333,'Set up'!$A$2:$E$70,5,FALSE)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si="603"/>
        <v>11</v>
      </c>
      <c r="C2334" s="5">
        <f t="shared" si="604"/>
        <v>2023</v>
      </c>
      <c r="D2334" s="88" t="s">
        <v>2164</v>
      </c>
      <c r="E2334" s="5" t="str">
        <f>VLOOKUP(F2334,'Set up'!$A$2:$C$70,2,FALSE)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up'!$A$2:$C$70,3,FALSE)</f>
        <v>Cash</v>
      </c>
      <c r="J2334" s="5">
        <f>VLOOKUP(F2334,'Set up'!$A$2:$D$70,4,FALSE)</f>
        <v>0</v>
      </c>
      <c r="K2334" s="4">
        <f t="shared" si="605"/>
        <v>45251</v>
      </c>
      <c r="L2334" s="5">
        <f t="shared" si="606"/>
        <v>11</v>
      </c>
      <c r="M2334" s="5">
        <f t="shared" si="607"/>
        <v>2023</v>
      </c>
      <c r="N2334" s="96">
        <v>640</v>
      </c>
      <c r="O2334" s="6">
        <f t="shared" si="611"/>
        <v>-640</v>
      </c>
      <c r="P2334" s="6">
        <f t="shared" si="610"/>
        <v>0</v>
      </c>
      <c r="Q2334" s="7">
        <f t="shared" si="612"/>
        <v>3876137.3500000024</v>
      </c>
      <c r="R2334" s="44" t="str">
        <f>VLOOKUP(F2334,'Set up'!$A$2:$E$70,5,FALSE)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603"/>
        <v>11</v>
      </c>
      <c r="C2335" s="5">
        <f t="shared" si="604"/>
        <v>2023</v>
      </c>
      <c r="D2335" s="88" t="s">
        <v>2165</v>
      </c>
      <c r="E2335" s="5" t="str">
        <f>VLOOKUP(F2335,'Set up'!$A$2:$C$70,2,FALSE)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up'!$A$2:$C$70,3,FALSE)</f>
        <v>Cash</v>
      </c>
      <c r="J2335" s="5">
        <f>VLOOKUP(F2335,'Set up'!$A$2:$D$70,4,FALSE)</f>
        <v>0</v>
      </c>
      <c r="K2335" s="4">
        <f t="shared" si="605"/>
        <v>45251</v>
      </c>
      <c r="L2335" s="5">
        <f t="shared" si="606"/>
        <v>11</v>
      </c>
      <c r="M2335" s="5">
        <f t="shared" si="607"/>
        <v>2023</v>
      </c>
      <c r="N2335" s="96">
        <v>125</v>
      </c>
      <c r="O2335" s="6">
        <f>-N2335</f>
        <v>-125</v>
      </c>
      <c r="P2335" s="6">
        <f t="shared" si="610"/>
        <v>0</v>
      </c>
      <c r="Q2335" s="7">
        <f t="shared" si="612"/>
        <v>3876262.3500000024</v>
      </c>
      <c r="R2335" s="44" t="str">
        <f>VLOOKUP(F2335,'Set up'!$A$2:$E$70,5,FALSE)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603"/>
        <v>11</v>
      </c>
      <c r="C2336" s="5">
        <f t="shared" si="604"/>
        <v>2023</v>
      </c>
      <c r="D2336" s="88" t="s">
        <v>2166</v>
      </c>
      <c r="E2336" s="5" t="str">
        <f>VLOOKUP(F2336,'Set up'!$A$2:$C$70,2,FALSE)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up'!$A$2:$C$70,3,FALSE)</f>
        <v>Cash</v>
      </c>
      <c r="J2336" s="5">
        <f>VLOOKUP(F2336,'Set up'!$A$2:$D$70,4,FALSE)</f>
        <v>0</v>
      </c>
      <c r="K2336" s="4">
        <f t="shared" si="605"/>
        <v>45251</v>
      </c>
      <c r="L2336" s="5">
        <f t="shared" si="606"/>
        <v>11</v>
      </c>
      <c r="M2336" s="5">
        <f t="shared" si="607"/>
        <v>2023</v>
      </c>
      <c r="N2336" s="96">
        <v>3212</v>
      </c>
      <c r="O2336" s="6">
        <f>-N2336</f>
        <v>-3212</v>
      </c>
      <c r="P2336" s="6">
        <f t="shared" si="610"/>
        <v>0</v>
      </c>
      <c r="Q2336" s="7">
        <f t="shared" si="612"/>
        <v>3879474.3500000024</v>
      </c>
      <c r="R2336" s="44" t="str">
        <f>VLOOKUP(F2336,'Set up'!$A$2:$E$70,5,FALSE)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603"/>
        <v>11</v>
      </c>
      <c r="C2337" s="5">
        <f t="shared" si="604"/>
        <v>2023</v>
      </c>
      <c r="D2337" s="88" t="s">
        <v>2167</v>
      </c>
      <c r="E2337" s="5" t="str">
        <f>VLOOKUP(F2337,'Set up'!$A$2:$C$70,2,FALSE)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up'!$A$2:$C$70,3,FALSE)</f>
        <v>Cash</v>
      </c>
      <c r="J2337" s="5">
        <f>VLOOKUP(F2337,'Set up'!$A$2:$D$70,4,FALSE)</f>
        <v>0</v>
      </c>
      <c r="K2337" s="4">
        <f t="shared" si="605"/>
        <v>45252</v>
      </c>
      <c r="L2337" s="5">
        <f t="shared" si="606"/>
        <v>11</v>
      </c>
      <c r="M2337" s="5">
        <f t="shared" si="607"/>
        <v>2023</v>
      </c>
      <c r="N2337" s="96">
        <v>1738</v>
      </c>
      <c r="O2337" s="6">
        <f>-N2337</f>
        <v>-1738</v>
      </c>
      <c r="P2337" s="6">
        <f t="shared" si="610"/>
        <v>0</v>
      </c>
      <c r="Q2337" s="7">
        <f t="shared" si="612"/>
        <v>3881212.3500000024</v>
      </c>
      <c r="R2337" s="44" t="str">
        <f>VLOOKUP(F2337,'Set up'!$A$2:$E$70,5,FALSE)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603"/>
        <v>11</v>
      </c>
      <c r="C2338" s="5">
        <f t="shared" si="604"/>
        <v>2023</v>
      </c>
      <c r="D2338" s="88" t="s">
        <v>2167</v>
      </c>
      <c r="E2338" s="5" t="str">
        <f>VLOOKUP(F2338,'Set up'!$A$2:$C$70,2,FALSE)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up'!$A$2:$C$70,3,FALSE)</f>
        <v>Cash</v>
      </c>
      <c r="J2338" s="5">
        <f>VLOOKUP(F2338,'Set up'!$A$2:$D$70,4,FALSE)</f>
        <v>0</v>
      </c>
      <c r="K2338" s="4">
        <f t="shared" si="605"/>
        <v>45252</v>
      </c>
      <c r="L2338" s="5">
        <f t="shared" si="606"/>
        <v>11</v>
      </c>
      <c r="M2338" s="5">
        <f t="shared" si="607"/>
        <v>2023</v>
      </c>
      <c r="N2338" s="96">
        <v>675</v>
      </c>
      <c r="O2338" s="6">
        <f>-N2338</f>
        <v>-675</v>
      </c>
      <c r="P2338" s="6">
        <f t="shared" si="610"/>
        <v>0</v>
      </c>
      <c r="Q2338" s="7">
        <f t="shared" si="612"/>
        <v>3881887.3500000024</v>
      </c>
      <c r="R2338" s="44" t="str">
        <f>VLOOKUP(F2338,'Set up'!$A$2:$E$70,5,FALSE)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603"/>
        <v>11</v>
      </c>
      <c r="C2339" s="5">
        <f t="shared" si="604"/>
        <v>2023</v>
      </c>
      <c r="D2339" s="88" t="s">
        <v>2168</v>
      </c>
      <c r="E2339" s="5" t="str">
        <f>VLOOKUP(F2339,'Set up'!$A$2:$C$70,2,FALSE)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up'!$A$2:$C$70,3,FALSE)</f>
        <v>Cash</v>
      </c>
      <c r="J2339" s="5">
        <f>VLOOKUP(F2339,'Set up'!$A$2:$D$70,4,FALSE)</f>
        <v>0</v>
      </c>
      <c r="K2339" s="4">
        <f t="shared" si="605"/>
        <v>45254</v>
      </c>
      <c r="L2339" s="5">
        <f t="shared" si="606"/>
        <v>11</v>
      </c>
      <c r="M2339" s="5">
        <f t="shared" si="607"/>
        <v>2023</v>
      </c>
      <c r="N2339" s="96">
        <v>187.5</v>
      </c>
      <c r="O2339" s="6">
        <f>-N2339</f>
        <v>-187.5</v>
      </c>
      <c r="P2339" s="6">
        <f t="shared" si="610"/>
        <v>0</v>
      </c>
      <c r="Q2339" s="7">
        <f t="shared" si="612"/>
        <v>3882074.8500000024</v>
      </c>
      <c r="R2339" s="44" t="str">
        <f>VLOOKUP(F2339,'Set up'!$A$2:$E$70,5,FALSE)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603"/>
        <v>11</v>
      </c>
      <c r="C2340" s="5">
        <f t="shared" si="604"/>
        <v>2023</v>
      </c>
      <c r="D2340" s="88" t="s">
        <v>2169</v>
      </c>
      <c r="E2340" s="5" t="str">
        <f>VLOOKUP(F2340,'Set up'!$A$2:$C$70,2,FALSE)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up'!$A$2:$C$70,3,FALSE)</f>
        <v>Cash</v>
      </c>
      <c r="J2340" s="5">
        <f>VLOOKUP(F2340,'Set up'!$A$2:$D$70,4,FALSE)</f>
        <v>0</v>
      </c>
      <c r="K2340" s="4">
        <f t="shared" si="605"/>
        <v>45254</v>
      </c>
      <c r="L2340" s="5">
        <f t="shared" si="606"/>
        <v>11</v>
      </c>
      <c r="M2340" s="5">
        <f t="shared" si="607"/>
        <v>2023</v>
      </c>
      <c r="N2340" s="96">
        <v>4818</v>
      </c>
      <c r="O2340" s="6">
        <f>-3095.8-1722.2</f>
        <v>-4818</v>
      </c>
      <c r="P2340" s="6">
        <f t="shared" si="610"/>
        <v>0</v>
      </c>
      <c r="Q2340" s="7">
        <f t="shared" si="612"/>
        <v>3886892.8500000024</v>
      </c>
      <c r="R2340" s="44" t="str">
        <f>VLOOKUP(F2340,'Set up'!$A$2:$E$70,5,FALSE)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603"/>
        <v>11</v>
      </c>
      <c r="C2341" s="5">
        <f t="shared" si="604"/>
        <v>2023</v>
      </c>
      <c r="D2341" s="88" t="s">
        <v>2169</v>
      </c>
      <c r="E2341" s="5" t="str">
        <f>VLOOKUP(F2341,'Set up'!$A$2:$C$70,2,FALSE)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up'!$A$2:$C$70,3,FALSE)</f>
        <v>Cash</v>
      </c>
      <c r="J2341" s="5">
        <f>VLOOKUP(F2341,'Set up'!$A$2:$D$70,4,FALSE)</f>
        <v>0</v>
      </c>
      <c r="K2341" s="4">
        <f t="shared" si="605"/>
        <v>45254</v>
      </c>
      <c r="L2341" s="5">
        <f t="shared" si="606"/>
        <v>11</v>
      </c>
      <c r="M2341" s="5">
        <f t="shared" si="607"/>
        <v>2023</v>
      </c>
      <c r="N2341" s="96">
        <v>1931.4</v>
      </c>
      <c r="O2341" s="6">
        <f>-N2341</f>
        <v>-1931.4</v>
      </c>
      <c r="P2341" s="6">
        <f t="shared" si="610"/>
        <v>0</v>
      </c>
      <c r="Q2341" s="7">
        <f t="shared" si="612"/>
        <v>3888824.2500000023</v>
      </c>
      <c r="R2341" s="44" t="str">
        <f>VLOOKUP(F2341,'Set up'!$A$2:$E$70,5,FALSE)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603"/>
        <v>11</v>
      </c>
      <c r="C2342" s="5">
        <f t="shared" si="604"/>
        <v>2023</v>
      </c>
      <c r="D2342" s="88" t="s">
        <v>2169</v>
      </c>
      <c r="E2342" s="5" t="str">
        <f>VLOOKUP(F2342,'Set up'!$A$2:$C$70,2,FALSE)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up'!$A$2:$C$70,3,FALSE)</f>
        <v>Cash</v>
      </c>
      <c r="J2342" s="5">
        <f>VLOOKUP(F2342,'Set up'!$A$2:$D$70,4,FALSE)</f>
        <v>0</v>
      </c>
      <c r="K2342" s="4">
        <f t="shared" si="605"/>
        <v>45254</v>
      </c>
      <c r="L2342" s="5">
        <f t="shared" si="606"/>
        <v>11</v>
      </c>
      <c r="M2342" s="5">
        <f t="shared" si="607"/>
        <v>2023</v>
      </c>
      <c r="N2342" s="96">
        <v>936</v>
      </c>
      <c r="O2342" s="6">
        <f>-N2342</f>
        <v>-936</v>
      </c>
      <c r="P2342" s="6">
        <f t="shared" si="610"/>
        <v>0</v>
      </c>
      <c r="Q2342" s="7">
        <f t="shared" si="612"/>
        <v>3889760.2500000023</v>
      </c>
      <c r="R2342" s="44" t="str">
        <f>VLOOKUP(F2342,'Set up'!$A$2:$E$70,5,FALSE)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603"/>
        <v>11</v>
      </c>
      <c r="C2343" s="5">
        <f t="shared" si="604"/>
        <v>2023</v>
      </c>
      <c r="D2343" s="88" t="s">
        <v>2169</v>
      </c>
      <c r="E2343" s="5" t="str">
        <f>VLOOKUP(F2343,'Set up'!$A$2:$C$70,2,FALSE)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up'!$A$2:$C$70,3,FALSE)</f>
        <v>Cash</v>
      </c>
      <c r="J2343" s="5">
        <f>VLOOKUP(F2343,'Set up'!$A$2:$D$70,4,FALSE)</f>
        <v>0</v>
      </c>
      <c r="K2343" s="4">
        <f t="shared" si="605"/>
        <v>45254</v>
      </c>
      <c r="L2343" s="5">
        <f t="shared" si="606"/>
        <v>11</v>
      </c>
      <c r="M2343" s="5">
        <f t="shared" si="607"/>
        <v>2023</v>
      </c>
      <c r="N2343" s="96">
        <v>1000</v>
      </c>
      <c r="O2343" s="6">
        <f>-N2343</f>
        <v>-1000</v>
      </c>
      <c r="P2343" s="6">
        <f t="shared" si="610"/>
        <v>0</v>
      </c>
      <c r="Q2343" s="7">
        <f t="shared" si="612"/>
        <v>3890760.2500000023</v>
      </c>
      <c r="R2343" s="44" t="str">
        <f>VLOOKUP(F2343,'Set up'!$A$2:$E$70,5,FALSE)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603"/>
        <v>11</v>
      </c>
      <c r="C2344" s="5">
        <f t="shared" si="604"/>
        <v>2023</v>
      </c>
      <c r="D2344" s="88" t="s">
        <v>2170</v>
      </c>
      <c r="E2344" s="5" t="str">
        <f>VLOOKUP(F2344,'Set up'!$A$2:$C$70,2,FALSE)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up'!$A$2:$C$70,3,FALSE)</f>
        <v>Cash</v>
      </c>
      <c r="J2344" s="5">
        <f>VLOOKUP(F2344,'Set up'!$A$2:$D$70,4,FALSE)</f>
        <v>0</v>
      </c>
      <c r="K2344" s="4">
        <f t="shared" si="605"/>
        <v>45255</v>
      </c>
      <c r="L2344" s="5">
        <f t="shared" si="606"/>
        <v>11</v>
      </c>
      <c r="M2344" s="5">
        <f t="shared" si="607"/>
        <v>2023</v>
      </c>
      <c r="N2344" s="96">
        <v>1738</v>
      </c>
      <c r="O2344" s="6">
        <f t="shared" ref="O2344:O2347" si="613">-N2344</f>
        <v>-1738</v>
      </c>
      <c r="P2344" s="6">
        <f t="shared" si="610"/>
        <v>0</v>
      </c>
      <c r="Q2344" s="7">
        <f t="shared" si="612"/>
        <v>3892498.2500000023</v>
      </c>
      <c r="R2344" s="44" t="str">
        <f>VLOOKUP(F2344,'Set up'!$A$2:$E$70,5,FALSE)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603"/>
        <v>11</v>
      </c>
      <c r="C2345" s="5">
        <f t="shared" si="604"/>
        <v>2023</v>
      </c>
      <c r="D2345" s="88" t="s">
        <v>2170</v>
      </c>
      <c r="E2345" s="5" t="str">
        <f>VLOOKUP(F2345,'Set up'!$A$2:$C$70,2,FALSE)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up'!$A$2:$C$70,3,FALSE)</f>
        <v>Cash</v>
      </c>
      <c r="J2345" s="5">
        <f>VLOOKUP(F2345,'Set up'!$A$2:$D$70,4,FALSE)</f>
        <v>0</v>
      </c>
      <c r="K2345" s="4">
        <f t="shared" si="605"/>
        <v>45255</v>
      </c>
      <c r="L2345" s="5">
        <f t="shared" si="606"/>
        <v>11</v>
      </c>
      <c r="M2345" s="5">
        <f t="shared" si="607"/>
        <v>2023</v>
      </c>
      <c r="N2345" s="96">
        <v>450</v>
      </c>
      <c r="O2345" s="6">
        <f t="shared" si="613"/>
        <v>-450</v>
      </c>
      <c r="P2345" s="6">
        <f t="shared" si="610"/>
        <v>0</v>
      </c>
      <c r="Q2345" s="7">
        <f t="shared" si="612"/>
        <v>3892948.2500000023</v>
      </c>
      <c r="R2345" s="44" t="str">
        <f>VLOOKUP(F2345,'Set up'!$A$2:$E$70,5,FALSE)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603"/>
        <v>11</v>
      </c>
      <c r="C2346" s="5">
        <f t="shared" si="604"/>
        <v>2023</v>
      </c>
      <c r="D2346" s="88" t="s">
        <v>2170</v>
      </c>
      <c r="E2346" s="5" t="str">
        <f>VLOOKUP(F2346,'Set up'!$A$2:$C$70,2,FALSE)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up'!$A$2:$C$70,3,FALSE)</f>
        <v>Cash</v>
      </c>
      <c r="J2346" s="5">
        <f>VLOOKUP(F2346,'Set up'!$A$2:$D$70,4,FALSE)</f>
        <v>0</v>
      </c>
      <c r="K2346" s="4">
        <f t="shared" si="605"/>
        <v>45255</v>
      </c>
      <c r="L2346" s="5">
        <f t="shared" si="606"/>
        <v>11</v>
      </c>
      <c r="M2346" s="5">
        <f t="shared" si="607"/>
        <v>2023</v>
      </c>
      <c r="N2346" s="96">
        <v>225</v>
      </c>
      <c r="O2346" s="6">
        <f t="shared" si="613"/>
        <v>-225</v>
      </c>
      <c r="P2346" s="6">
        <f t="shared" si="610"/>
        <v>0</v>
      </c>
      <c r="Q2346" s="7">
        <f t="shared" si="612"/>
        <v>3893173.2500000023</v>
      </c>
      <c r="R2346" s="44" t="str">
        <f>VLOOKUP(F2346,'Set up'!$A$2:$E$70,5,FALSE)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603"/>
        <v>11</v>
      </c>
      <c r="C2347" s="5">
        <f t="shared" si="604"/>
        <v>2023</v>
      </c>
      <c r="D2347" s="88" t="s">
        <v>2170</v>
      </c>
      <c r="E2347" s="5" t="str">
        <f>VLOOKUP(F2347,'Set up'!$A$2:$C$70,2,FALSE)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up'!$A$2:$C$70,3,FALSE)</f>
        <v>Cash</v>
      </c>
      <c r="J2347" s="5">
        <f>VLOOKUP(F2347,'Set up'!$A$2:$D$70,4,FALSE)</f>
        <v>0</v>
      </c>
      <c r="K2347" s="4">
        <f t="shared" si="605"/>
        <v>45255</v>
      </c>
      <c r="L2347" s="5">
        <f t="shared" si="606"/>
        <v>11</v>
      </c>
      <c r="M2347" s="5">
        <f t="shared" si="607"/>
        <v>2023</v>
      </c>
      <c r="N2347" s="96">
        <v>95</v>
      </c>
      <c r="O2347" s="6">
        <f t="shared" si="613"/>
        <v>-95</v>
      </c>
      <c r="P2347" s="6">
        <f t="shared" si="610"/>
        <v>0</v>
      </c>
      <c r="Q2347" s="7">
        <f t="shared" si="612"/>
        <v>3893268.2500000023</v>
      </c>
      <c r="R2347" s="44" t="str">
        <f>VLOOKUP(F2347,'Set up'!$A$2:$E$70,5,FALSE)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603"/>
        <v>11</v>
      </c>
      <c r="C2348" s="5">
        <f t="shared" si="604"/>
        <v>2023</v>
      </c>
      <c r="D2348" s="88" t="s">
        <v>2171</v>
      </c>
      <c r="E2348" s="5" t="str">
        <f>VLOOKUP(F2348,'Set up'!$A$2:$C$70,2,FALSE)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up'!$A$2:$C$70,3,FALSE)</f>
        <v>Cash</v>
      </c>
      <c r="J2348" s="5">
        <f>VLOOKUP(F2348,'Set up'!$A$2:$D$70,4,FALSE)</f>
        <v>0</v>
      </c>
      <c r="K2348" s="4">
        <f t="shared" si="605"/>
        <v>45257</v>
      </c>
      <c r="L2348" s="5">
        <f t="shared" si="606"/>
        <v>11</v>
      </c>
      <c r="M2348" s="5">
        <f t="shared" si="607"/>
        <v>2023</v>
      </c>
      <c r="N2348" s="96">
        <v>3476</v>
      </c>
      <c r="O2348" s="6">
        <f>-2641.4-834.6</f>
        <v>-3476</v>
      </c>
      <c r="P2348" s="6">
        <f t="shared" si="610"/>
        <v>0</v>
      </c>
      <c r="Q2348" s="7">
        <f t="shared" si="612"/>
        <v>3896744.2500000023</v>
      </c>
      <c r="R2348" s="44" t="str">
        <f>VLOOKUP(F2348,'Set up'!$A$2:$E$70,5,FALSE)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603"/>
        <v>11</v>
      </c>
      <c r="C2349" s="5">
        <f t="shared" si="604"/>
        <v>2023</v>
      </c>
      <c r="D2349" s="88" t="s">
        <v>2171</v>
      </c>
      <c r="E2349" s="5" t="str">
        <f>VLOOKUP(F2349,'Set up'!$A$2:$C$70,2,FALSE)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up'!$A$2:$C$70,3,FALSE)</f>
        <v>Cash</v>
      </c>
      <c r="J2349" s="5">
        <f>VLOOKUP(F2349,'Set up'!$A$2:$D$70,4,FALSE)</f>
        <v>0</v>
      </c>
      <c r="K2349" s="4">
        <f t="shared" si="605"/>
        <v>45257</v>
      </c>
      <c r="L2349" s="5">
        <f t="shared" si="606"/>
        <v>11</v>
      </c>
      <c r="M2349" s="5">
        <f t="shared" si="607"/>
        <v>2023</v>
      </c>
      <c r="N2349" s="96">
        <v>281.60000000000002</v>
      </c>
      <c r="O2349" s="6">
        <f t="shared" ref="O2349:O2351" si="614">-N2349</f>
        <v>-281.60000000000002</v>
      </c>
      <c r="P2349" s="6">
        <f t="shared" si="610"/>
        <v>0</v>
      </c>
      <c r="Q2349" s="7">
        <f t="shared" si="612"/>
        <v>3897025.8500000024</v>
      </c>
      <c r="R2349" s="44" t="str">
        <f>VLOOKUP(F2349,'Set up'!$A$2:$E$70,5,FALSE)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603"/>
        <v>11</v>
      </c>
      <c r="C2350" s="5">
        <f t="shared" si="604"/>
        <v>2023</v>
      </c>
      <c r="D2350" s="88" t="s">
        <v>2171</v>
      </c>
      <c r="E2350" s="5" t="str">
        <f>VLOOKUP(F2350,'Set up'!$A$2:$C$70,2,FALSE)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up'!$A$2:$C$70,3,FALSE)</f>
        <v>Cash</v>
      </c>
      <c r="J2350" s="5">
        <f>VLOOKUP(F2350,'Set up'!$A$2:$D$70,4,FALSE)</f>
        <v>0</v>
      </c>
      <c r="K2350" s="4">
        <f t="shared" si="605"/>
        <v>45257</v>
      </c>
      <c r="L2350" s="5">
        <f t="shared" si="606"/>
        <v>11</v>
      </c>
      <c r="M2350" s="5">
        <f t="shared" si="607"/>
        <v>2023</v>
      </c>
      <c r="N2350" s="96">
        <v>170</v>
      </c>
      <c r="O2350" s="6">
        <f t="shared" si="614"/>
        <v>-170</v>
      </c>
      <c r="P2350" s="6">
        <f t="shared" si="610"/>
        <v>0</v>
      </c>
      <c r="Q2350" s="7">
        <f t="shared" si="612"/>
        <v>3897195.8500000024</v>
      </c>
      <c r="R2350" s="44" t="str">
        <f>VLOOKUP(F2350,'Set up'!$A$2:$E$70,5,FALSE)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603"/>
        <v>11</v>
      </c>
      <c r="C2351" s="5">
        <f t="shared" si="604"/>
        <v>2023</v>
      </c>
      <c r="D2351" s="88" t="s">
        <v>2171</v>
      </c>
      <c r="E2351" s="5" t="str">
        <f>VLOOKUP(F2351,'Set up'!$A$2:$C$70,2,FALSE)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up'!$A$2:$C$70,3,FALSE)</f>
        <v>Cash</v>
      </c>
      <c r="J2351" s="5">
        <f>VLOOKUP(F2351,'Set up'!$A$2:$D$70,4,FALSE)</f>
        <v>0</v>
      </c>
      <c r="K2351" s="4">
        <f t="shared" si="605"/>
        <v>45257</v>
      </c>
      <c r="L2351" s="5">
        <f t="shared" si="606"/>
        <v>11</v>
      </c>
      <c r="M2351" s="5">
        <f t="shared" si="607"/>
        <v>2023</v>
      </c>
      <c r="N2351" s="96">
        <v>1059.5</v>
      </c>
      <c r="O2351" s="6">
        <f t="shared" si="614"/>
        <v>-1059.5</v>
      </c>
      <c r="P2351" s="6">
        <f t="shared" si="610"/>
        <v>0</v>
      </c>
      <c r="Q2351" s="7">
        <f t="shared" si="612"/>
        <v>3898255.3500000024</v>
      </c>
      <c r="R2351" s="44" t="str">
        <f>VLOOKUP(F2351,'Set up'!$A$2:$E$70,5,FALSE)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603"/>
        <v>11</v>
      </c>
      <c r="C2352" s="5">
        <f t="shared" si="604"/>
        <v>2023</v>
      </c>
      <c r="D2352" s="88" t="s">
        <v>2172</v>
      </c>
      <c r="E2352" s="5" t="str">
        <f>VLOOKUP(F2352,'Set up'!$A$2:$C$70,2,FALSE)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up'!$A$2:$C$70,3,FALSE)</f>
        <v>Cash</v>
      </c>
      <c r="J2352" s="5">
        <f>VLOOKUP(F2352,'Set up'!$A$2:$D$70,4,FALSE)</f>
        <v>0</v>
      </c>
      <c r="K2352" s="4">
        <f t="shared" si="605"/>
        <v>45258</v>
      </c>
      <c r="L2352" s="5">
        <f t="shared" si="606"/>
        <v>11</v>
      </c>
      <c r="M2352" s="5">
        <f t="shared" si="607"/>
        <v>2023</v>
      </c>
      <c r="N2352" s="96">
        <v>187.5</v>
      </c>
      <c r="O2352" s="6">
        <f>-N2352</f>
        <v>-187.5</v>
      </c>
      <c r="P2352" s="6">
        <f t="shared" si="610"/>
        <v>0</v>
      </c>
      <c r="Q2352" s="7">
        <f t="shared" si="612"/>
        <v>3898442.8500000024</v>
      </c>
      <c r="R2352" s="44" t="str">
        <f>VLOOKUP(F2352,'Set up'!$A$2:$E$70,5,FALSE)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603"/>
        <v>11</v>
      </c>
      <c r="C2353" s="5">
        <f t="shared" si="604"/>
        <v>2023</v>
      </c>
      <c r="D2353" s="88" t="s">
        <v>2173</v>
      </c>
      <c r="E2353" s="5" t="str">
        <f>VLOOKUP(F2353,'Set up'!$A$2:$C$70,2,FALSE)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up'!$A$2:$C$70,3,FALSE)</f>
        <v>Cash</v>
      </c>
      <c r="J2353" s="5">
        <f>VLOOKUP(F2353,'Set up'!$A$2:$D$70,4,FALSE)</f>
        <v>0</v>
      </c>
      <c r="K2353" s="4">
        <f t="shared" si="605"/>
        <v>45258</v>
      </c>
      <c r="L2353" s="5">
        <f t="shared" si="606"/>
        <v>11</v>
      </c>
      <c r="M2353" s="5">
        <f t="shared" si="607"/>
        <v>2023</v>
      </c>
      <c r="N2353" s="96">
        <v>4818</v>
      </c>
      <c r="O2353" s="6">
        <f>-N2353</f>
        <v>-4818</v>
      </c>
      <c r="P2353" s="6">
        <f t="shared" si="610"/>
        <v>0</v>
      </c>
      <c r="Q2353" s="7">
        <f t="shared" si="612"/>
        <v>3903260.8500000024</v>
      </c>
      <c r="R2353" s="44" t="str">
        <f>VLOOKUP(F2353,'Set up'!$A$2:$E$70,5,FALSE)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603"/>
        <v>11</v>
      </c>
      <c r="C2354" s="5">
        <f t="shared" si="604"/>
        <v>2023</v>
      </c>
      <c r="D2354" s="88" t="s">
        <v>2173</v>
      </c>
      <c r="E2354" s="5" t="str">
        <f>VLOOKUP(F2354,'Set up'!$A$2:$C$70,2,FALSE)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up'!$A$2:$C$70,3,FALSE)</f>
        <v>Cash</v>
      </c>
      <c r="J2354" s="5">
        <f>VLOOKUP(F2354,'Set up'!$A$2:$D$70,4,FALSE)</f>
        <v>0</v>
      </c>
      <c r="K2354" s="4">
        <f t="shared" si="605"/>
        <v>45258</v>
      </c>
      <c r="L2354" s="5">
        <f t="shared" si="606"/>
        <v>11</v>
      </c>
      <c r="M2354" s="5">
        <f t="shared" si="607"/>
        <v>2023</v>
      </c>
      <c r="N2354" s="96">
        <v>1931.4</v>
      </c>
      <c r="O2354" s="6">
        <f>-N2354</f>
        <v>-1931.4</v>
      </c>
      <c r="P2354" s="6">
        <f t="shared" si="610"/>
        <v>0</v>
      </c>
      <c r="Q2354" s="7">
        <f t="shared" si="612"/>
        <v>3905192.2500000023</v>
      </c>
      <c r="R2354" s="44" t="str">
        <f>VLOOKUP(F2354,'Set up'!$A$2:$E$70,5,FALSE)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603"/>
        <v>11</v>
      </c>
      <c r="C2355" s="5">
        <f t="shared" si="604"/>
        <v>2023</v>
      </c>
      <c r="D2355" s="88" t="s">
        <v>2173</v>
      </c>
      <c r="E2355" s="5" t="str">
        <f>VLOOKUP(F2355,'Set up'!$A$2:$C$70,2,FALSE)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up'!$A$2:$C$70,3,FALSE)</f>
        <v>Cash</v>
      </c>
      <c r="J2355" s="5">
        <f>VLOOKUP(F2355,'Set up'!$A$2:$D$70,4,FALSE)</f>
        <v>0</v>
      </c>
      <c r="K2355" s="4">
        <f t="shared" si="605"/>
        <v>45258</v>
      </c>
      <c r="L2355" s="5">
        <f t="shared" si="606"/>
        <v>11</v>
      </c>
      <c r="M2355" s="5">
        <f t="shared" si="607"/>
        <v>2023</v>
      </c>
      <c r="N2355" s="96">
        <v>936</v>
      </c>
      <c r="O2355" s="6">
        <f>-N2355</f>
        <v>-936</v>
      </c>
      <c r="P2355" s="6">
        <f t="shared" si="610"/>
        <v>0</v>
      </c>
      <c r="Q2355" s="7">
        <f t="shared" si="612"/>
        <v>3906128.2500000023</v>
      </c>
      <c r="R2355" s="44" t="str">
        <f>VLOOKUP(F2355,'Set up'!$A$2:$E$70,5,FALSE)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603"/>
        <v>11</v>
      </c>
      <c r="C2356" s="5">
        <f t="shared" si="604"/>
        <v>2023</v>
      </c>
      <c r="D2356" s="88" t="s">
        <v>2173</v>
      </c>
      <c r="E2356" s="5" t="str">
        <f>VLOOKUP(F2356,'Set up'!$A$2:$C$70,2,FALSE)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up'!$A$2:$C$70,3,FALSE)</f>
        <v>Cash</v>
      </c>
      <c r="J2356" s="5">
        <f>VLOOKUP(F2356,'Set up'!$A$2:$D$70,4,FALSE)</f>
        <v>0</v>
      </c>
      <c r="K2356" s="4">
        <f t="shared" si="605"/>
        <v>45258</v>
      </c>
      <c r="L2356" s="5">
        <f t="shared" si="606"/>
        <v>11</v>
      </c>
      <c r="M2356" s="5">
        <f t="shared" si="607"/>
        <v>2023</v>
      </c>
      <c r="N2356" s="96">
        <v>380</v>
      </c>
      <c r="O2356" s="6">
        <f>-N2356</f>
        <v>-380</v>
      </c>
      <c r="P2356" s="6">
        <f t="shared" si="610"/>
        <v>0</v>
      </c>
      <c r="Q2356" s="7">
        <f t="shared" si="612"/>
        <v>3906508.2500000023</v>
      </c>
      <c r="R2356" s="44" t="str">
        <f>VLOOKUP(F2356,'Set up'!$A$2:$E$70,5,FALSE)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603"/>
        <v>11</v>
      </c>
      <c r="C2357" s="5">
        <f t="shared" si="604"/>
        <v>2023</v>
      </c>
      <c r="D2357" s="88" t="s">
        <v>2174</v>
      </c>
      <c r="E2357" s="5" t="str">
        <f>VLOOKUP(F2357,'Set up'!$A$2:$C$70,2,FALSE)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up'!$A$2:$C$70,3,FALSE)</f>
        <v>Cash</v>
      </c>
      <c r="J2357" s="5">
        <f>VLOOKUP(F2357,'Set up'!$A$2:$D$70,4,FALSE)</f>
        <v>0</v>
      </c>
      <c r="K2357" s="4">
        <f t="shared" si="605"/>
        <v>45259</v>
      </c>
      <c r="L2357" s="5">
        <f t="shared" si="606"/>
        <v>11</v>
      </c>
      <c r="M2357" s="5">
        <f t="shared" si="607"/>
        <v>2023</v>
      </c>
      <c r="N2357" s="96">
        <v>1738</v>
      </c>
      <c r="O2357" s="6">
        <f>-566.1-1171.9</f>
        <v>-1738</v>
      </c>
      <c r="P2357" s="6">
        <f t="shared" si="610"/>
        <v>0</v>
      </c>
      <c r="Q2357" s="7">
        <f t="shared" si="612"/>
        <v>3908246.2500000023</v>
      </c>
      <c r="R2357" s="44" t="str">
        <f>VLOOKUP(F2357,'Set up'!$A$2:$E$70,5,FALSE)</f>
        <v>Trsf</v>
      </c>
      <c r="S2357" s="1" t="s">
        <v>3191</v>
      </c>
    </row>
    <row r="2358" spans="1:19" ht="15" customHeight="1" x14ac:dyDescent="0.35">
      <c r="A2358" s="4">
        <v>45259</v>
      </c>
      <c r="B2358" s="5">
        <f t="shared" si="603"/>
        <v>11</v>
      </c>
      <c r="C2358" s="5">
        <f t="shared" si="604"/>
        <v>2023</v>
      </c>
      <c r="D2358" s="88" t="s">
        <v>2174</v>
      </c>
      <c r="E2358" s="5" t="str">
        <f>VLOOKUP(F2358,'Set up'!$A$2:$C$70,2,FALSE)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up'!$A$2:$C$70,3,FALSE)</f>
        <v>Cash</v>
      </c>
      <c r="J2358" s="5">
        <f>VLOOKUP(F2358,'Set up'!$A$2:$D$70,4,FALSE)</f>
        <v>0</v>
      </c>
      <c r="K2358" s="4">
        <f t="shared" si="605"/>
        <v>45259</v>
      </c>
      <c r="L2358" s="5">
        <f t="shared" si="606"/>
        <v>11</v>
      </c>
      <c r="M2358" s="5">
        <f t="shared" si="607"/>
        <v>2023</v>
      </c>
      <c r="N2358" s="96">
        <v>405</v>
      </c>
      <c r="O2358" s="6">
        <f>-328.1-76.9</f>
        <v>-405</v>
      </c>
      <c r="P2358" s="6">
        <f t="shared" si="610"/>
        <v>0</v>
      </c>
      <c r="Q2358" s="7">
        <f t="shared" si="612"/>
        <v>3908651.2500000023</v>
      </c>
      <c r="R2358" s="44" t="str">
        <f>VLOOKUP(F2358,'Set up'!$A$2:$E$70,5,FALSE)</f>
        <v>Trsf</v>
      </c>
      <c r="S2358" s="1" t="s">
        <v>3193</v>
      </c>
    </row>
    <row r="2359" spans="1:19" ht="15" customHeight="1" x14ac:dyDescent="0.35">
      <c r="A2359" s="4">
        <v>45259</v>
      </c>
      <c r="B2359" s="5">
        <f t="shared" si="603"/>
        <v>11</v>
      </c>
      <c r="C2359" s="5">
        <f t="shared" si="604"/>
        <v>2023</v>
      </c>
      <c r="D2359" s="88" t="s">
        <v>2174</v>
      </c>
      <c r="E2359" s="5" t="str">
        <f>VLOOKUP(F2359,'Set up'!$A$2:$C$70,2,FALSE)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up'!$A$2:$C$70,3,FALSE)</f>
        <v>Cash</v>
      </c>
      <c r="J2359" s="5">
        <f>VLOOKUP(F2359,'Set up'!$A$2:$D$70,4,FALSE)</f>
        <v>0</v>
      </c>
      <c r="K2359" s="4">
        <f t="shared" si="605"/>
        <v>45259</v>
      </c>
      <c r="L2359" s="5">
        <f t="shared" si="606"/>
        <v>11</v>
      </c>
      <c r="M2359" s="5">
        <f t="shared" si="607"/>
        <v>2023</v>
      </c>
      <c r="N2359" s="96">
        <v>187.5</v>
      </c>
      <c r="O2359" s="6">
        <f t="shared" ref="O2359:O2361" si="615">-N2359</f>
        <v>-187.5</v>
      </c>
      <c r="P2359" s="6">
        <f t="shared" si="610"/>
        <v>0</v>
      </c>
      <c r="Q2359" s="7">
        <f t="shared" si="612"/>
        <v>3908838.7500000023</v>
      </c>
      <c r="R2359" s="44" t="str">
        <f>VLOOKUP(F2359,'Set up'!$A$2:$E$70,5,FALSE)</f>
        <v>Trsf</v>
      </c>
      <c r="S2359" s="1" t="s">
        <v>3194</v>
      </c>
    </row>
    <row r="2360" spans="1:19" ht="15" customHeight="1" x14ac:dyDescent="0.35">
      <c r="A2360" s="4">
        <v>45259</v>
      </c>
      <c r="B2360" s="5">
        <f t="shared" si="603"/>
        <v>11</v>
      </c>
      <c r="C2360" s="5">
        <f t="shared" si="604"/>
        <v>2023</v>
      </c>
      <c r="D2360" s="88" t="s">
        <v>2174</v>
      </c>
      <c r="E2360" s="5" t="str">
        <f>VLOOKUP(F2360,'Set up'!$A$2:$C$70,2,FALSE)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up'!$A$2:$C$70,3,FALSE)</f>
        <v>Cash</v>
      </c>
      <c r="J2360" s="5">
        <f>VLOOKUP(F2360,'Set up'!$A$2:$D$70,4,FALSE)</f>
        <v>0</v>
      </c>
      <c r="K2360" s="4">
        <f t="shared" si="605"/>
        <v>45259</v>
      </c>
      <c r="L2360" s="5">
        <f t="shared" si="606"/>
        <v>11</v>
      </c>
      <c r="M2360" s="5">
        <f t="shared" si="607"/>
        <v>2023</v>
      </c>
      <c r="N2360" s="96">
        <v>283.8</v>
      </c>
      <c r="O2360" s="6">
        <f t="shared" si="615"/>
        <v>-283.8</v>
      </c>
      <c r="P2360" s="6">
        <f t="shared" si="610"/>
        <v>0</v>
      </c>
      <c r="Q2360" s="7">
        <f t="shared" si="612"/>
        <v>3909122.5500000021</v>
      </c>
      <c r="R2360" s="44" t="str">
        <f>VLOOKUP(F2360,'Set up'!$A$2:$E$70,5,FALSE)</f>
        <v>Trsf</v>
      </c>
      <c r="S2360" s="1" t="s">
        <v>3195</v>
      </c>
    </row>
    <row r="2361" spans="1:19" ht="15" customHeight="1" x14ac:dyDescent="0.35">
      <c r="A2361" s="4">
        <v>45259</v>
      </c>
      <c r="B2361" s="5">
        <f t="shared" si="603"/>
        <v>11</v>
      </c>
      <c r="C2361" s="5">
        <f t="shared" si="604"/>
        <v>2023</v>
      </c>
      <c r="D2361" s="88" t="s">
        <v>2174</v>
      </c>
      <c r="E2361" s="5" t="str">
        <f>VLOOKUP(F2361,'Set up'!$A$2:$C$70,2,FALSE)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up'!$A$2:$C$70,3,FALSE)</f>
        <v>Cash</v>
      </c>
      <c r="J2361" s="5">
        <f>VLOOKUP(F2361,'Set up'!$A$2:$D$70,4,FALSE)</f>
        <v>0</v>
      </c>
      <c r="K2361" s="4">
        <f t="shared" si="605"/>
        <v>45259</v>
      </c>
      <c r="L2361" s="5">
        <f t="shared" si="606"/>
        <v>11</v>
      </c>
      <c r="M2361" s="5">
        <f t="shared" si="607"/>
        <v>2023</v>
      </c>
      <c r="N2361" s="96">
        <v>390</v>
      </c>
      <c r="O2361" s="6">
        <f t="shared" si="615"/>
        <v>-390</v>
      </c>
      <c r="P2361" s="6">
        <f t="shared" si="610"/>
        <v>0</v>
      </c>
      <c r="Q2361" s="7">
        <f t="shared" si="612"/>
        <v>3909512.5500000021</v>
      </c>
      <c r="R2361" s="44" t="str">
        <f>VLOOKUP(F2361,'Set up'!$A$2:$E$70,5,FALSE)</f>
        <v>Trsf</v>
      </c>
      <c r="S2361" s="1" t="s">
        <v>3196</v>
      </c>
    </row>
    <row r="2362" spans="1:19" ht="15" customHeight="1" x14ac:dyDescent="0.35">
      <c r="A2362" s="4">
        <v>45259</v>
      </c>
      <c r="B2362" s="5">
        <f t="shared" si="603"/>
        <v>11</v>
      </c>
      <c r="C2362" s="5">
        <f t="shared" si="604"/>
        <v>2023</v>
      </c>
      <c r="D2362" s="88" t="s">
        <v>2174</v>
      </c>
      <c r="E2362" s="5" t="str">
        <f>VLOOKUP(F2362,'Set up'!$A$2:$C$70,2,FALSE)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up'!$A$2:$C$70,3,FALSE)</f>
        <v>Cash</v>
      </c>
      <c r="J2362" s="5">
        <f>VLOOKUP(F2362,'Set up'!$A$2:$D$70,4,FALSE)</f>
        <v>0</v>
      </c>
      <c r="K2362" s="4">
        <f t="shared" si="605"/>
        <v>45259</v>
      </c>
      <c r="L2362" s="5">
        <f t="shared" si="606"/>
        <v>11</v>
      </c>
      <c r="M2362" s="5">
        <f t="shared" si="607"/>
        <v>2023</v>
      </c>
      <c r="N2362" s="96">
        <v>420</v>
      </c>
      <c r="O2362" s="6">
        <f>-61.8-358.2</f>
        <v>-420</v>
      </c>
      <c r="P2362" s="6">
        <f t="shared" si="610"/>
        <v>0</v>
      </c>
      <c r="Q2362" s="7">
        <f t="shared" si="612"/>
        <v>3909932.5500000021</v>
      </c>
      <c r="R2362" s="44" t="str">
        <f>VLOOKUP(F2362,'Set up'!$A$2:$E$70,5,FALSE)</f>
        <v>Trsf</v>
      </c>
      <c r="S2362" s="1" t="s">
        <v>3200</v>
      </c>
    </row>
    <row r="2363" spans="1:19" ht="15" customHeight="1" x14ac:dyDescent="0.35">
      <c r="A2363" s="4">
        <v>45261</v>
      </c>
      <c r="B2363" s="5">
        <f t="shared" si="603"/>
        <v>12</v>
      </c>
      <c r="C2363" s="5">
        <f t="shared" si="604"/>
        <v>2023</v>
      </c>
      <c r="D2363" s="88" t="s">
        <v>2175</v>
      </c>
      <c r="E2363" s="5" t="str">
        <f>VLOOKUP(F2363,'Set up'!$A$2:$C$70,2,FALSE)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up'!$A$2:$C$70,3,FALSE)</f>
        <v>120</v>
      </c>
      <c r="J2363" s="5">
        <f>VLOOKUP(F2363,'Set up'!$A$2:$D$70,4,FALSE)</f>
        <v>120</v>
      </c>
      <c r="K2363" s="4">
        <f t="shared" si="605"/>
        <v>45381</v>
      </c>
      <c r="L2363" s="5">
        <f t="shared" si="606"/>
        <v>3</v>
      </c>
      <c r="M2363" s="5">
        <f t="shared" si="607"/>
        <v>2024</v>
      </c>
      <c r="N2363" s="96">
        <v>9636</v>
      </c>
      <c r="O2363" s="6">
        <f t="shared" ref="O2363:O2368" si="616">-N2363</f>
        <v>-9636</v>
      </c>
      <c r="P2363" s="6">
        <f t="shared" si="610"/>
        <v>0</v>
      </c>
      <c r="Q2363" s="7">
        <f t="shared" si="612"/>
        <v>3919568.5500000021</v>
      </c>
      <c r="R2363" s="44" t="str">
        <f>VLOOKUP(F2363,'Set up'!$A$2:$E$70,5,FALSE)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603"/>
        <v>12</v>
      </c>
      <c r="C2364" s="5">
        <f t="shared" si="604"/>
        <v>2023</v>
      </c>
      <c r="D2364" s="88" t="s">
        <v>2175</v>
      </c>
      <c r="E2364" s="5" t="str">
        <f>VLOOKUP(F2364,'Set up'!$A$2:$C$70,2,FALSE)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up'!$A$2:$C$70,3,FALSE)</f>
        <v>120</v>
      </c>
      <c r="J2364" s="5">
        <f>VLOOKUP(F2364,'Set up'!$A$2:$D$70,4,FALSE)</f>
        <v>120</v>
      </c>
      <c r="K2364" s="4">
        <f t="shared" si="605"/>
        <v>45381</v>
      </c>
      <c r="L2364" s="5">
        <f t="shared" si="606"/>
        <v>3</v>
      </c>
      <c r="M2364" s="5">
        <f t="shared" si="607"/>
        <v>2024</v>
      </c>
      <c r="N2364" s="96">
        <v>1740</v>
      </c>
      <c r="O2364" s="6">
        <f t="shared" si="616"/>
        <v>-1740</v>
      </c>
      <c r="P2364" s="6">
        <f t="shared" si="610"/>
        <v>0</v>
      </c>
      <c r="Q2364" s="7">
        <f t="shared" si="612"/>
        <v>3921308.5500000021</v>
      </c>
      <c r="R2364" s="44" t="str">
        <f>VLOOKUP(F2364,'Set up'!$A$2:$E$70,5,FALSE)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603"/>
        <v>12</v>
      </c>
      <c r="C2365" s="5">
        <f t="shared" si="604"/>
        <v>2023</v>
      </c>
      <c r="D2365" s="88" t="s">
        <v>2175</v>
      </c>
      <c r="E2365" s="5" t="str">
        <f>VLOOKUP(F2365,'Set up'!$A$2:$C$70,2,FALSE)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up'!$A$2:$C$70,3,FALSE)</f>
        <v>120</v>
      </c>
      <c r="J2365" s="5">
        <f>VLOOKUP(F2365,'Set up'!$A$2:$D$70,4,FALSE)</f>
        <v>120</v>
      </c>
      <c r="K2365" s="4">
        <f t="shared" si="605"/>
        <v>45381</v>
      </c>
      <c r="L2365" s="5">
        <f t="shared" si="606"/>
        <v>3</v>
      </c>
      <c r="M2365" s="5">
        <f t="shared" si="607"/>
        <v>2024</v>
      </c>
      <c r="N2365" s="96">
        <v>575</v>
      </c>
      <c r="O2365" s="6">
        <f t="shared" si="616"/>
        <v>-575</v>
      </c>
      <c r="P2365" s="6">
        <f t="shared" si="610"/>
        <v>0</v>
      </c>
      <c r="Q2365" s="7">
        <f t="shared" si="612"/>
        <v>3921883.5500000021</v>
      </c>
      <c r="R2365" s="44" t="str">
        <f>VLOOKUP(F2365,'Set up'!$A$2:$E$70,5,FALSE)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603"/>
        <v>12</v>
      </c>
      <c r="C2366" s="5">
        <f t="shared" si="604"/>
        <v>2023</v>
      </c>
      <c r="D2366" s="88" t="s">
        <v>2175</v>
      </c>
      <c r="E2366" s="5" t="str">
        <f>VLOOKUP(F2366,'Set up'!$A$2:$C$70,2,FALSE)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up'!$A$2:$C$70,3,FALSE)</f>
        <v>120</v>
      </c>
      <c r="J2366" s="5">
        <f>VLOOKUP(F2366,'Set up'!$A$2:$D$70,4,FALSE)</f>
        <v>120</v>
      </c>
      <c r="K2366" s="4">
        <f t="shared" si="605"/>
        <v>45381</v>
      </c>
      <c r="L2366" s="5">
        <f t="shared" si="606"/>
        <v>3</v>
      </c>
      <c r="M2366" s="5">
        <f t="shared" si="607"/>
        <v>2024</v>
      </c>
      <c r="N2366" s="96">
        <v>420</v>
      </c>
      <c r="O2366" s="6">
        <f t="shared" si="616"/>
        <v>-420</v>
      </c>
      <c r="P2366" s="6">
        <f t="shared" si="610"/>
        <v>0</v>
      </c>
      <c r="Q2366" s="7">
        <f t="shared" si="612"/>
        <v>3922303.5500000021</v>
      </c>
      <c r="R2366" s="44" t="str">
        <f>VLOOKUP(F2366,'Set up'!$A$2:$E$70,5,FALSE)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603"/>
        <v>12</v>
      </c>
      <c r="C2367" s="5">
        <f t="shared" si="604"/>
        <v>2023</v>
      </c>
      <c r="D2367" s="88" t="s">
        <v>2175</v>
      </c>
      <c r="E2367" s="5" t="str">
        <f>VLOOKUP(F2367,'Set up'!$A$2:$C$70,2,FALSE)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up'!$A$2:$C$70,3,FALSE)</f>
        <v>120</v>
      </c>
      <c r="J2367" s="5">
        <f>VLOOKUP(F2367,'Set up'!$A$2:$D$70,4,FALSE)</f>
        <v>120</v>
      </c>
      <c r="K2367" s="4">
        <f t="shared" si="605"/>
        <v>45381</v>
      </c>
      <c r="L2367" s="5">
        <f t="shared" si="606"/>
        <v>3</v>
      </c>
      <c r="M2367" s="5">
        <f t="shared" si="607"/>
        <v>2024</v>
      </c>
      <c r="N2367" s="96">
        <v>230.4</v>
      </c>
      <c r="O2367" s="6">
        <f t="shared" si="616"/>
        <v>-230.4</v>
      </c>
      <c r="P2367" s="6">
        <f t="shared" si="610"/>
        <v>0</v>
      </c>
      <c r="Q2367" s="7">
        <f t="shared" si="612"/>
        <v>3922533.950000002</v>
      </c>
      <c r="R2367" s="44" t="str">
        <f>VLOOKUP(F2367,'Set up'!$A$2:$E$70,5,FALSE)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603"/>
        <v>12</v>
      </c>
      <c r="C2368" s="5">
        <f t="shared" si="604"/>
        <v>2023</v>
      </c>
      <c r="D2368" s="88" t="s">
        <v>2175</v>
      </c>
      <c r="E2368" s="5" t="str">
        <f>VLOOKUP(F2368,'Set up'!$A$2:$C$70,2,FALSE)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up'!$A$2:$C$70,3,FALSE)</f>
        <v>120</v>
      </c>
      <c r="J2368" s="5">
        <f>VLOOKUP(F2368,'Set up'!$A$2:$D$70,4,FALSE)</f>
        <v>120</v>
      </c>
      <c r="K2368" s="4">
        <f t="shared" si="605"/>
        <v>45381</v>
      </c>
      <c r="L2368" s="5">
        <f t="shared" si="606"/>
        <v>3</v>
      </c>
      <c r="M2368" s="5">
        <f t="shared" si="607"/>
        <v>2024</v>
      </c>
      <c r="N2368" s="96">
        <v>395</v>
      </c>
      <c r="O2368" s="6">
        <f t="shared" si="616"/>
        <v>-395</v>
      </c>
      <c r="P2368" s="6">
        <f t="shared" si="610"/>
        <v>0</v>
      </c>
      <c r="Q2368" s="7">
        <f t="shared" si="612"/>
        <v>3922928.950000002</v>
      </c>
      <c r="R2368" s="44" t="str">
        <f>VLOOKUP(F2368,'Set up'!$A$2:$E$70,5,FALSE)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603"/>
        <v>12</v>
      </c>
      <c r="C2369" s="5">
        <f t="shared" si="604"/>
        <v>2023</v>
      </c>
      <c r="D2369" s="88" t="s">
        <v>2176</v>
      </c>
      <c r="E2369" s="5" t="str">
        <f>VLOOKUP(F2369,'Set up'!$A$2:$C$70,2,FALSE)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up'!$A$2:$C$70,3,FALSE)</f>
        <v>Cash</v>
      </c>
      <c r="J2369" s="5">
        <f>VLOOKUP(F2369,'Set up'!$A$2:$D$70,4,FALSE)</f>
        <v>0</v>
      </c>
      <c r="K2369" s="4">
        <f t="shared" si="605"/>
        <v>45261</v>
      </c>
      <c r="L2369" s="5">
        <f t="shared" si="606"/>
        <v>12</v>
      </c>
      <c r="M2369" s="5">
        <f t="shared" si="607"/>
        <v>2023</v>
      </c>
      <c r="N2369" s="96">
        <v>125</v>
      </c>
      <c r="O2369" s="6">
        <f>-N2369</f>
        <v>-125</v>
      </c>
      <c r="P2369" s="6">
        <f t="shared" si="610"/>
        <v>0</v>
      </c>
      <c r="Q2369" s="7">
        <f t="shared" si="612"/>
        <v>3923053.950000002</v>
      </c>
      <c r="R2369" s="44" t="str">
        <f>VLOOKUP(F2369,'Set up'!$A$2:$E$70,5,FALSE)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603"/>
        <v>12</v>
      </c>
      <c r="C2370" s="5">
        <f t="shared" si="604"/>
        <v>2023</v>
      </c>
      <c r="D2370" s="88" t="s">
        <v>2177</v>
      </c>
      <c r="E2370" s="5" t="str">
        <f>VLOOKUP(F2370,'Set up'!$A$2:$C$70,2,FALSE)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up'!$A$2:$C$70,3,FALSE)</f>
        <v>Cash</v>
      </c>
      <c r="J2370" s="5">
        <f>VLOOKUP(F2370,'Set up'!$A$2:$D$70,4,FALSE)</f>
        <v>0</v>
      </c>
      <c r="K2370" s="4">
        <f t="shared" si="605"/>
        <v>45261</v>
      </c>
      <c r="L2370" s="5">
        <f t="shared" si="606"/>
        <v>12</v>
      </c>
      <c r="M2370" s="5">
        <f t="shared" si="607"/>
        <v>2023</v>
      </c>
      <c r="N2370" s="96">
        <v>3212</v>
      </c>
      <c r="O2370" s="6">
        <f>-N2370</f>
        <v>-3212</v>
      </c>
      <c r="P2370" s="6">
        <f t="shared" si="610"/>
        <v>0</v>
      </c>
      <c r="Q2370" s="7">
        <f t="shared" si="612"/>
        <v>3926265.950000002</v>
      </c>
      <c r="R2370" s="44" t="str">
        <f>VLOOKUP(F2370,'Set up'!$A$2:$E$70,5,FALSE)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ref="B2371:B2434" si="617">MONTH(A2371)</f>
        <v>12</v>
      </c>
      <c r="C2371" s="5">
        <f t="shared" ref="C2371:C2434" si="618">YEAR(A2371)</f>
        <v>2023</v>
      </c>
      <c r="D2371" s="88" t="s">
        <v>2177</v>
      </c>
      <c r="E2371" s="5" t="str">
        <f>VLOOKUP(F2371,'Set up'!$A$2:$C$70,2,FALSE)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up'!$A$2:$C$70,3,FALSE)</f>
        <v>Cash</v>
      </c>
      <c r="J2371" s="5">
        <f>VLOOKUP(F2371,'Set up'!$A$2:$D$70,4,FALSE)</f>
        <v>0</v>
      </c>
      <c r="K2371" s="4">
        <f t="shared" ref="K2371:K2434" si="619">A2371+J2371</f>
        <v>45261</v>
      </c>
      <c r="L2371" s="5">
        <f t="shared" ref="L2371:L2434" si="620">MONTH(K2371)</f>
        <v>12</v>
      </c>
      <c r="M2371" s="5">
        <f t="shared" ref="M2371:M2434" si="621">YEAR(K2371)</f>
        <v>2023</v>
      </c>
      <c r="N2371" s="96">
        <v>870</v>
      </c>
      <c r="O2371" s="6">
        <f>-N2371</f>
        <v>-870</v>
      </c>
      <c r="P2371" s="6">
        <f t="shared" si="610"/>
        <v>0</v>
      </c>
      <c r="Q2371" s="7">
        <f t="shared" si="612"/>
        <v>3927135.950000002</v>
      </c>
      <c r="R2371" s="44" t="str">
        <f>VLOOKUP(F2371,'Set up'!$A$2:$E$70,5,FALSE)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617"/>
        <v>12</v>
      </c>
      <c r="C2372" s="5">
        <f t="shared" si="618"/>
        <v>2023</v>
      </c>
      <c r="D2372" s="88" t="s">
        <v>2177</v>
      </c>
      <c r="E2372" s="5" t="str">
        <f>VLOOKUP(F2372,'Set up'!$A$2:$C$70,2,FALSE)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up'!$A$2:$C$70,3,FALSE)</f>
        <v>Cash</v>
      </c>
      <c r="J2372" s="5">
        <f>VLOOKUP(F2372,'Set up'!$A$2:$D$70,4,FALSE)</f>
        <v>0</v>
      </c>
      <c r="K2372" s="4">
        <f t="shared" si="619"/>
        <v>45261</v>
      </c>
      <c r="L2372" s="5">
        <f t="shared" si="620"/>
        <v>12</v>
      </c>
      <c r="M2372" s="5">
        <f t="shared" si="621"/>
        <v>2023</v>
      </c>
      <c r="N2372" s="96">
        <v>702</v>
      </c>
      <c r="O2372" s="6">
        <f>-N2372</f>
        <v>-702</v>
      </c>
      <c r="P2372" s="6">
        <f t="shared" si="610"/>
        <v>0</v>
      </c>
      <c r="Q2372" s="7">
        <f t="shared" si="612"/>
        <v>3927837.950000002</v>
      </c>
      <c r="R2372" s="44" t="str">
        <f>VLOOKUP(F2372,'Set up'!$A$2:$E$70,5,FALSE)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617"/>
        <v>12</v>
      </c>
      <c r="C2373" s="5">
        <f t="shared" si="618"/>
        <v>2023</v>
      </c>
      <c r="D2373" s="88" t="s">
        <v>2178</v>
      </c>
      <c r="E2373" s="5" t="str">
        <f>VLOOKUP(F2373,'Set up'!$A$2:$C$70,2,FALSE)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up'!$A$2:$C$70,3,FALSE)</f>
        <v>Cash</v>
      </c>
      <c r="J2373" s="5">
        <f>VLOOKUP(F2373,'Set up'!$A$2:$D$70,4,FALSE)</f>
        <v>0</v>
      </c>
      <c r="K2373" s="4">
        <f t="shared" si="619"/>
        <v>45261</v>
      </c>
      <c r="L2373" s="5">
        <f t="shared" si="620"/>
        <v>12</v>
      </c>
      <c r="M2373" s="5">
        <f t="shared" si="621"/>
        <v>2023</v>
      </c>
      <c r="N2373" s="96">
        <v>237</v>
      </c>
      <c r="O2373" s="6">
        <f t="shared" ref="O2373:O2385" si="622">-N2373</f>
        <v>-237</v>
      </c>
      <c r="P2373" s="6">
        <f t="shared" si="610"/>
        <v>0</v>
      </c>
      <c r="Q2373" s="7">
        <f t="shared" si="612"/>
        <v>3928074.950000002</v>
      </c>
      <c r="R2373" s="44" t="str">
        <f>VLOOKUP(F2373,'Set up'!$A$2:$E$70,5,FALSE)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617"/>
        <v>12</v>
      </c>
      <c r="C2374" s="5">
        <f t="shared" si="618"/>
        <v>2023</v>
      </c>
      <c r="D2374" s="88" t="s">
        <v>2179</v>
      </c>
      <c r="E2374" s="5" t="str">
        <f>VLOOKUP(F2374,'Set up'!$A$2:$C$70,2,FALSE)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up'!$A$2:$C$70,3,FALSE)</f>
        <v>Cash</v>
      </c>
      <c r="J2374" s="5">
        <f>VLOOKUP(F2374,'Set up'!$A$2:$D$70,4,FALSE)</f>
        <v>0</v>
      </c>
      <c r="K2374" s="4">
        <f t="shared" si="619"/>
        <v>45262</v>
      </c>
      <c r="L2374" s="5">
        <f t="shared" si="620"/>
        <v>12</v>
      </c>
      <c r="M2374" s="5">
        <f t="shared" si="621"/>
        <v>2023</v>
      </c>
      <c r="N2374" s="96">
        <v>1606</v>
      </c>
      <c r="O2374" s="6">
        <f t="shared" si="622"/>
        <v>-1606</v>
      </c>
      <c r="P2374" s="6">
        <f t="shared" si="610"/>
        <v>0</v>
      </c>
      <c r="Q2374" s="7">
        <f t="shared" si="612"/>
        <v>3929680.950000002</v>
      </c>
      <c r="R2374" s="44" t="str">
        <f>VLOOKUP(F2374,'Set up'!$A$2:$E$70,5,FALSE)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617"/>
        <v>12</v>
      </c>
      <c r="C2375" s="5">
        <f t="shared" si="618"/>
        <v>2023</v>
      </c>
      <c r="D2375" s="88" t="s">
        <v>2179</v>
      </c>
      <c r="E2375" s="5" t="str">
        <f>VLOOKUP(F2375,'Set up'!$A$2:$C$70,2,FALSE)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up'!$A$2:$C$70,3,FALSE)</f>
        <v>Cash</v>
      </c>
      <c r="J2375" s="5">
        <f>VLOOKUP(F2375,'Set up'!$A$2:$D$70,4,FALSE)</f>
        <v>0</v>
      </c>
      <c r="K2375" s="4">
        <f t="shared" si="619"/>
        <v>45262</v>
      </c>
      <c r="L2375" s="5">
        <f t="shared" si="620"/>
        <v>12</v>
      </c>
      <c r="M2375" s="5">
        <f t="shared" si="621"/>
        <v>2023</v>
      </c>
      <c r="N2375" s="96">
        <v>1597.5</v>
      </c>
      <c r="O2375" s="6">
        <f t="shared" si="622"/>
        <v>-1597.5</v>
      </c>
      <c r="P2375" s="6">
        <f t="shared" si="610"/>
        <v>0</v>
      </c>
      <c r="Q2375" s="7">
        <f t="shared" si="612"/>
        <v>3931278.450000002</v>
      </c>
      <c r="R2375" s="44" t="str">
        <f>VLOOKUP(F2375,'Set up'!$A$2:$E$70,5,FALSE)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617"/>
        <v>12</v>
      </c>
      <c r="C2376" s="5">
        <f t="shared" si="618"/>
        <v>2023</v>
      </c>
      <c r="D2376" s="88" t="s">
        <v>2179</v>
      </c>
      <c r="E2376" s="5" t="str">
        <f>VLOOKUP(F2376,'Set up'!$A$2:$C$70,2,FALSE)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up'!$A$2:$C$70,3,FALSE)</f>
        <v>Cash</v>
      </c>
      <c r="J2376" s="5">
        <f>VLOOKUP(F2376,'Set up'!$A$2:$D$70,4,FALSE)</f>
        <v>0</v>
      </c>
      <c r="K2376" s="4">
        <f t="shared" si="619"/>
        <v>45262</v>
      </c>
      <c r="L2376" s="5">
        <f t="shared" si="620"/>
        <v>12</v>
      </c>
      <c r="M2376" s="5">
        <f t="shared" si="621"/>
        <v>2023</v>
      </c>
      <c r="N2376" s="96">
        <v>840</v>
      </c>
      <c r="O2376" s="6">
        <f t="shared" si="622"/>
        <v>-840</v>
      </c>
      <c r="P2376" s="6">
        <f t="shared" si="610"/>
        <v>0</v>
      </c>
      <c r="Q2376" s="7">
        <f t="shared" si="612"/>
        <v>3932118.450000002</v>
      </c>
      <c r="R2376" s="44" t="str">
        <f>VLOOKUP(F2376,'Set up'!$A$2:$E$70,5,FALSE)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617"/>
        <v>12</v>
      </c>
      <c r="C2377" s="5">
        <f t="shared" si="618"/>
        <v>2023</v>
      </c>
      <c r="D2377" s="88" t="s">
        <v>2179</v>
      </c>
      <c r="E2377" s="5" t="str">
        <f>VLOOKUP(F2377,'Set up'!$A$2:$C$70,2,FALSE)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up'!$A$2:$C$70,3,FALSE)</f>
        <v>Cash</v>
      </c>
      <c r="J2377" s="5">
        <f>VLOOKUP(F2377,'Set up'!$A$2:$D$70,4,FALSE)</f>
        <v>0</v>
      </c>
      <c r="K2377" s="4">
        <f t="shared" si="619"/>
        <v>45262</v>
      </c>
      <c r="L2377" s="5">
        <f t="shared" si="620"/>
        <v>12</v>
      </c>
      <c r="M2377" s="5">
        <f t="shared" si="621"/>
        <v>2023</v>
      </c>
      <c r="N2377" s="96">
        <v>851.4</v>
      </c>
      <c r="O2377" s="6">
        <f t="shared" si="622"/>
        <v>-851.4</v>
      </c>
      <c r="P2377" s="6">
        <f t="shared" si="610"/>
        <v>0</v>
      </c>
      <c r="Q2377" s="7">
        <f t="shared" si="612"/>
        <v>3932969.850000002</v>
      </c>
      <c r="R2377" s="44" t="str">
        <f>VLOOKUP(F2377,'Set up'!$A$2:$E$70,5,FALSE)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617"/>
        <v>12</v>
      </c>
      <c r="C2378" s="5">
        <f t="shared" si="618"/>
        <v>2023</v>
      </c>
      <c r="D2378" s="88" t="s">
        <v>2179</v>
      </c>
      <c r="E2378" s="5" t="str">
        <f>VLOOKUP(F2378,'Set up'!$A$2:$C$70,2,FALSE)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up'!$A$2:$C$70,3,FALSE)</f>
        <v>Cash</v>
      </c>
      <c r="J2378" s="5">
        <f>VLOOKUP(F2378,'Set up'!$A$2:$D$70,4,FALSE)</f>
        <v>0</v>
      </c>
      <c r="K2378" s="4">
        <f t="shared" si="619"/>
        <v>45262</v>
      </c>
      <c r="L2378" s="5">
        <f t="shared" si="620"/>
        <v>12</v>
      </c>
      <c r="M2378" s="5">
        <f t="shared" si="621"/>
        <v>2023</v>
      </c>
      <c r="N2378" s="96">
        <v>105</v>
      </c>
      <c r="O2378" s="6">
        <f t="shared" si="622"/>
        <v>-105</v>
      </c>
      <c r="P2378" s="6">
        <f t="shared" si="610"/>
        <v>0</v>
      </c>
      <c r="Q2378" s="7">
        <f t="shared" si="612"/>
        <v>3933074.850000002</v>
      </c>
      <c r="R2378" s="44" t="str">
        <f>VLOOKUP(F2378,'Set up'!$A$2:$E$70,5,FALSE)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617"/>
        <v>12</v>
      </c>
      <c r="C2379" s="5">
        <f t="shared" si="618"/>
        <v>2023</v>
      </c>
      <c r="D2379" s="88" t="s">
        <v>2179</v>
      </c>
      <c r="E2379" s="5" t="str">
        <f>VLOOKUP(F2379,'Set up'!$A$2:$C$70,2,FALSE)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up'!$A$2:$C$70,3,FALSE)</f>
        <v>Cash</v>
      </c>
      <c r="J2379" s="5">
        <f>VLOOKUP(F2379,'Set up'!$A$2:$D$70,4,FALSE)</f>
        <v>0</v>
      </c>
      <c r="K2379" s="4">
        <f t="shared" si="619"/>
        <v>45262</v>
      </c>
      <c r="L2379" s="5">
        <f t="shared" si="620"/>
        <v>12</v>
      </c>
      <c r="M2379" s="5">
        <f t="shared" si="621"/>
        <v>2023</v>
      </c>
      <c r="N2379" s="96">
        <v>480</v>
      </c>
      <c r="O2379" s="6">
        <f t="shared" si="622"/>
        <v>-480</v>
      </c>
      <c r="P2379" s="6">
        <f t="shared" si="610"/>
        <v>0</v>
      </c>
      <c r="Q2379" s="7">
        <f t="shared" si="612"/>
        <v>3933554.850000002</v>
      </c>
      <c r="R2379" s="44" t="str">
        <f>VLOOKUP(F2379,'Set up'!$A$2:$E$70,5,FALSE)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617"/>
        <v>12</v>
      </c>
      <c r="C2380" s="5">
        <f t="shared" si="618"/>
        <v>2023</v>
      </c>
      <c r="D2380" s="88" t="s">
        <v>2180</v>
      </c>
      <c r="E2380" s="5" t="str">
        <f>VLOOKUP(F2380,'Set up'!$A$2:$C$70,2,FALSE)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up'!$A$2:$C$70,3,FALSE)</f>
        <v>Cash</v>
      </c>
      <c r="J2380" s="5">
        <f>VLOOKUP(F2380,'Set up'!$A$2:$D$70,4,FALSE)</f>
        <v>0</v>
      </c>
      <c r="K2380" s="4">
        <f t="shared" si="619"/>
        <v>45262</v>
      </c>
      <c r="L2380" s="5">
        <f t="shared" si="620"/>
        <v>12</v>
      </c>
      <c r="M2380" s="5">
        <f t="shared" si="621"/>
        <v>2023</v>
      </c>
      <c r="N2380" s="96">
        <v>1738</v>
      </c>
      <c r="O2380" s="6">
        <f t="shared" si="622"/>
        <v>-1738</v>
      </c>
      <c r="P2380" s="6">
        <f t="shared" si="610"/>
        <v>0</v>
      </c>
      <c r="Q2380" s="7">
        <f t="shared" si="612"/>
        <v>3935292.850000002</v>
      </c>
      <c r="R2380" s="44" t="str">
        <f>VLOOKUP(F2380,'Set up'!$A$2:$E$70,5,FALSE)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617"/>
        <v>12</v>
      </c>
      <c r="C2381" s="5">
        <f t="shared" si="618"/>
        <v>2023</v>
      </c>
      <c r="D2381" s="88" t="s">
        <v>2180</v>
      </c>
      <c r="E2381" s="5" t="str">
        <f>VLOOKUP(F2381,'Set up'!$A$2:$C$70,2,FALSE)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up'!$A$2:$C$70,3,FALSE)</f>
        <v>Cash</v>
      </c>
      <c r="J2381" s="5">
        <f>VLOOKUP(F2381,'Set up'!$A$2:$D$70,4,FALSE)</f>
        <v>0</v>
      </c>
      <c r="K2381" s="4">
        <f t="shared" si="619"/>
        <v>45262</v>
      </c>
      <c r="L2381" s="5">
        <f t="shared" si="620"/>
        <v>12</v>
      </c>
      <c r="M2381" s="5">
        <f t="shared" si="621"/>
        <v>2023</v>
      </c>
      <c r="N2381" s="96">
        <v>277.5</v>
      </c>
      <c r="O2381" s="6">
        <f t="shared" si="622"/>
        <v>-277.5</v>
      </c>
      <c r="P2381" s="6">
        <f t="shared" si="610"/>
        <v>0</v>
      </c>
      <c r="Q2381" s="7">
        <f t="shared" si="612"/>
        <v>3935570.350000002</v>
      </c>
      <c r="R2381" s="44" t="str">
        <f>VLOOKUP(F2381,'Set up'!$A$2:$E$70,5,FALSE)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617"/>
        <v>12</v>
      </c>
      <c r="C2382" s="5">
        <f t="shared" si="618"/>
        <v>2023</v>
      </c>
      <c r="D2382" s="88" t="s">
        <v>2180</v>
      </c>
      <c r="E2382" s="5" t="str">
        <f>VLOOKUP(F2382,'Set up'!$A$2:$C$70,2,FALSE)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up'!$A$2:$C$70,3,FALSE)</f>
        <v>Cash</v>
      </c>
      <c r="J2382" s="5">
        <f>VLOOKUP(F2382,'Set up'!$A$2:$D$70,4,FALSE)</f>
        <v>0</v>
      </c>
      <c r="K2382" s="4">
        <f t="shared" si="619"/>
        <v>45262</v>
      </c>
      <c r="L2382" s="5">
        <f t="shared" si="620"/>
        <v>12</v>
      </c>
      <c r="M2382" s="5">
        <f t="shared" si="621"/>
        <v>2023</v>
      </c>
      <c r="N2382" s="96">
        <v>450</v>
      </c>
      <c r="O2382" s="6">
        <f t="shared" si="622"/>
        <v>-450</v>
      </c>
      <c r="P2382" s="6">
        <f t="shared" si="610"/>
        <v>0</v>
      </c>
      <c r="Q2382" s="7">
        <f t="shared" si="612"/>
        <v>3936020.350000002</v>
      </c>
      <c r="R2382" s="44" t="str">
        <f>VLOOKUP(F2382,'Set up'!$A$2:$E$70,5,FALSE)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617"/>
        <v>12</v>
      </c>
      <c r="C2383" s="5">
        <f t="shared" si="618"/>
        <v>2023</v>
      </c>
      <c r="D2383" s="88" t="s">
        <v>2180</v>
      </c>
      <c r="E2383" s="5" t="str">
        <f>VLOOKUP(F2383,'Set up'!$A$2:$C$70,2,FALSE)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up'!$A$2:$C$70,3,FALSE)</f>
        <v>Cash</v>
      </c>
      <c r="J2383" s="5">
        <f>VLOOKUP(F2383,'Set up'!$A$2:$D$70,4,FALSE)</f>
        <v>0</v>
      </c>
      <c r="K2383" s="4">
        <f t="shared" si="619"/>
        <v>45262</v>
      </c>
      <c r="L2383" s="5">
        <f t="shared" si="620"/>
        <v>12</v>
      </c>
      <c r="M2383" s="5">
        <f t="shared" si="621"/>
        <v>2023</v>
      </c>
      <c r="N2383" s="96">
        <v>95</v>
      </c>
      <c r="O2383" s="6">
        <f t="shared" si="622"/>
        <v>-95</v>
      </c>
      <c r="P2383" s="6">
        <f t="shared" si="610"/>
        <v>0</v>
      </c>
      <c r="Q2383" s="7">
        <f t="shared" si="612"/>
        <v>3936115.350000002</v>
      </c>
      <c r="R2383" s="44" t="str">
        <f>VLOOKUP(F2383,'Set up'!$A$2:$E$70,5,FALSE)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617"/>
        <v>12</v>
      </c>
      <c r="C2384" s="5">
        <f t="shared" si="618"/>
        <v>2023</v>
      </c>
      <c r="D2384" s="88" t="s">
        <v>2180</v>
      </c>
      <c r="E2384" s="5" t="str">
        <f>VLOOKUP(F2384,'Set up'!$A$2:$C$70,2,FALSE)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up'!$A$2:$C$70,3,FALSE)</f>
        <v>Cash</v>
      </c>
      <c r="J2384" s="5">
        <f>VLOOKUP(F2384,'Set up'!$A$2:$D$70,4,FALSE)</f>
        <v>0</v>
      </c>
      <c r="K2384" s="4">
        <f t="shared" si="619"/>
        <v>45262</v>
      </c>
      <c r="L2384" s="5">
        <f t="shared" si="620"/>
        <v>12</v>
      </c>
      <c r="M2384" s="5">
        <f t="shared" si="621"/>
        <v>2023</v>
      </c>
      <c r="N2384" s="96">
        <v>312.5</v>
      </c>
      <c r="O2384" s="6">
        <f t="shared" si="622"/>
        <v>-312.5</v>
      </c>
      <c r="P2384" s="6">
        <f t="shared" si="610"/>
        <v>0</v>
      </c>
      <c r="Q2384" s="7">
        <f t="shared" si="612"/>
        <v>3936427.850000002</v>
      </c>
      <c r="R2384" s="44" t="str">
        <f>VLOOKUP(F2384,'Set up'!$A$2:$E$70,5,FALSE)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617"/>
        <v>12</v>
      </c>
      <c r="C2385" s="5">
        <f t="shared" si="618"/>
        <v>2023</v>
      </c>
      <c r="D2385" s="88" t="s">
        <v>2180</v>
      </c>
      <c r="E2385" s="5" t="str">
        <f>VLOOKUP(F2385,'Set up'!$A$2:$C$70,2,FALSE)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up'!$A$2:$C$70,3,FALSE)</f>
        <v>Cash</v>
      </c>
      <c r="J2385" s="5">
        <f>VLOOKUP(F2385,'Set up'!$A$2:$D$70,4,FALSE)</f>
        <v>0</v>
      </c>
      <c r="K2385" s="4">
        <f t="shared" si="619"/>
        <v>45262</v>
      </c>
      <c r="L2385" s="5">
        <f t="shared" si="620"/>
        <v>12</v>
      </c>
      <c r="M2385" s="5">
        <f t="shared" si="621"/>
        <v>2023</v>
      </c>
      <c r="N2385" s="96">
        <v>576</v>
      </c>
      <c r="O2385" s="6">
        <f t="shared" si="622"/>
        <v>-576</v>
      </c>
      <c r="P2385" s="6">
        <f t="shared" si="610"/>
        <v>0</v>
      </c>
      <c r="Q2385" s="7">
        <f t="shared" si="612"/>
        <v>3937003.850000002</v>
      </c>
      <c r="R2385" s="44" t="str">
        <f>VLOOKUP(F2385,'Set up'!$A$2:$E$70,5,FALSE)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617"/>
        <v>12</v>
      </c>
      <c r="C2386" s="5">
        <f t="shared" si="618"/>
        <v>2023</v>
      </c>
      <c r="D2386" s="88" t="s">
        <v>2181</v>
      </c>
      <c r="E2386" s="5" t="str">
        <f>VLOOKUP(F2386,'Set up'!$A$2:$C$70,2,FALSE)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up'!$A$2:$C$70,3,FALSE)</f>
        <v>Cash</v>
      </c>
      <c r="J2386" s="5">
        <f>VLOOKUP(F2386,'Set up'!$A$2:$D$70,4,FALSE)</f>
        <v>0</v>
      </c>
      <c r="K2386" s="4">
        <f t="shared" si="619"/>
        <v>45264</v>
      </c>
      <c r="L2386" s="5">
        <f t="shared" si="620"/>
        <v>12</v>
      </c>
      <c r="M2386" s="5">
        <f t="shared" si="621"/>
        <v>2023</v>
      </c>
      <c r="N2386" s="96">
        <v>250</v>
      </c>
      <c r="O2386" s="6">
        <f>-248.5-1.5</f>
        <v>-250</v>
      </c>
      <c r="P2386" s="6">
        <f t="shared" si="610"/>
        <v>0</v>
      </c>
      <c r="Q2386" s="7">
        <f t="shared" si="612"/>
        <v>3937253.850000002</v>
      </c>
      <c r="R2386" s="44" t="str">
        <f>VLOOKUP(F2386,'Set up'!$A$2:$E$70,5,FALSE)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617"/>
        <v>12</v>
      </c>
      <c r="C2387" s="5">
        <f t="shared" si="618"/>
        <v>2023</v>
      </c>
      <c r="D2387" s="88" t="s">
        <v>2182</v>
      </c>
      <c r="E2387" s="5" t="str">
        <f>VLOOKUP(F2387,'Set up'!$A$2:$C$70,2,FALSE)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up'!$A$2:$C$70,3,FALSE)</f>
        <v>Cash</v>
      </c>
      <c r="J2387" s="5">
        <f>VLOOKUP(F2387,'Set up'!$A$2:$D$70,4,FALSE)</f>
        <v>0</v>
      </c>
      <c r="K2387" s="4">
        <f t="shared" si="619"/>
        <v>45264</v>
      </c>
      <c r="L2387" s="5">
        <f t="shared" si="620"/>
        <v>12</v>
      </c>
      <c r="M2387" s="5">
        <f t="shared" si="621"/>
        <v>2023</v>
      </c>
      <c r="N2387" s="96">
        <v>6424</v>
      </c>
      <c r="O2387" s="6">
        <f>-N2387</f>
        <v>-6424</v>
      </c>
      <c r="P2387" s="6">
        <f t="shared" ref="P2387:P2452" si="623">SUM(N2387+O2387)</f>
        <v>0</v>
      </c>
      <c r="Q2387" s="7">
        <f t="shared" si="612"/>
        <v>3943677.850000002</v>
      </c>
      <c r="R2387" s="44" t="str">
        <f>VLOOKUP(F2387,'Set up'!$A$2:$E$70,5,FALSE)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617"/>
        <v>12</v>
      </c>
      <c r="C2388" s="5">
        <f t="shared" si="618"/>
        <v>2023</v>
      </c>
      <c r="D2388" s="88" t="s">
        <v>2182</v>
      </c>
      <c r="E2388" s="5" t="str">
        <f>VLOOKUP(F2388,'Set up'!$A$2:$C$70,2,FALSE)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up'!$A$2:$C$70,3,FALSE)</f>
        <v>Cash</v>
      </c>
      <c r="J2388" s="5">
        <f>VLOOKUP(F2388,'Set up'!$A$2:$D$70,4,FALSE)</f>
        <v>0</v>
      </c>
      <c r="K2388" s="4">
        <f t="shared" si="619"/>
        <v>45264</v>
      </c>
      <c r="L2388" s="5">
        <f t="shared" si="620"/>
        <v>12</v>
      </c>
      <c r="M2388" s="5">
        <f t="shared" si="621"/>
        <v>2023</v>
      </c>
      <c r="N2388" s="96">
        <v>2088</v>
      </c>
      <c r="O2388" s="6">
        <f>-N2388</f>
        <v>-2088</v>
      </c>
      <c r="P2388" s="6">
        <f t="shared" si="623"/>
        <v>0</v>
      </c>
      <c r="Q2388" s="7">
        <f t="shared" si="612"/>
        <v>3945765.850000002</v>
      </c>
      <c r="R2388" s="44" t="str">
        <f>VLOOKUP(F2388,'Set up'!$A$2:$E$70,5,FALSE)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617"/>
        <v>12</v>
      </c>
      <c r="C2389" s="5">
        <f t="shared" si="618"/>
        <v>2023</v>
      </c>
      <c r="D2389" s="88" t="s">
        <v>2182</v>
      </c>
      <c r="E2389" s="5" t="str">
        <f>VLOOKUP(F2389,'Set up'!$A$2:$C$70,2,FALSE)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up'!$A$2:$C$70,3,FALSE)</f>
        <v>Cash</v>
      </c>
      <c r="J2389" s="5">
        <f>VLOOKUP(F2389,'Set up'!$A$2:$D$70,4,FALSE)</f>
        <v>0</v>
      </c>
      <c r="K2389" s="4">
        <f t="shared" si="619"/>
        <v>45264</v>
      </c>
      <c r="L2389" s="5">
        <f t="shared" si="620"/>
        <v>12</v>
      </c>
      <c r="M2389" s="5">
        <f t="shared" si="621"/>
        <v>2023</v>
      </c>
      <c r="N2389" s="96">
        <v>1170</v>
      </c>
      <c r="O2389" s="6">
        <f>-N2389</f>
        <v>-1170</v>
      </c>
      <c r="P2389" s="6">
        <f t="shared" si="623"/>
        <v>0</v>
      </c>
      <c r="Q2389" s="7">
        <f t="shared" si="612"/>
        <v>3946935.850000002</v>
      </c>
      <c r="R2389" s="44" t="str">
        <f>VLOOKUP(F2389,'Set up'!$A$2:$E$70,5,FALSE)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617"/>
        <v>12</v>
      </c>
      <c r="C2390" s="5">
        <f t="shared" si="618"/>
        <v>2023</v>
      </c>
      <c r="D2390" s="88" t="s">
        <v>2183</v>
      </c>
      <c r="E2390" s="5" t="str">
        <f>VLOOKUP(F2390,'Set up'!$A$2:$C$70,2,FALSE)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up'!$A$2:$C$70,3,FALSE)</f>
        <v>Cash</v>
      </c>
      <c r="J2390" s="5">
        <f>VLOOKUP(F2390,'Set up'!$A$2:$D$70,4,FALSE)</f>
        <v>0</v>
      </c>
      <c r="K2390" s="4">
        <f t="shared" si="619"/>
        <v>45267</v>
      </c>
      <c r="L2390" s="5">
        <f t="shared" si="620"/>
        <v>12</v>
      </c>
      <c r="M2390" s="5">
        <f t="shared" si="621"/>
        <v>2023</v>
      </c>
      <c r="N2390" s="96">
        <v>1738</v>
      </c>
      <c r="O2390" s="6">
        <f t="shared" ref="O2390:O2394" si="624">-N2390</f>
        <v>-1738</v>
      </c>
      <c r="P2390" s="6">
        <f t="shared" si="623"/>
        <v>0</v>
      </c>
      <c r="Q2390" s="7">
        <f t="shared" si="612"/>
        <v>3948673.850000002</v>
      </c>
      <c r="R2390" s="44" t="str">
        <f>VLOOKUP(F2390,'Set up'!$A$2:$E$70,5,FALSE)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617"/>
        <v>12</v>
      </c>
      <c r="C2391" s="5">
        <f t="shared" si="618"/>
        <v>2023</v>
      </c>
      <c r="D2391" s="88" t="s">
        <v>2183</v>
      </c>
      <c r="E2391" s="5" t="str">
        <f>VLOOKUP(F2391,'Set up'!$A$2:$C$70,2,FALSE)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up'!$A$2:$C$70,3,FALSE)</f>
        <v>Cash</v>
      </c>
      <c r="J2391" s="5">
        <f>VLOOKUP(F2391,'Set up'!$A$2:$D$70,4,FALSE)</f>
        <v>0</v>
      </c>
      <c r="K2391" s="4">
        <f t="shared" si="619"/>
        <v>45267</v>
      </c>
      <c r="L2391" s="5">
        <f t="shared" si="620"/>
        <v>12</v>
      </c>
      <c r="M2391" s="5">
        <f t="shared" si="621"/>
        <v>2023</v>
      </c>
      <c r="N2391" s="96">
        <v>555</v>
      </c>
      <c r="O2391" s="6">
        <f t="shared" si="624"/>
        <v>-555</v>
      </c>
      <c r="P2391" s="6">
        <f t="shared" si="623"/>
        <v>0</v>
      </c>
      <c r="Q2391" s="7">
        <f t="shared" si="612"/>
        <v>3949228.850000002</v>
      </c>
      <c r="R2391" s="44" t="str">
        <f>VLOOKUP(F2391,'Set up'!$A$2:$E$70,5,FALSE)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617"/>
        <v>12</v>
      </c>
      <c r="C2392" s="5">
        <f t="shared" si="618"/>
        <v>2023</v>
      </c>
      <c r="D2392" s="88" t="s">
        <v>2183</v>
      </c>
      <c r="E2392" s="5" t="str">
        <f>VLOOKUP(F2392,'Set up'!$A$2:$C$70,2,FALSE)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up'!$A$2:$C$70,3,FALSE)</f>
        <v>Cash</v>
      </c>
      <c r="J2392" s="5">
        <f>VLOOKUP(F2392,'Set up'!$A$2:$D$70,4,FALSE)</f>
        <v>0</v>
      </c>
      <c r="K2392" s="4">
        <f t="shared" si="619"/>
        <v>45267</v>
      </c>
      <c r="L2392" s="5">
        <f t="shared" si="620"/>
        <v>12</v>
      </c>
      <c r="M2392" s="5">
        <f t="shared" si="621"/>
        <v>2023</v>
      </c>
      <c r="N2392" s="96">
        <v>95</v>
      </c>
      <c r="O2392" s="6">
        <f t="shared" si="624"/>
        <v>-95</v>
      </c>
      <c r="P2392" s="6">
        <f t="shared" si="623"/>
        <v>0</v>
      </c>
      <c r="Q2392" s="7">
        <f t="shared" si="612"/>
        <v>3949323.850000002</v>
      </c>
      <c r="R2392" s="44" t="str">
        <f>VLOOKUP(F2392,'Set up'!$A$2:$E$70,5,FALSE)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617"/>
        <v>12</v>
      </c>
      <c r="C2393" s="5">
        <f t="shared" si="618"/>
        <v>2023</v>
      </c>
      <c r="D2393" s="88" t="s">
        <v>2183</v>
      </c>
      <c r="E2393" s="5" t="str">
        <f>VLOOKUP(F2393,'Set up'!$A$2:$C$70,2,FALSE)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up'!$A$2:$C$70,3,FALSE)</f>
        <v>Cash</v>
      </c>
      <c r="J2393" s="5">
        <f>VLOOKUP(F2393,'Set up'!$A$2:$D$70,4,FALSE)</f>
        <v>0</v>
      </c>
      <c r="K2393" s="4">
        <f t="shared" si="619"/>
        <v>45267</v>
      </c>
      <c r="L2393" s="5">
        <f t="shared" si="620"/>
        <v>12</v>
      </c>
      <c r="M2393" s="5">
        <f t="shared" si="621"/>
        <v>2023</v>
      </c>
      <c r="N2393" s="96">
        <v>312.5</v>
      </c>
      <c r="O2393" s="6">
        <f t="shared" si="624"/>
        <v>-312.5</v>
      </c>
      <c r="P2393" s="6">
        <f t="shared" si="623"/>
        <v>0</v>
      </c>
      <c r="Q2393" s="7">
        <f t="shared" si="612"/>
        <v>3949636.350000002</v>
      </c>
      <c r="R2393" s="44" t="str">
        <f>VLOOKUP(F2393,'Set up'!$A$2:$E$70,5,FALSE)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617"/>
        <v>12</v>
      </c>
      <c r="C2394" s="5">
        <f t="shared" si="618"/>
        <v>2023</v>
      </c>
      <c r="D2394" s="88" t="s">
        <v>2184</v>
      </c>
      <c r="E2394" s="5" t="str">
        <f>VLOOKUP(F2394,'Set up'!$A$2:$C$70,2,FALSE)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up'!$A$2:$C$70,3,FALSE)</f>
        <v>Cash</v>
      </c>
      <c r="J2394" s="5">
        <f>VLOOKUP(F2394,'Set up'!$A$2:$D$70,4,FALSE)</f>
        <v>0</v>
      </c>
      <c r="K2394" s="4">
        <f t="shared" si="619"/>
        <v>45268</v>
      </c>
      <c r="L2394" s="5">
        <f t="shared" si="620"/>
        <v>12</v>
      </c>
      <c r="M2394" s="5">
        <f t="shared" si="621"/>
        <v>2023</v>
      </c>
      <c r="N2394" s="96">
        <v>250</v>
      </c>
      <c r="O2394" s="6">
        <f t="shared" si="624"/>
        <v>-250</v>
      </c>
      <c r="P2394" s="6">
        <f t="shared" si="623"/>
        <v>0</v>
      </c>
      <c r="Q2394" s="7">
        <f t="shared" si="612"/>
        <v>3949886.350000002</v>
      </c>
      <c r="R2394" s="44" t="str">
        <f>VLOOKUP(F2394,'Set up'!$A$2:$E$70,5,FALSE)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617"/>
        <v>12</v>
      </c>
      <c r="C2395" s="5">
        <f t="shared" si="618"/>
        <v>2023</v>
      </c>
      <c r="D2395" s="88" t="s">
        <v>2185</v>
      </c>
      <c r="E2395" s="5" t="str">
        <f>VLOOKUP(F2395,'Set up'!$A$2:$C$70,2,FALSE)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up'!$A$2:$C$70,3,FALSE)</f>
        <v>Cash</v>
      </c>
      <c r="J2395" s="5">
        <f>VLOOKUP(F2395,'Set up'!$A$2:$D$70,4,FALSE)</f>
        <v>0</v>
      </c>
      <c r="K2395" s="4">
        <f t="shared" si="619"/>
        <v>45268</v>
      </c>
      <c r="L2395" s="5">
        <f t="shared" si="620"/>
        <v>12</v>
      </c>
      <c r="M2395" s="5">
        <f t="shared" si="621"/>
        <v>2023</v>
      </c>
      <c r="N2395" s="96">
        <v>3600</v>
      </c>
      <c r="O2395" s="6">
        <f>-3253.8-300</f>
        <v>-3553.8</v>
      </c>
      <c r="P2395" s="6">
        <f t="shared" si="623"/>
        <v>46.199999999999818</v>
      </c>
      <c r="Q2395" s="7">
        <f t="shared" si="612"/>
        <v>3953486.350000002</v>
      </c>
      <c r="R2395" s="44" t="str">
        <f>VLOOKUP(F2395,'Set up'!$A$2:$E$70,5,FALSE)</f>
        <v>Trsf</v>
      </c>
      <c r="S2395" s="1" t="s">
        <v>3611</v>
      </c>
    </row>
    <row r="2396" spans="1:19" ht="15" customHeight="1" x14ac:dyDescent="0.35">
      <c r="A2396" s="4">
        <v>45268</v>
      </c>
      <c r="B2396" s="5">
        <f t="shared" si="617"/>
        <v>12</v>
      </c>
      <c r="C2396" s="5">
        <f t="shared" si="618"/>
        <v>2023</v>
      </c>
      <c r="D2396" s="88" t="s">
        <v>2185</v>
      </c>
      <c r="E2396" s="5" t="str">
        <f>VLOOKUP(F2396,'Set up'!$A$2:$C$70,2,FALSE)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up'!$A$2:$C$70,3,FALSE)</f>
        <v>Cash</v>
      </c>
      <c r="J2396" s="5">
        <f>VLOOKUP(F2396,'Set up'!$A$2:$D$70,4,FALSE)</f>
        <v>0</v>
      </c>
      <c r="K2396" s="4">
        <f t="shared" si="619"/>
        <v>45268</v>
      </c>
      <c r="L2396" s="5">
        <f t="shared" si="620"/>
        <v>12</v>
      </c>
      <c r="M2396" s="5">
        <f t="shared" si="621"/>
        <v>2023</v>
      </c>
      <c r="N2396" s="96">
        <v>468</v>
      </c>
      <c r="P2396" s="6">
        <f t="shared" si="623"/>
        <v>468</v>
      </c>
      <c r="Q2396" s="7">
        <f t="shared" si="612"/>
        <v>3953954.350000002</v>
      </c>
      <c r="R2396" s="44" t="str">
        <f>VLOOKUP(F2396,'Set up'!$A$2:$E$70,5,FALSE)</f>
        <v>Trsf</v>
      </c>
    </row>
    <row r="2397" spans="1:19" ht="15" customHeight="1" x14ac:dyDescent="0.35">
      <c r="A2397" s="4">
        <v>45268</v>
      </c>
      <c r="B2397" s="5">
        <f t="shared" si="617"/>
        <v>12</v>
      </c>
      <c r="C2397" s="5">
        <f t="shared" si="618"/>
        <v>2023</v>
      </c>
      <c r="D2397" s="88" t="s">
        <v>2186</v>
      </c>
      <c r="E2397" s="5" t="str">
        <f>VLOOKUP(F2397,'Set up'!$A$2:$C$70,2,FALSE)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up'!$A$2:$C$70,3,FALSE)</f>
        <v>Cash</v>
      </c>
      <c r="J2397" s="5">
        <f>VLOOKUP(F2397,'Set up'!$A$2:$D$70,4,FALSE)</f>
        <v>0</v>
      </c>
      <c r="K2397" s="4">
        <f t="shared" si="619"/>
        <v>45268</v>
      </c>
      <c r="L2397" s="5">
        <f t="shared" si="620"/>
        <v>12</v>
      </c>
      <c r="M2397" s="5">
        <f t="shared" si="621"/>
        <v>2023</v>
      </c>
      <c r="N2397" s="96">
        <v>1738</v>
      </c>
      <c r="O2397" s="6">
        <f>-141.8-1000-500-96.2</f>
        <v>-1738</v>
      </c>
      <c r="P2397" s="6">
        <f t="shared" si="623"/>
        <v>0</v>
      </c>
      <c r="Q2397" s="7">
        <f t="shared" ref="Q2397:Q2463" si="625">SUM(Q2396+N2397)</f>
        <v>3955692.350000002</v>
      </c>
      <c r="R2397" s="44" t="str">
        <f>VLOOKUP(F2397,'Set up'!$A$2:$E$70,5,FALSE)</f>
        <v>Trsf</v>
      </c>
      <c r="S2397" s="1" t="s">
        <v>3304</v>
      </c>
    </row>
    <row r="2398" spans="1:19" ht="15" customHeight="1" x14ac:dyDescent="0.35">
      <c r="A2398" s="4">
        <v>45268</v>
      </c>
      <c r="B2398" s="5">
        <f t="shared" si="617"/>
        <v>12</v>
      </c>
      <c r="C2398" s="5">
        <f t="shared" si="618"/>
        <v>2023</v>
      </c>
      <c r="D2398" s="88" t="s">
        <v>2186</v>
      </c>
      <c r="E2398" s="5" t="str">
        <f>VLOOKUP(F2398,'Set up'!$A$2:$C$70,2,FALSE)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up'!$A$2:$C$70,3,FALSE)</f>
        <v>Cash</v>
      </c>
      <c r="J2398" s="5">
        <f>VLOOKUP(F2398,'Set up'!$A$2:$D$70,4,FALSE)</f>
        <v>0</v>
      </c>
      <c r="K2398" s="4">
        <f t="shared" si="619"/>
        <v>45268</v>
      </c>
      <c r="L2398" s="5">
        <f t="shared" si="620"/>
        <v>12</v>
      </c>
      <c r="M2398" s="5">
        <f t="shared" si="621"/>
        <v>2023</v>
      </c>
      <c r="N2398" s="96">
        <v>405</v>
      </c>
      <c r="O2398" s="6">
        <f t="shared" ref="O2398:O2400" si="626">-N2398</f>
        <v>-405</v>
      </c>
      <c r="P2398" s="6">
        <f t="shared" si="623"/>
        <v>0</v>
      </c>
      <c r="Q2398" s="7">
        <f t="shared" si="625"/>
        <v>3956097.350000002</v>
      </c>
      <c r="R2398" s="44" t="str">
        <f>VLOOKUP(F2398,'Set up'!$A$2:$E$70,5,FALSE)</f>
        <v>Trsf</v>
      </c>
      <c r="S2398" s="1" t="s">
        <v>3305</v>
      </c>
    </row>
    <row r="2399" spans="1:19" ht="15" customHeight="1" x14ac:dyDescent="0.35">
      <c r="A2399" s="4">
        <v>45268</v>
      </c>
      <c r="B2399" s="5">
        <f t="shared" si="617"/>
        <v>12</v>
      </c>
      <c r="C2399" s="5">
        <f t="shared" si="618"/>
        <v>2023</v>
      </c>
      <c r="D2399" s="88" t="s">
        <v>2186</v>
      </c>
      <c r="E2399" s="5" t="str">
        <f>VLOOKUP(F2399,'Set up'!$A$2:$C$70,2,FALSE)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up'!$A$2:$C$70,3,FALSE)</f>
        <v>Cash</v>
      </c>
      <c r="J2399" s="5">
        <f>VLOOKUP(F2399,'Set up'!$A$2:$D$70,4,FALSE)</f>
        <v>0</v>
      </c>
      <c r="K2399" s="4">
        <f t="shared" si="619"/>
        <v>45268</v>
      </c>
      <c r="L2399" s="5">
        <f t="shared" si="620"/>
        <v>12</v>
      </c>
      <c r="M2399" s="5">
        <f t="shared" si="621"/>
        <v>2023</v>
      </c>
      <c r="N2399" s="96">
        <v>160</v>
      </c>
      <c r="O2399" s="6">
        <f t="shared" si="626"/>
        <v>-160</v>
      </c>
      <c r="P2399" s="6">
        <f t="shared" si="623"/>
        <v>0</v>
      </c>
      <c r="Q2399" s="7">
        <f t="shared" si="625"/>
        <v>3956257.350000002</v>
      </c>
      <c r="R2399" s="44" t="str">
        <f>VLOOKUP(F2399,'Set up'!$A$2:$E$70,5,FALSE)</f>
        <v>Trsf</v>
      </c>
      <c r="S2399" s="1" t="s">
        <v>3306</v>
      </c>
    </row>
    <row r="2400" spans="1:19" ht="15" customHeight="1" x14ac:dyDescent="0.35">
      <c r="A2400" s="4">
        <v>45268</v>
      </c>
      <c r="B2400" s="5">
        <f t="shared" si="617"/>
        <v>12</v>
      </c>
      <c r="C2400" s="5">
        <f t="shared" si="618"/>
        <v>2023</v>
      </c>
      <c r="D2400" s="88" t="s">
        <v>2186</v>
      </c>
      <c r="E2400" s="5" t="str">
        <f>VLOOKUP(F2400,'Set up'!$A$2:$C$70,2,FALSE)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up'!$A$2:$C$70,3,FALSE)</f>
        <v>Cash</v>
      </c>
      <c r="J2400" s="5">
        <f>VLOOKUP(F2400,'Set up'!$A$2:$D$70,4,FALSE)</f>
        <v>0</v>
      </c>
      <c r="K2400" s="4">
        <f t="shared" si="619"/>
        <v>45268</v>
      </c>
      <c r="L2400" s="5">
        <f t="shared" si="620"/>
        <v>12</v>
      </c>
      <c r="M2400" s="5">
        <f t="shared" si="621"/>
        <v>2023</v>
      </c>
      <c r="N2400" s="96">
        <v>390</v>
      </c>
      <c r="O2400" s="6">
        <f t="shared" si="626"/>
        <v>-390</v>
      </c>
      <c r="P2400" s="6">
        <f t="shared" si="623"/>
        <v>0</v>
      </c>
      <c r="Q2400" s="7">
        <f t="shared" si="625"/>
        <v>3956647.350000002</v>
      </c>
      <c r="R2400" s="44" t="str">
        <f>VLOOKUP(F2400,'Set up'!$A$2:$E$70,5,FALSE)</f>
        <v>Trsf</v>
      </c>
      <c r="S2400" s="1" t="s">
        <v>3307</v>
      </c>
    </row>
    <row r="2401" spans="1:19" ht="15" customHeight="1" x14ac:dyDescent="0.35">
      <c r="A2401" s="4">
        <v>45269</v>
      </c>
      <c r="B2401" s="5">
        <f t="shared" si="617"/>
        <v>12</v>
      </c>
      <c r="C2401" s="5">
        <f t="shared" si="618"/>
        <v>2023</v>
      </c>
      <c r="D2401" s="88" t="s">
        <v>2187</v>
      </c>
      <c r="E2401" s="5" t="str">
        <f>VLOOKUP(F2401,'Set up'!$A$2:$C$70,2,FALSE)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up'!$A$2:$C$70,3,FALSE)</f>
        <v>Cash</v>
      </c>
      <c r="J2401" s="5">
        <f>VLOOKUP(F2401,'Set up'!$A$2:$D$70,4,FALSE)</f>
        <v>0</v>
      </c>
      <c r="K2401" s="4">
        <f t="shared" si="619"/>
        <v>45269</v>
      </c>
      <c r="L2401" s="5">
        <f t="shared" si="620"/>
        <v>12</v>
      </c>
      <c r="M2401" s="5">
        <f t="shared" si="621"/>
        <v>2023</v>
      </c>
      <c r="N2401" s="96">
        <v>250</v>
      </c>
      <c r="O2401" s="6">
        <f>-N2401</f>
        <v>-250</v>
      </c>
      <c r="P2401" s="6">
        <f t="shared" si="623"/>
        <v>0</v>
      </c>
      <c r="Q2401" s="7">
        <f t="shared" si="625"/>
        <v>3956897.350000002</v>
      </c>
      <c r="R2401" s="44" t="str">
        <f>VLOOKUP(F2401,'Set up'!$A$2:$E$70,5,FALSE)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617"/>
        <v>12</v>
      </c>
      <c r="C2402" s="5">
        <f t="shared" si="618"/>
        <v>2023</v>
      </c>
      <c r="D2402" s="88" t="s">
        <v>2188</v>
      </c>
      <c r="E2402" s="5" t="str">
        <f>VLOOKUP(F2402,'Set up'!$A$2:$C$70,2,FALSE)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up'!$A$2:$C$70,3,FALSE)</f>
        <v>Cash</v>
      </c>
      <c r="J2402" s="5">
        <f>VLOOKUP(F2402,'Set up'!$A$2:$D$70,4,FALSE)</f>
        <v>0</v>
      </c>
      <c r="K2402" s="4">
        <f t="shared" si="619"/>
        <v>45269</v>
      </c>
      <c r="L2402" s="5">
        <f t="shared" si="620"/>
        <v>12</v>
      </c>
      <c r="M2402" s="5">
        <f t="shared" si="621"/>
        <v>2023</v>
      </c>
      <c r="N2402" s="96">
        <v>6424</v>
      </c>
      <c r="O2402" s="6">
        <f>-N2402</f>
        <v>-6424</v>
      </c>
      <c r="P2402" s="6">
        <f t="shared" si="623"/>
        <v>0</v>
      </c>
      <c r="Q2402" s="7">
        <f t="shared" si="625"/>
        <v>3963321.350000002</v>
      </c>
      <c r="R2402" s="44" t="str">
        <f>VLOOKUP(F2402,'Set up'!$A$2:$E$70,5,FALSE)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617"/>
        <v>12</v>
      </c>
      <c r="C2403" s="5">
        <f t="shared" si="618"/>
        <v>2023</v>
      </c>
      <c r="D2403" s="88" t="s">
        <v>2188</v>
      </c>
      <c r="E2403" s="5" t="str">
        <f>VLOOKUP(F2403,'Set up'!$A$2:$C$70,2,FALSE)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up'!$A$2:$C$70,3,FALSE)</f>
        <v>Cash</v>
      </c>
      <c r="J2403" s="5">
        <f>VLOOKUP(F2403,'Set up'!$A$2:$D$70,4,FALSE)</f>
        <v>0</v>
      </c>
      <c r="K2403" s="4">
        <f t="shared" si="619"/>
        <v>45269</v>
      </c>
      <c r="L2403" s="5">
        <f t="shared" si="620"/>
        <v>12</v>
      </c>
      <c r="M2403" s="5">
        <f t="shared" si="621"/>
        <v>2023</v>
      </c>
      <c r="N2403" s="96">
        <v>3219</v>
      </c>
      <c r="O2403" s="6">
        <f>-N2403</f>
        <v>-3219</v>
      </c>
      <c r="P2403" s="6">
        <f t="shared" si="623"/>
        <v>0</v>
      </c>
      <c r="Q2403" s="7">
        <f t="shared" si="625"/>
        <v>3966540.350000002</v>
      </c>
      <c r="R2403" s="44" t="str">
        <f>VLOOKUP(F2403,'Set up'!$A$2:$E$70,5,FALSE)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617"/>
        <v>12</v>
      </c>
      <c r="C2404" s="5">
        <f t="shared" si="618"/>
        <v>2023</v>
      </c>
      <c r="D2404" s="88" t="s">
        <v>2188</v>
      </c>
      <c r="E2404" s="5" t="str">
        <f>VLOOKUP(F2404,'Set up'!$A$2:$C$70,2,FALSE)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up'!$A$2:$C$70,3,FALSE)</f>
        <v>Cash</v>
      </c>
      <c r="J2404" s="5">
        <f>VLOOKUP(F2404,'Set up'!$A$2:$D$70,4,FALSE)</f>
        <v>0</v>
      </c>
      <c r="K2404" s="4">
        <f t="shared" si="619"/>
        <v>45269</v>
      </c>
      <c r="L2404" s="5">
        <f t="shared" si="620"/>
        <v>12</v>
      </c>
      <c r="M2404" s="5">
        <f t="shared" si="621"/>
        <v>2023</v>
      </c>
      <c r="N2404" s="96">
        <v>702</v>
      </c>
      <c r="O2404" s="6">
        <f>-N2404</f>
        <v>-702</v>
      </c>
      <c r="P2404" s="6">
        <f t="shared" si="623"/>
        <v>0</v>
      </c>
      <c r="Q2404" s="7">
        <f t="shared" si="625"/>
        <v>3967242.350000002</v>
      </c>
      <c r="R2404" s="44" t="str">
        <f>VLOOKUP(F2404,'Set up'!$A$2:$E$70,5,FALSE)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617"/>
        <v>12</v>
      </c>
      <c r="C2405" s="5">
        <f t="shared" si="618"/>
        <v>2023</v>
      </c>
      <c r="D2405" s="88" t="s">
        <v>2188</v>
      </c>
      <c r="E2405" s="5" t="str">
        <f>VLOOKUP(F2405,'Set up'!$A$2:$C$70,2,FALSE)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up'!$A$2:$C$70,3,FALSE)</f>
        <v>Cash</v>
      </c>
      <c r="J2405" s="5">
        <f>VLOOKUP(F2405,'Set up'!$A$2:$D$70,4,FALSE)</f>
        <v>0</v>
      </c>
      <c r="K2405" s="4">
        <f t="shared" si="619"/>
        <v>45269</v>
      </c>
      <c r="L2405" s="5">
        <f t="shared" si="620"/>
        <v>12</v>
      </c>
      <c r="M2405" s="5">
        <f t="shared" si="621"/>
        <v>2023</v>
      </c>
      <c r="N2405" s="96">
        <v>380</v>
      </c>
      <c r="O2405" s="6">
        <f>-N2405</f>
        <v>-380</v>
      </c>
      <c r="P2405" s="6">
        <f t="shared" si="623"/>
        <v>0</v>
      </c>
      <c r="Q2405" s="7">
        <f t="shared" si="625"/>
        <v>3967622.350000002</v>
      </c>
      <c r="R2405" s="44" t="str">
        <f>VLOOKUP(F2405,'Set up'!$A$2:$E$70,5,FALSE)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617"/>
        <v>12</v>
      </c>
      <c r="C2406" s="5">
        <f t="shared" si="618"/>
        <v>2023</v>
      </c>
      <c r="D2406" s="88" t="s">
        <v>2189</v>
      </c>
      <c r="E2406" s="5" t="str">
        <f>VLOOKUP(F2406,'Set up'!$A$2:$C$70,2,FALSE)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up'!$A$2:$C$70,3,FALSE)</f>
        <v>60</v>
      </c>
      <c r="J2406" s="5">
        <f>VLOOKUP(F2406,'Set up'!$A$2:$D$70,4,FALSE)</f>
        <v>60</v>
      </c>
      <c r="K2406" s="4">
        <f t="shared" si="619"/>
        <v>45333</v>
      </c>
      <c r="L2406" s="5">
        <f t="shared" si="620"/>
        <v>2</v>
      </c>
      <c r="M2406" s="5">
        <f t="shared" si="621"/>
        <v>2024</v>
      </c>
      <c r="N2406" s="96">
        <v>3212</v>
      </c>
      <c r="O2406" s="6">
        <f t="shared" ref="O2406:O2409" si="627">-N2406</f>
        <v>-3212</v>
      </c>
      <c r="P2406" s="6">
        <f t="shared" si="623"/>
        <v>0</v>
      </c>
      <c r="Q2406" s="7">
        <f t="shared" si="625"/>
        <v>3970834.350000002</v>
      </c>
      <c r="R2406" s="44" t="str">
        <f>VLOOKUP(F2406,'Set up'!$A$2:$E$70,5,FALSE)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617"/>
        <v>12</v>
      </c>
      <c r="C2407" s="5">
        <f t="shared" si="618"/>
        <v>2023</v>
      </c>
      <c r="D2407" s="88" t="s">
        <v>2189</v>
      </c>
      <c r="E2407" s="5" t="str">
        <f>VLOOKUP(F2407,'Set up'!$A$2:$C$70,2,FALSE)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up'!$A$2:$C$70,3,FALSE)</f>
        <v>60</v>
      </c>
      <c r="J2407" s="5">
        <f>VLOOKUP(F2407,'Set up'!$A$2:$D$70,4,FALSE)</f>
        <v>60</v>
      </c>
      <c r="K2407" s="4">
        <f t="shared" si="619"/>
        <v>45333</v>
      </c>
      <c r="L2407" s="5">
        <f t="shared" si="620"/>
        <v>2</v>
      </c>
      <c r="M2407" s="5">
        <f t="shared" si="621"/>
        <v>2024</v>
      </c>
      <c r="N2407" s="96">
        <v>1606</v>
      </c>
      <c r="O2407" s="6">
        <f t="shared" si="627"/>
        <v>-1606</v>
      </c>
      <c r="P2407" s="6">
        <f t="shared" si="623"/>
        <v>0</v>
      </c>
      <c r="Q2407" s="7">
        <f t="shared" si="625"/>
        <v>3972440.350000002</v>
      </c>
      <c r="R2407" s="44" t="str">
        <f>VLOOKUP(F2407,'Set up'!$A$2:$E$70,5,FALSE)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617"/>
        <v>12</v>
      </c>
      <c r="C2408" s="5">
        <f t="shared" si="618"/>
        <v>2023</v>
      </c>
      <c r="D2408" s="88" t="s">
        <v>2189</v>
      </c>
      <c r="E2408" s="5" t="str">
        <f>VLOOKUP(F2408,'Set up'!$A$2:$C$70,2,FALSE)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up'!$A$2:$C$70,3,FALSE)</f>
        <v>60</v>
      </c>
      <c r="J2408" s="5">
        <f>VLOOKUP(F2408,'Set up'!$A$2:$D$70,4,FALSE)</f>
        <v>60</v>
      </c>
      <c r="K2408" s="4">
        <f t="shared" si="619"/>
        <v>45333</v>
      </c>
      <c r="L2408" s="5">
        <f t="shared" si="620"/>
        <v>2</v>
      </c>
      <c r="M2408" s="5">
        <f t="shared" si="621"/>
        <v>2024</v>
      </c>
      <c r="N2408" s="96">
        <v>626.4</v>
      </c>
      <c r="O2408" s="6">
        <f t="shared" si="627"/>
        <v>-626.4</v>
      </c>
      <c r="P2408" s="6">
        <f t="shared" si="623"/>
        <v>0</v>
      </c>
      <c r="Q2408" s="7">
        <f t="shared" si="625"/>
        <v>3973066.7500000019</v>
      </c>
      <c r="R2408" s="44" t="str">
        <f>VLOOKUP(F2408,'Set up'!$A$2:$E$70,5,FALSE)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617"/>
        <v>12</v>
      </c>
      <c r="C2409" s="5">
        <f t="shared" si="618"/>
        <v>2023</v>
      </c>
      <c r="D2409" s="88" t="s">
        <v>2189</v>
      </c>
      <c r="E2409" s="5" t="str">
        <f>VLOOKUP(F2409,'Set up'!$A$2:$C$70,2,FALSE)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up'!$A$2:$C$70,3,FALSE)</f>
        <v>60</v>
      </c>
      <c r="J2409" s="5">
        <f>VLOOKUP(F2409,'Set up'!$A$2:$D$70,4,FALSE)</f>
        <v>60</v>
      </c>
      <c r="K2409" s="4">
        <f t="shared" si="619"/>
        <v>45333</v>
      </c>
      <c r="L2409" s="5">
        <f t="shared" si="620"/>
        <v>2</v>
      </c>
      <c r="M2409" s="5">
        <f t="shared" si="621"/>
        <v>2024</v>
      </c>
      <c r="N2409" s="96">
        <v>626.4</v>
      </c>
      <c r="O2409" s="6">
        <f t="shared" si="627"/>
        <v>-626.4</v>
      </c>
      <c r="P2409" s="6">
        <f t="shared" si="623"/>
        <v>0</v>
      </c>
      <c r="Q2409" s="7">
        <f t="shared" si="625"/>
        <v>3973693.1500000018</v>
      </c>
      <c r="R2409" s="44" t="str">
        <f>VLOOKUP(F2409,'Set up'!$A$2:$E$70,5,FALSE)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617"/>
        <v>12</v>
      </c>
      <c r="C2410" s="5">
        <f t="shared" si="618"/>
        <v>2023</v>
      </c>
      <c r="D2410" s="88" t="s">
        <v>2190</v>
      </c>
      <c r="E2410" s="5" t="str">
        <f>VLOOKUP(F2410,'Set up'!$A$2:$C$70,2,FALSE)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up'!$A$2:$C$70,3,FALSE)</f>
        <v>Cash</v>
      </c>
      <c r="J2410" s="5">
        <f>VLOOKUP(F2410,'Set up'!$A$2:$D$70,4,FALSE)</f>
        <v>0</v>
      </c>
      <c r="K2410" s="4">
        <f t="shared" si="619"/>
        <v>45274</v>
      </c>
      <c r="L2410" s="5">
        <f t="shared" si="620"/>
        <v>12</v>
      </c>
      <c r="M2410" s="5">
        <f t="shared" si="621"/>
        <v>2023</v>
      </c>
      <c r="N2410" s="96">
        <v>125</v>
      </c>
      <c r="O2410" s="6">
        <f>-N2410</f>
        <v>-125</v>
      </c>
      <c r="P2410" s="6">
        <f t="shared" si="623"/>
        <v>0</v>
      </c>
      <c r="Q2410" s="7">
        <f t="shared" si="625"/>
        <v>3973818.1500000018</v>
      </c>
      <c r="R2410" s="44" t="str">
        <f>VLOOKUP(F2410,'Set up'!$A$2:$E$70,5,FALSE)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617"/>
        <v>12</v>
      </c>
      <c r="C2411" s="5">
        <f t="shared" si="618"/>
        <v>2023</v>
      </c>
      <c r="D2411" s="88" t="s">
        <v>2191</v>
      </c>
      <c r="E2411" s="5" t="str">
        <f>VLOOKUP(F2411,'Set up'!$A$2:$C$70,2,FALSE)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up'!$A$2:$C$70,3,FALSE)</f>
        <v>Cash</v>
      </c>
      <c r="J2411" s="5">
        <f>VLOOKUP(F2411,'Set up'!$A$2:$D$70,4,FALSE)</f>
        <v>0</v>
      </c>
      <c r="K2411" s="4">
        <f t="shared" si="619"/>
        <v>45275</v>
      </c>
      <c r="L2411" s="5">
        <f t="shared" si="620"/>
        <v>12</v>
      </c>
      <c r="M2411" s="5">
        <f t="shared" si="621"/>
        <v>2023</v>
      </c>
      <c r="N2411" s="96">
        <v>3212</v>
      </c>
      <c r="O2411" s="6">
        <f>-2216.5-995.5</f>
        <v>-3212</v>
      </c>
      <c r="P2411" s="6">
        <f t="shared" si="623"/>
        <v>0</v>
      </c>
      <c r="Q2411" s="7">
        <f t="shared" si="625"/>
        <v>3977030.1500000018</v>
      </c>
      <c r="R2411" s="44" t="str">
        <f>VLOOKUP(F2411,'Set up'!$A$2:$E$70,5,FALSE)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617"/>
        <v>12</v>
      </c>
      <c r="C2412" s="5">
        <f t="shared" si="618"/>
        <v>2023</v>
      </c>
      <c r="D2412" s="88" t="s">
        <v>2191</v>
      </c>
      <c r="E2412" s="5" t="str">
        <f>VLOOKUP(F2412,'Set up'!$A$2:$C$70,2,FALSE)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up'!$A$2:$C$70,3,FALSE)</f>
        <v>Cash</v>
      </c>
      <c r="J2412" s="5">
        <f>VLOOKUP(F2412,'Set up'!$A$2:$D$70,4,FALSE)</f>
        <v>0</v>
      </c>
      <c r="K2412" s="4">
        <f t="shared" si="619"/>
        <v>45275</v>
      </c>
      <c r="L2412" s="5">
        <f t="shared" si="620"/>
        <v>12</v>
      </c>
      <c r="M2412" s="5">
        <f t="shared" si="621"/>
        <v>2023</v>
      </c>
      <c r="N2412" s="96">
        <v>1502.2</v>
      </c>
      <c r="O2412" s="6">
        <f>-N2412</f>
        <v>-1502.2</v>
      </c>
      <c r="P2412" s="6">
        <f t="shared" si="623"/>
        <v>0</v>
      </c>
      <c r="Q2412" s="7">
        <f t="shared" si="625"/>
        <v>3978532.350000002</v>
      </c>
      <c r="R2412" s="44" t="str">
        <f>VLOOKUP(F2412,'Set up'!$A$2:$E$70,5,FALSE)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617"/>
        <v>12</v>
      </c>
      <c r="C2413" s="5">
        <f t="shared" si="618"/>
        <v>2023</v>
      </c>
      <c r="D2413" s="88" t="s">
        <v>2191</v>
      </c>
      <c r="E2413" s="5" t="str">
        <f>VLOOKUP(F2413,'Set up'!$A$2:$C$70,2,FALSE)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up'!$A$2:$C$70,3,FALSE)</f>
        <v>Cash</v>
      </c>
      <c r="J2413" s="5">
        <f>VLOOKUP(F2413,'Set up'!$A$2:$D$70,4,FALSE)</f>
        <v>0</v>
      </c>
      <c r="K2413" s="4">
        <f t="shared" si="619"/>
        <v>45275</v>
      </c>
      <c r="L2413" s="5">
        <f t="shared" si="620"/>
        <v>12</v>
      </c>
      <c r="M2413" s="5">
        <f t="shared" si="621"/>
        <v>2023</v>
      </c>
      <c r="N2413" s="96">
        <v>936</v>
      </c>
      <c r="O2413" s="6">
        <f>-N2413</f>
        <v>-936</v>
      </c>
      <c r="P2413" s="6">
        <f t="shared" si="623"/>
        <v>0</v>
      </c>
      <c r="Q2413" s="7">
        <f t="shared" si="625"/>
        <v>3979468.350000002</v>
      </c>
      <c r="R2413" s="44" t="str">
        <f>VLOOKUP(F2413,'Set up'!$A$2:$E$70,5,FALSE)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617"/>
        <v>12</v>
      </c>
      <c r="C2414" s="5">
        <f t="shared" si="618"/>
        <v>2023</v>
      </c>
      <c r="D2414" s="88" t="s">
        <v>2191</v>
      </c>
      <c r="E2414" s="5" t="str">
        <f>VLOOKUP(F2414,'Set up'!$A$2:$C$70,2,FALSE)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up'!$A$2:$C$70,3,FALSE)</f>
        <v>Cash</v>
      </c>
      <c r="J2414" s="5">
        <f>VLOOKUP(F2414,'Set up'!$A$2:$D$70,4,FALSE)</f>
        <v>0</v>
      </c>
      <c r="K2414" s="4">
        <f t="shared" si="619"/>
        <v>45275</v>
      </c>
      <c r="L2414" s="5">
        <f t="shared" si="620"/>
        <v>12</v>
      </c>
      <c r="M2414" s="5">
        <f t="shared" si="621"/>
        <v>2023</v>
      </c>
      <c r="N2414" s="96">
        <v>1000</v>
      </c>
      <c r="O2414" s="6">
        <f>-N2414</f>
        <v>-1000</v>
      </c>
      <c r="P2414" s="6">
        <f t="shared" si="623"/>
        <v>0</v>
      </c>
      <c r="Q2414" s="7">
        <f t="shared" si="625"/>
        <v>3980468.350000002</v>
      </c>
      <c r="R2414" s="44" t="str">
        <f>VLOOKUP(F2414,'Set up'!$A$2:$E$70,5,FALSE)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617"/>
        <v>12</v>
      </c>
      <c r="C2415" s="5">
        <f t="shared" si="618"/>
        <v>2023</v>
      </c>
      <c r="D2415" s="88" t="s">
        <v>2192</v>
      </c>
      <c r="E2415" s="5" t="str">
        <f>VLOOKUP(F2415,'Set up'!$A$2:$C$70,2,FALSE)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up'!$A$2:$C$70,3,FALSE)</f>
        <v>Cash</v>
      </c>
      <c r="J2415" s="5">
        <f>VLOOKUP(F2415,'Set up'!$A$2:$D$70,4,FALSE)</f>
        <v>0</v>
      </c>
      <c r="K2415" s="4">
        <f t="shared" si="619"/>
        <v>45275</v>
      </c>
      <c r="L2415" s="5">
        <f t="shared" si="620"/>
        <v>12</v>
      </c>
      <c r="M2415" s="5">
        <f t="shared" si="621"/>
        <v>2023</v>
      </c>
      <c r="N2415" s="96">
        <v>1738</v>
      </c>
      <c r="O2415" s="6">
        <f t="shared" ref="O2415:O2417" si="628">-N2415</f>
        <v>-1738</v>
      </c>
      <c r="P2415" s="6">
        <f t="shared" si="623"/>
        <v>0</v>
      </c>
      <c r="Q2415" s="7">
        <f t="shared" si="625"/>
        <v>3982206.350000002</v>
      </c>
      <c r="R2415" s="44" t="str">
        <f>VLOOKUP(F2415,'Set up'!$A$2:$E$70,5,FALSE)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617"/>
        <v>12</v>
      </c>
      <c r="C2416" s="5">
        <f t="shared" si="618"/>
        <v>2023</v>
      </c>
      <c r="D2416" s="88" t="s">
        <v>2192</v>
      </c>
      <c r="E2416" s="5" t="str">
        <f>VLOOKUP(F2416,'Set up'!$A$2:$C$70,2,FALSE)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up'!$A$2:$C$70,3,FALSE)</f>
        <v>Cash</v>
      </c>
      <c r="J2416" s="5">
        <f>VLOOKUP(F2416,'Set up'!$A$2:$D$70,4,FALSE)</f>
        <v>0</v>
      </c>
      <c r="K2416" s="4">
        <f t="shared" si="619"/>
        <v>45275</v>
      </c>
      <c r="L2416" s="5">
        <f t="shared" si="620"/>
        <v>12</v>
      </c>
      <c r="M2416" s="5">
        <f t="shared" si="621"/>
        <v>2023</v>
      </c>
      <c r="N2416" s="96">
        <v>832.5</v>
      </c>
      <c r="O2416" s="6">
        <f t="shared" si="628"/>
        <v>-832.5</v>
      </c>
      <c r="P2416" s="6">
        <f t="shared" si="623"/>
        <v>0</v>
      </c>
      <c r="Q2416" s="7">
        <f t="shared" si="625"/>
        <v>3983038.850000002</v>
      </c>
      <c r="R2416" s="44" t="str">
        <f>VLOOKUP(F2416,'Set up'!$A$2:$E$70,5,FALSE)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617"/>
        <v>12</v>
      </c>
      <c r="C2417" s="5">
        <f t="shared" si="618"/>
        <v>2023</v>
      </c>
      <c r="D2417" s="88" t="s">
        <v>2192</v>
      </c>
      <c r="E2417" s="5" t="str">
        <f>VLOOKUP(F2417,'Set up'!$A$2:$C$70,2,FALSE)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up'!$A$2:$C$70,3,FALSE)</f>
        <v>Cash</v>
      </c>
      <c r="J2417" s="5">
        <f>VLOOKUP(F2417,'Set up'!$A$2:$D$70,4,FALSE)</f>
        <v>0</v>
      </c>
      <c r="K2417" s="4">
        <f t="shared" si="619"/>
        <v>45275</v>
      </c>
      <c r="L2417" s="5">
        <f t="shared" si="620"/>
        <v>12</v>
      </c>
      <c r="M2417" s="5">
        <f t="shared" si="621"/>
        <v>2023</v>
      </c>
      <c r="N2417" s="96">
        <v>95</v>
      </c>
      <c r="O2417" s="6">
        <f t="shared" si="628"/>
        <v>-95</v>
      </c>
      <c r="P2417" s="6">
        <f t="shared" si="623"/>
        <v>0</v>
      </c>
      <c r="Q2417" s="7">
        <f t="shared" si="625"/>
        <v>3983133.850000002</v>
      </c>
      <c r="R2417" s="44" t="str">
        <f>VLOOKUP(F2417,'Set up'!$A$2:$E$70,5,FALSE)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617"/>
        <v>12</v>
      </c>
      <c r="C2418" s="5">
        <f t="shared" si="618"/>
        <v>2023</v>
      </c>
      <c r="D2418" s="88" t="s">
        <v>2193</v>
      </c>
      <c r="E2418" s="5" t="str">
        <f>VLOOKUP(F2418,'Set up'!$A$2:$C$70,2,FALSE)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up'!$A$2:$C$70,3,FALSE)</f>
        <v>Cash</v>
      </c>
      <c r="J2418" s="5">
        <f>VLOOKUP(F2418,'Set up'!$A$2:$D$70,4,FALSE)</f>
        <v>0</v>
      </c>
      <c r="K2418" s="4">
        <f t="shared" si="619"/>
        <v>45275</v>
      </c>
      <c r="L2418" s="5">
        <f t="shared" si="620"/>
        <v>12</v>
      </c>
      <c r="M2418" s="5">
        <f t="shared" si="621"/>
        <v>2023</v>
      </c>
      <c r="N2418" s="96">
        <v>1760</v>
      </c>
      <c r="O2418" s="6">
        <f t="shared" ref="O2418:O2429" si="629">-N2418</f>
        <v>-1760</v>
      </c>
      <c r="P2418" s="6">
        <f t="shared" si="623"/>
        <v>0</v>
      </c>
      <c r="Q2418" s="7">
        <f t="shared" si="625"/>
        <v>3984893.850000002</v>
      </c>
      <c r="R2418" s="44" t="str">
        <f>VLOOKUP(F2418,'Set up'!$A$2:$E$70,5,FALSE)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617"/>
        <v>12</v>
      </c>
      <c r="C2419" s="5">
        <f t="shared" si="618"/>
        <v>2023</v>
      </c>
      <c r="D2419" s="88" t="s">
        <v>2193</v>
      </c>
      <c r="E2419" s="5" t="str">
        <f>VLOOKUP(F2419,'Set up'!$A$2:$C$70,2,FALSE)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up'!$A$2:$C$70,3,FALSE)</f>
        <v>Cash</v>
      </c>
      <c r="J2419" s="5">
        <f>VLOOKUP(F2419,'Set up'!$A$2:$D$70,4,FALSE)</f>
        <v>0</v>
      </c>
      <c r="K2419" s="4">
        <f t="shared" si="619"/>
        <v>45275</v>
      </c>
      <c r="L2419" s="5">
        <f t="shared" si="620"/>
        <v>12</v>
      </c>
      <c r="M2419" s="5">
        <f t="shared" si="621"/>
        <v>2023</v>
      </c>
      <c r="N2419" s="96">
        <v>432</v>
      </c>
      <c r="O2419" s="6">
        <f t="shared" si="629"/>
        <v>-432</v>
      </c>
      <c r="P2419" s="6">
        <f t="shared" si="623"/>
        <v>0</v>
      </c>
      <c r="Q2419" s="7">
        <f t="shared" si="625"/>
        <v>3985325.850000002</v>
      </c>
      <c r="R2419" s="44" t="str">
        <f>VLOOKUP(F2419,'Set up'!$A$2:$E$70,5,FALSE)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617"/>
        <v>12</v>
      </c>
      <c r="C2420" s="5">
        <f t="shared" si="618"/>
        <v>2023</v>
      </c>
      <c r="D2420" s="88" t="s">
        <v>2193</v>
      </c>
      <c r="E2420" s="5" t="str">
        <f>VLOOKUP(F2420,'Set up'!$A$2:$C$70,2,FALSE)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up'!$A$2:$C$70,3,FALSE)</f>
        <v>Cash</v>
      </c>
      <c r="J2420" s="5">
        <f>VLOOKUP(F2420,'Set up'!$A$2:$D$70,4,FALSE)</f>
        <v>0</v>
      </c>
      <c r="K2420" s="4">
        <f t="shared" si="619"/>
        <v>45275</v>
      </c>
      <c r="L2420" s="5">
        <f t="shared" si="620"/>
        <v>12</v>
      </c>
      <c r="M2420" s="5">
        <f t="shared" si="621"/>
        <v>2023</v>
      </c>
      <c r="N2420" s="96">
        <v>840</v>
      </c>
      <c r="O2420" s="6">
        <f t="shared" si="629"/>
        <v>-840</v>
      </c>
      <c r="P2420" s="6">
        <f t="shared" si="623"/>
        <v>0</v>
      </c>
      <c r="Q2420" s="7">
        <f t="shared" si="625"/>
        <v>3986165.850000002</v>
      </c>
      <c r="R2420" s="44" t="str">
        <f>VLOOKUP(F2420,'Set up'!$A$2:$E$70,5,FALSE)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617"/>
        <v>12</v>
      </c>
      <c r="C2421" s="5">
        <f t="shared" si="618"/>
        <v>2023</v>
      </c>
      <c r="D2421" s="88" t="s">
        <v>2193</v>
      </c>
      <c r="E2421" s="5" t="str">
        <f>VLOOKUP(F2421,'Set up'!$A$2:$C$70,2,FALSE)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up'!$A$2:$C$70,3,FALSE)</f>
        <v>Cash</v>
      </c>
      <c r="J2421" s="5">
        <f>VLOOKUP(F2421,'Set up'!$A$2:$D$70,4,FALSE)</f>
        <v>0</v>
      </c>
      <c r="K2421" s="4">
        <f t="shared" si="619"/>
        <v>45275</v>
      </c>
      <c r="L2421" s="5">
        <f t="shared" si="620"/>
        <v>12</v>
      </c>
      <c r="M2421" s="5">
        <f t="shared" si="621"/>
        <v>2023</v>
      </c>
      <c r="N2421" s="96">
        <v>325</v>
      </c>
      <c r="O2421" s="6">
        <f t="shared" si="629"/>
        <v>-325</v>
      </c>
      <c r="P2421" s="6">
        <f t="shared" si="623"/>
        <v>0</v>
      </c>
      <c r="Q2421" s="7">
        <f t="shared" si="625"/>
        <v>3986490.850000002</v>
      </c>
      <c r="R2421" s="44" t="str">
        <f>VLOOKUP(F2421,'Set up'!$A$2:$E$70,5,FALSE)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617"/>
        <v>12</v>
      </c>
      <c r="C2422" s="5">
        <f t="shared" si="618"/>
        <v>2023</v>
      </c>
      <c r="D2422" s="88" t="s">
        <v>2193</v>
      </c>
      <c r="E2422" s="5" t="str">
        <f>VLOOKUP(F2422,'Set up'!$A$2:$C$70,2,FALSE)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up'!$A$2:$C$70,3,FALSE)</f>
        <v>Cash</v>
      </c>
      <c r="J2422" s="5">
        <f>VLOOKUP(F2422,'Set up'!$A$2:$D$70,4,FALSE)</f>
        <v>0</v>
      </c>
      <c r="K2422" s="4">
        <f t="shared" si="619"/>
        <v>45275</v>
      </c>
      <c r="L2422" s="5">
        <f t="shared" si="620"/>
        <v>12</v>
      </c>
      <c r="M2422" s="5">
        <f t="shared" si="621"/>
        <v>2023</v>
      </c>
      <c r="N2422" s="96">
        <v>225</v>
      </c>
      <c r="O2422" s="6">
        <f t="shared" si="629"/>
        <v>-225</v>
      </c>
      <c r="P2422" s="6">
        <f t="shared" si="623"/>
        <v>0</v>
      </c>
      <c r="Q2422" s="7">
        <f t="shared" si="625"/>
        <v>3986715.850000002</v>
      </c>
      <c r="R2422" s="44" t="str">
        <f>VLOOKUP(F2422,'Set up'!$A$2:$E$70,5,FALSE)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617"/>
        <v>12</v>
      </c>
      <c r="C2423" s="5">
        <f t="shared" si="618"/>
        <v>2023</v>
      </c>
      <c r="D2423" s="88" t="s">
        <v>2193</v>
      </c>
      <c r="E2423" s="5" t="str">
        <f>VLOOKUP(F2423,'Set up'!$A$2:$C$70,2,FALSE)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up'!$A$2:$C$70,3,FALSE)</f>
        <v>Cash</v>
      </c>
      <c r="J2423" s="5">
        <f>VLOOKUP(F2423,'Set up'!$A$2:$D$70,4,FALSE)</f>
        <v>0</v>
      </c>
      <c r="K2423" s="4">
        <f t="shared" si="619"/>
        <v>45275</v>
      </c>
      <c r="L2423" s="5">
        <f t="shared" si="620"/>
        <v>12</v>
      </c>
      <c r="M2423" s="5">
        <f t="shared" si="621"/>
        <v>2023</v>
      </c>
      <c r="N2423" s="96">
        <v>170</v>
      </c>
      <c r="O2423" s="6">
        <f t="shared" si="629"/>
        <v>-170</v>
      </c>
      <c r="P2423" s="6">
        <f t="shared" si="623"/>
        <v>0</v>
      </c>
      <c r="Q2423" s="7">
        <f t="shared" si="625"/>
        <v>3986885.850000002</v>
      </c>
      <c r="R2423" s="44" t="str">
        <f>VLOOKUP(F2423,'Set up'!$A$2:$E$70,5,FALSE)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617"/>
        <v>12</v>
      </c>
      <c r="C2424" s="5">
        <f t="shared" si="618"/>
        <v>2023</v>
      </c>
      <c r="D2424" s="88" t="s">
        <v>2193</v>
      </c>
      <c r="E2424" s="5" t="str">
        <f>VLOOKUP(F2424,'Set up'!$A$2:$C$70,2,FALSE)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up'!$A$2:$C$70,3,FALSE)</f>
        <v>Cash</v>
      </c>
      <c r="J2424" s="5">
        <f>VLOOKUP(F2424,'Set up'!$A$2:$D$70,4,FALSE)</f>
        <v>0</v>
      </c>
      <c r="K2424" s="4">
        <f t="shared" si="619"/>
        <v>45275</v>
      </c>
      <c r="L2424" s="5">
        <f t="shared" si="620"/>
        <v>12</v>
      </c>
      <c r="M2424" s="5">
        <f t="shared" si="621"/>
        <v>2023</v>
      </c>
      <c r="N2424" s="96">
        <v>283.8</v>
      </c>
      <c r="O2424" s="6">
        <f t="shared" si="629"/>
        <v>-283.8</v>
      </c>
      <c r="P2424" s="6">
        <f t="shared" si="623"/>
        <v>0</v>
      </c>
      <c r="Q2424" s="7">
        <f t="shared" si="625"/>
        <v>3987169.6500000018</v>
      </c>
      <c r="R2424" s="44" t="str">
        <f>VLOOKUP(F2424,'Set up'!$A$2:$E$70,5,FALSE)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617"/>
        <v>12</v>
      </c>
      <c r="C2425" s="5">
        <f t="shared" si="618"/>
        <v>2023</v>
      </c>
      <c r="D2425" s="88" t="s">
        <v>2193</v>
      </c>
      <c r="E2425" s="5" t="str">
        <f>VLOOKUP(F2425,'Set up'!$A$2:$C$70,2,FALSE)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up'!$A$2:$C$70,3,FALSE)</f>
        <v>Cash</v>
      </c>
      <c r="J2425" s="5">
        <f>VLOOKUP(F2425,'Set up'!$A$2:$D$70,4,FALSE)</f>
        <v>0</v>
      </c>
      <c r="K2425" s="4">
        <f t="shared" si="619"/>
        <v>45275</v>
      </c>
      <c r="L2425" s="5">
        <f t="shared" si="620"/>
        <v>12</v>
      </c>
      <c r="M2425" s="5">
        <f t="shared" si="621"/>
        <v>2023</v>
      </c>
      <c r="N2425" s="96">
        <v>175</v>
      </c>
      <c r="O2425" s="6">
        <f t="shared" si="629"/>
        <v>-175</v>
      </c>
      <c r="P2425" s="6">
        <f t="shared" si="623"/>
        <v>0</v>
      </c>
      <c r="Q2425" s="7">
        <f t="shared" si="625"/>
        <v>3987344.6500000018</v>
      </c>
      <c r="R2425" s="44" t="str">
        <f>VLOOKUP(F2425,'Set up'!$A$2:$E$70,5,FALSE)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617"/>
        <v>12</v>
      </c>
      <c r="C2426" s="5">
        <f t="shared" si="618"/>
        <v>2023</v>
      </c>
      <c r="D2426" s="88" t="s">
        <v>2193</v>
      </c>
      <c r="E2426" s="5" t="str">
        <f>VLOOKUP(F2426,'Set up'!$A$2:$C$70,2,FALSE)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up'!$A$2:$C$70,3,FALSE)</f>
        <v>Cash</v>
      </c>
      <c r="J2426" s="5">
        <f>VLOOKUP(F2426,'Set up'!$A$2:$D$70,4,FALSE)</f>
        <v>0</v>
      </c>
      <c r="K2426" s="4">
        <f t="shared" si="619"/>
        <v>45275</v>
      </c>
      <c r="L2426" s="5">
        <f t="shared" si="620"/>
        <v>12</v>
      </c>
      <c r="M2426" s="5">
        <f t="shared" si="621"/>
        <v>2023</v>
      </c>
      <c r="N2426" s="96">
        <v>625</v>
      </c>
      <c r="O2426" s="6">
        <f t="shared" si="629"/>
        <v>-625</v>
      </c>
      <c r="P2426" s="6">
        <f t="shared" si="623"/>
        <v>0</v>
      </c>
      <c r="Q2426" s="7">
        <f t="shared" si="625"/>
        <v>3987969.6500000018</v>
      </c>
      <c r="R2426" s="44" t="str">
        <f>VLOOKUP(F2426,'Set up'!$A$2:$E$70,5,FALSE)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si="617"/>
        <v>12</v>
      </c>
      <c r="C2427" s="5">
        <f t="shared" si="618"/>
        <v>2023</v>
      </c>
      <c r="D2427" s="88" t="s">
        <v>2193</v>
      </c>
      <c r="E2427" s="5" t="str">
        <f>VLOOKUP(F2427,'Set up'!$A$2:$C$70,2,FALSE)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up'!$A$2:$C$70,3,FALSE)</f>
        <v>Cash</v>
      </c>
      <c r="J2427" s="5">
        <f>VLOOKUP(F2427,'Set up'!$A$2:$D$70,4,FALSE)</f>
        <v>0</v>
      </c>
      <c r="K2427" s="4">
        <f t="shared" si="619"/>
        <v>45275</v>
      </c>
      <c r="L2427" s="5">
        <f t="shared" si="620"/>
        <v>12</v>
      </c>
      <c r="M2427" s="5">
        <f t="shared" si="621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625"/>
        <v>3988494.6500000018</v>
      </c>
      <c r="R2427" s="44" t="str">
        <f>VLOOKUP(F2427,'Set up'!$A$2:$E$70,5,FALSE)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si="617"/>
        <v>12</v>
      </c>
      <c r="C2428" s="5">
        <f t="shared" si="618"/>
        <v>2023</v>
      </c>
      <c r="D2428" s="88" t="s">
        <v>2263</v>
      </c>
      <c r="E2428" s="5" t="str">
        <f>VLOOKUP(F2428,'Set up'!$A$2:$C$70,2,FALSE)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up'!$A$2:$C$70,3,FALSE)</f>
        <v>Cash</v>
      </c>
      <c r="J2428" s="5">
        <f>VLOOKUP(F2428,'Set up'!$A$2:$D$70,4,FALSE)</f>
        <v>0</v>
      </c>
      <c r="K2428" s="4">
        <f t="shared" si="619"/>
        <v>45275</v>
      </c>
      <c r="L2428" s="5">
        <f t="shared" si="620"/>
        <v>12</v>
      </c>
      <c r="M2428" s="5">
        <f t="shared" si="621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625"/>
        <v>3987969.6500000018</v>
      </c>
      <c r="R2428" s="44" t="str">
        <f>VLOOKUP(F2428,'Set up'!$A$2:$E$70,5,FALSE)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617"/>
        <v>12</v>
      </c>
      <c r="C2429" s="5">
        <f t="shared" si="618"/>
        <v>2023</v>
      </c>
      <c r="D2429" s="88" t="s">
        <v>2193</v>
      </c>
      <c r="E2429" s="5" t="str">
        <f>VLOOKUP(F2429,'Set up'!$A$2:$C$70,2,FALSE)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up'!$A$2:$C$70,3,FALSE)</f>
        <v>Cash</v>
      </c>
      <c r="J2429" s="5">
        <f>VLOOKUP(F2429,'Set up'!$A$2:$D$70,4,FALSE)</f>
        <v>0</v>
      </c>
      <c r="K2429" s="4">
        <f t="shared" si="619"/>
        <v>45275</v>
      </c>
      <c r="L2429" s="5">
        <f t="shared" si="620"/>
        <v>12</v>
      </c>
      <c r="M2429" s="5">
        <f t="shared" si="621"/>
        <v>2023</v>
      </c>
      <c r="N2429" s="96">
        <v>90</v>
      </c>
      <c r="O2429" s="6">
        <f t="shared" si="629"/>
        <v>-90</v>
      </c>
      <c r="P2429" s="6">
        <f t="shared" si="623"/>
        <v>0</v>
      </c>
      <c r="Q2429" s="7">
        <f t="shared" si="625"/>
        <v>3988059.6500000018</v>
      </c>
      <c r="R2429" s="44" t="str">
        <f>VLOOKUP(F2429,'Set up'!$A$2:$E$70,5,FALSE)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617"/>
        <v>12</v>
      </c>
      <c r="C2430" s="5">
        <f t="shared" si="618"/>
        <v>2023</v>
      </c>
      <c r="D2430" s="88" t="s">
        <v>2194</v>
      </c>
      <c r="E2430" s="5" t="str">
        <f>VLOOKUP(F2430,'Set up'!$A$2:$C$70,2,FALSE)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up'!$A$2:$C$70,3,FALSE)</f>
        <v>Cash</v>
      </c>
      <c r="J2430" s="5">
        <f>VLOOKUP(F2430,'Set up'!$A$2:$D$70,4,FALSE)</f>
        <v>0</v>
      </c>
      <c r="K2430" s="4">
        <f t="shared" si="619"/>
        <v>45276</v>
      </c>
      <c r="L2430" s="5">
        <f t="shared" si="620"/>
        <v>12</v>
      </c>
      <c r="M2430" s="5">
        <f t="shared" si="621"/>
        <v>2023</v>
      </c>
      <c r="N2430" s="96">
        <v>1606</v>
      </c>
      <c r="O2430" s="6">
        <f t="shared" ref="O2430:O2440" si="630">-N2430</f>
        <v>-1606</v>
      </c>
      <c r="P2430" s="6">
        <f t="shared" si="623"/>
        <v>0</v>
      </c>
      <c r="Q2430" s="7">
        <f t="shared" si="625"/>
        <v>3989665.6500000018</v>
      </c>
      <c r="R2430" s="44" t="str">
        <f>VLOOKUP(F2430,'Set up'!$A$2:$E$70,5,FALSE)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si="617"/>
        <v>12</v>
      </c>
      <c r="C2431" s="5">
        <f t="shared" si="618"/>
        <v>2023</v>
      </c>
      <c r="D2431" s="88" t="s">
        <v>2194</v>
      </c>
      <c r="E2431" s="5" t="str">
        <f>VLOOKUP(F2431,'Set up'!$A$2:$C$70,2,FALSE)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up'!$A$2:$C$70,3,FALSE)</f>
        <v>Cash</v>
      </c>
      <c r="J2431" s="5">
        <f>VLOOKUP(F2431,'Set up'!$A$2:$D$70,4,FALSE)</f>
        <v>0</v>
      </c>
      <c r="K2431" s="4">
        <f t="shared" si="619"/>
        <v>45276</v>
      </c>
      <c r="L2431" s="5">
        <f t="shared" si="620"/>
        <v>12</v>
      </c>
      <c r="M2431" s="5">
        <f t="shared" si="621"/>
        <v>2023</v>
      </c>
      <c r="N2431" s="96">
        <v>1597.5</v>
      </c>
      <c r="O2431" s="6">
        <f t="shared" si="630"/>
        <v>-1597.5</v>
      </c>
      <c r="P2431" s="6">
        <f t="shared" si="623"/>
        <v>0</v>
      </c>
      <c r="Q2431" s="7">
        <f t="shared" si="625"/>
        <v>3991263.1500000018</v>
      </c>
      <c r="R2431" s="44" t="str">
        <f>VLOOKUP(F2431,'Set up'!$A$2:$E$70,5,FALSE)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617"/>
        <v>12</v>
      </c>
      <c r="C2432" s="5">
        <f t="shared" si="618"/>
        <v>2023</v>
      </c>
      <c r="D2432" s="88" t="s">
        <v>2194</v>
      </c>
      <c r="E2432" s="5" t="str">
        <f>VLOOKUP(F2432,'Set up'!$A$2:$C$70,2,FALSE)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up'!$A$2:$C$70,3,FALSE)</f>
        <v>Cash</v>
      </c>
      <c r="J2432" s="5">
        <f>VLOOKUP(F2432,'Set up'!$A$2:$D$70,4,FALSE)</f>
        <v>0</v>
      </c>
      <c r="K2432" s="4">
        <f t="shared" si="619"/>
        <v>45276</v>
      </c>
      <c r="L2432" s="5">
        <f t="shared" si="620"/>
        <v>12</v>
      </c>
      <c r="M2432" s="5">
        <f t="shared" si="621"/>
        <v>2023</v>
      </c>
      <c r="N2432" s="96">
        <v>1050</v>
      </c>
      <c r="O2432" s="6">
        <f t="shared" si="630"/>
        <v>-1050</v>
      </c>
      <c r="P2432" s="6">
        <f t="shared" si="623"/>
        <v>0</v>
      </c>
      <c r="Q2432" s="7">
        <f t="shared" si="625"/>
        <v>3992313.1500000018</v>
      </c>
      <c r="R2432" s="44" t="str">
        <f>VLOOKUP(F2432,'Set up'!$A$2:$E$70,5,FALSE)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617"/>
        <v>12</v>
      </c>
      <c r="C2433" s="5">
        <f t="shared" si="618"/>
        <v>2023</v>
      </c>
      <c r="D2433" s="88" t="s">
        <v>2194</v>
      </c>
      <c r="E2433" s="5" t="str">
        <f>VLOOKUP(F2433,'Set up'!$A$2:$C$70,2,FALSE)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up'!$A$2:$C$70,3,FALSE)</f>
        <v>Cash</v>
      </c>
      <c r="J2433" s="5">
        <f>VLOOKUP(F2433,'Set up'!$A$2:$D$70,4,FALSE)</f>
        <v>0</v>
      </c>
      <c r="K2433" s="4">
        <f t="shared" si="619"/>
        <v>45276</v>
      </c>
      <c r="L2433" s="5">
        <f t="shared" si="620"/>
        <v>12</v>
      </c>
      <c r="M2433" s="5">
        <f t="shared" si="621"/>
        <v>2023</v>
      </c>
      <c r="N2433" s="96">
        <v>851.4</v>
      </c>
      <c r="O2433" s="6">
        <f t="shared" si="630"/>
        <v>-851.4</v>
      </c>
      <c r="P2433" s="6">
        <f t="shared" si="623"/>
        <v>0</v>
      </c>
      <c r="Q2433" s="7">
        <f t="shared" si="625"/>
        <v>3993164.5500000017</v>
      </c>
      <c r="R2433" s="44" t="str">
        <f>VLOOKUP(F2433,'Set up'!$A$2:$E$70,5,FALSE)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617"/>
        <v>12</v>
      </c>
      <c r="C2434" s="5">
        <f t="shared" si="618"/>
        <v>2023</v>
      </c>
      <c r="D2434" s="88" t="s">
        <v>2194</v>
      </c>
      <c r="E2434" s="5" t="str">
        <f>VLOOKUP(F2434,'Set up'!$A$2:$C$70,2,FALSE)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up'!$A$2:$C$70,3,FALSE)</f>
        <v>Cash</v>
      </c>
      <c r="J2434" s="5">
        <f>VLOOKUP(F2434,'Set up'!$A$2:$D$70,4,FALSE)</f>
        <v>0</v>
      </c>
      <c r="K2434" s="4">
        <f t="shared" si="619"/>
        <v>45276</v>
      </c>
      <c r="L2434" s="5">
        <f t="shared" si="620"/>
        <v>12</v>
      </c>
      <c r="M2434" s="5">
        <f t="shared" si="621"/>
        <v>2023</v>
      </c>
      <c r="N2434" s="96">
        <v>105</v>
      </c>
      <c r="O2434" s="6">
        <f t="shared" si="630"/>
        <v>-105</v>
      </c>
      <c r="P2434" s="6">
        <f t="shared" si="623"/>
        <v>0</v>
      </c>
      <c r="Q2434" s="7">
        <f t="shared" si="625"/>
        <v>3993269.5500000017</v>
      </c>
      <c r="R2434" s="44" t="str">
        <f>VLOOKUP(F2434,'Set up'!$A$2:$E$70,5,FALSE)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ref="B2435:B2498" si="631">MONTH(A2435)</f>
        <v>12</v>
      </c>
      <c r="C2435" s="5">
        <f t="shared" ref="C2435:C2498" si="632">YEAR(A2435)</f>
        <v>2023</v>
      </c>
      <c r="D2435" s="88" t="s">
        <v>2194</v>
      </c>
      <c r="E2435" s="5" t="str">
        <f>VLOOKUP(F2435,'Set up'!$A$2:$C$70,2,FALSE)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up'!$A$2:$C$70,3,FALSE)</f>
        <v>Cash</v>
      </c>
      <c r="J2435" s="5">
        <f>VLOOKUP(F2435,'Set up'!$A$2:$D$70,4,FALSE)</f>
        <v>0</v>
      </c>
      <c r="K2435" s="4">
        <f t="shared" ref="K2435:K2498" si="633">A2435+J2435</f>
        <v>45276</v>
      </c>
      <c r="L2435" s="5">
        <f t="shared" ref="L2435:L2498" si="634">MONTH(K2435)</f>
        <v>12</v>
      </c>
      <c r="M2435" s="5">
        <f t="shared" ref="M2435:M2498" si="635">YEAR(K2435)</f>
        <v>2023</v>
      </c>
      <c r="N2435" s="96">
        <v>480</v>
      </c>
      <c r="O2435" s="6">
        <f t="shared" si="630"/>
        <v>-480</v>
      </c>
      <c r="P2435" s="6">
        <f t="shared" si="623"/>
        <v>0</v>
      </c>
      <c r="Q2435" s="7">
        <f t="shared" si="625"/>
        <v>3993749.5500000017</v>
      </c>
      <c r="R2435" s="44" t="str">
        <f>VLOOKUP(F2435,'Set up'!$A$2:$E$70,5,FALSE)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631"/>
        <v>12</v>
      </c>
      <c r="C2436" s="5">
        <f t="shared" si="632"/>
        <v>2023</v>
      </c>
      <c r="D2436" s="88" t="s">
        <v>2194</v>
      </c>
      <c r="E2436" s="5" t="str">
        <f>VLOOKUP(F2436,'Set up'!$A$2:$C$70,2,FALSE)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up'!$A$2:$C$70,3,FALSE)</f>
        <v>Cash</v>
      </c>
      <c r="J2436" s="5">
        <f>VLOOKUP(F2436,'Set up'!$A$2:$D$70,4,FALSE)</f>
        <v>0</v>
      </c>
      <c r="K2436" s="4">
        <f t="shared" si="633"/>
        <v>45276</v>
      </c>
      <c r="L2436" s="5">
        <f t="shared" si="634"/>
        <v>12</v>
      </c>
      <c r="M2436" s="5">
        <f t="shared" si="635"/>
        <v>2023</v>
      </c>
      <c r="N2436" s="96">
        <v>170</v>
      </c>
      <c r="O2436" s="6">
        <f t="shared" si="630"/>
        <v>-170</v>
      </c>
      <c r="P2436" s="6">
        <f t="shared" si="623"/>
        <v>0</v>
      </c>
      <c r="Q2436" s="7">
        <f t="shared" si="625"/>
        <v>3993919.5500000017</v>
      </c>
      <c r="R2436" s="44" t="str">
        <f>VLOOKUP(F2436,'Set up'!$A$2:$E$70,5,FALSE)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631"/>
        <v>12</v>
      </c>
      <c r="C2437" s="5">
        <f t="shared" si="632"/>
        <v>2023</v>
      </c>
      <c r="D2437" s="88" t="s">
        <v>2194</v>
      </c>
      <c r="E2437" s="5" t="str">
        <f>VLOOKUP(F2437,'Set up'!$A$2:$C$70,2,FALSE)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up'!$A$2:$C$70,3,FALSE)</f>
        <v>Cash</v>
      </c>
      <c r="J2437" s="5">
        <f>VLOOKUP(F2437,'Set up'!$A$2:$D$70,4,FALSE)</f>
        <v>0</v>
      </c>
      <c r="K2437" s="4">
        <f t="shared" si="633"/>
        <v>45276</v>
      </c>
      <c r="L2437" s="5">
        <f t="shared" si="634"/>
        <v>12</v>
      </c>
      <c r="M2437" s="5">
        <f t="shared" si="635"/>
        <v>2023</v>
      </c>
      <c r="N2437" s="96">
        <v>96</v>
      </c>
      <c r="O2437" s="6">
        <f t="shared" si="630"/>
        <v>-96</v>
      </c>
      <c r="P2437" s="6">
        <f t="shared" si="623"/>
        <v>0</v>
      </c>
      <c r="Q2437" s="7">
        <f t="shared" si="625"/>
        <v>3994015.5500000017</v>
      </c>
      <c r="R2437" s="44" t="str">
        <f>VLOOKUP(F2437,'Set up'!$A$2:$E$70,5,FALSE)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631"/>
        <v>12</v>
      </c>
      <c r="C2438" s="5">
        <f t="shared" si="632"/>
        <v>2023</v>
      </c>
      <c r="D2438" s="88" t="s">
        <v>2195</v>
      </c>
      <c r="E2438" s="5" t="str">
        <f>VLOOKUP(F2438,'Set up'!$A$2:$C$70,2,FALSE)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up'!$A$2:$C$70,3,FALSE)</f>
        <v>Cash</v>
      </c>
      <c r="J2438" s="5">
        <f>VLOOKUP(F2438,'Set up'!$A$2:$D$70,4,FALSE)</f>
        <v>0</v>
      </c>
      <c r="K2438" s="4">
        <f t="shared" si="633"/>
        <v>45276</v>
      </c>
      <c r="L2438" s="5">
        <f t="shared" si="634"/>
        <v>12</v>
      </c>
      <c r="M2438" s="5">
        <f t="shared" si="635"/>
        <v>2023</v>
      </c>
      <c r="N2438" s="96">
        <v>1606</v>
      </c>
      <c r="O2438" s="6">
        <f t="shared" si="630"/>
        <v>-1606</v>
      </c>
      <c r="P2438" s="6">
        <f t="shared" si="623"/>
        <v>0</v>
      </c>
      <c r="Q2438" s="7">
        <f t="shared" si="625"/>
        <v>3995621.5500000017</v>
      </c>
      <c r="R2438" s="44" t="str">
        <f>VLOOKUP(F2438,'Set up'!$A$2:$E$70,5,FALSE)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631"/>
        <v>12</v>
      </c>
      <c r="C2439" s="5">
        <f t="shared" si="632"/>
        <v>2023</v>
      </c>
      <c r="D2439" s="88" t="s">
        <v>2195</v>
      </c>
      <c r="E2439" s="5" t="str">
        <f>VLOOKUP(F2439,'Set up'!$A$2:$C$70,2,FALSE)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up'!$A$2:$C$70,3,FALSE)</f>
        <v>Cash</v>
      </c>
      <c r="J2439" s="5">
        <f>VLOOKUP(F2439,'Set up'!$A$2:$D$70,4,FALSE)</f>
        <v>0</v>
      </c>
      <c r="K2439" s="4">
        <f t="shared" si="633"/>
        <v>45276</v>
      </c>
      <c r="L2439" s="5">
        <f t="shared" si="634"/>
        <v>12</v>
      </c>
      <c r="M2439" s="5">
        <f t="shared" si="635"/>
        <v>2023</v>
      </c>
      <c r="N2439" s="96">
        <v>420</v>
      </c>
      <c r="O2439" s="6">
        <f t="shared" si="630"/>
        <v>-420</v>
      </c>
      <c r="P2439" s="6">
        <f t="shared" si="623"/>
        <v>0</v>
      </c>
      <c r="Q2439" s="7">
        <f t="shared" si="625"/>
        <v>3996041.5500000017</v>
      </c>
      <c r="R2439" s="44" t="str">
        <f>VLOOKUP(F2439,'Set up'!$A$2:$E$70,5,FALSE)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631"/>
        <v>12</v>
      </c>
      <c r="C2440" s="5">
        <f t="shared" si="632"/>
        <v>2023</v>
      </c>
      <c r="D2440" s="88" t="s">
        <v>2195</v>
      </c>
      <c r="E2440" s="5" t="str">
        <f>VLOOKUP(F2440,'Set up'!$A$2:$C$70,2,FALSE)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up'!$A$2:$C$70,3,FALSE)</f>
        <v>Cash</v>
      </c>
      <c r="J2440" s="5">
        <f>VLOOKUP(F2440,'Set up'!$A$2:$D$70,4,FALSE)</f>
        <v>0</v>
      </c>
      <c r="K2440" s="4">
        <f t="shared" si="633"/>
        <v>45276</v>
      </c>
      <c r="L2440" s="5">
        <f t="shared" si="634"/>
        <v>12</v>
      </c>
      <c r="M2440" s="5">
        <f t="shared" si="635"/>
        <v>2023</v>
      </c>
      <c r="N2440" s="96">
        <v>105</v>
      </c>
      <c r="O2440" s="6">
        <f t="shared" si="630"/>
        <v>-105</v>
      </c>
      <c r="P2440" s="6">
        <f t="shared" si="623"/>
        <v>0</v>
      </c>
      <c r="Q2440" s="7">
        <f t="shared" si="625"/>
        <v>3996146.5500000017</v>
      </c>
      <c r="R2440" s="44" t="str">
        <f>VLOOKUP(F2440,'Set up'!$A$2:$E$70,5,FALSE)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631"/>
        <v>12</v>
      </c>
      <c r="C2441" s="5">
        <f t="shared" si="632"/>
        <v>2023</v>
      </c>
      <c r="D2441" s="88" t="s">
        <v>2196</v>
      </c>
      <c r="E2441" s="5" t="str">
        <f>VLOOKUP(F2441,'Set up'!$A$2:$C$70,2,FALSE)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up'!$A$2:$C$70,3,FALSE)</f>
        <v>Cash</v>
      </c>
      <c r="J2441" s="5">
        <f>VLOOKUP(F2441,'Set up'!$A$2:$D$70,4,FALSE)</f>
        <v>0</v>
      </c>
      <c r="K2441" s="4">
        <f t="shared" si="633"/>
        <v>45276</v>
      </c>
      <c r="L2441" s="5">
        <f t="shared" si="634"/>
        <v>12</v>
      </c>
      <c r="M2441" s="5">
        <f t="shared" si="635"/>
        <v>2023</v>
      </c>
      <c r="N2441" s="96">
        <v>250</v>
      </c>
      <c r="O2441" s="6">
        <f>-N2441</f>
        <v>-250</v>
      </c>
      <c r="P2441" s="6">
        <f t="shared" si="623"/>
        <v>0</v>
      </c>
      <c r="Q2441" s="7">
        <f t="shared" si="625"/>
        <v>3996396.5500000017</v>
      </c>
      <c r="R2441" s="44" t="str">
        <f>VLOOKUP(F2441,'Set up'!$A$2:$E$70,5,FALSE)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631"/>
        <v>12</v>
      </c>
      <c r="C2442" s="5">
        <f t="shared" si="632"/>
        <v>2023</v>
      </c>
      <c r="D2442" s="88" t="s">
        <v>2197</v>
      </c>
      <c r="E2442" s="5" t="str">
        <f>VLOOKUP(F2442,'Set up'!$A$2:$C$70,2,FALSE)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up'!$A$2:$C$70,3,FALSE)</f>
        <v>Cash</v>
      </c>
      <c r="J2442" s="5">
        <f>VLOOKUP(F2442,'Set up'!$A$2:$D$70,4,FALSE)</f>
        <v>0</v>
      </c>
      <c r="K2442" s="4">
        <f t="shared" si="633"/>
        <v>45276</v>
      </c>
      <c r="L2442" s="5">
        <f t="shared" si="634"/>
        <v>12</v>
      </c>
      <c r="M2442" s="5">
        <f t="shared" si="635"/>
        <v>2023</v>
      </c>
      <c r="N2442" s="96">
        <v>6424</v>
      </c>
      <c r="O2442" s="6">
        <f>-N2442</f>
        <v>-6424</v>
      </c>
      <c r="P2442" s="6">
        <f t="shared" si="623"/>
        <v>0</v>
      </c>
      <c r="Q2442" s="7">
        <f t="shared" si="625"/>
        <v>4002820.5500000017</v>
      </c>
      <c r="R2442" s="44" t="str">
        <f>VLOOKUP(F2442,'Set up'!$A$2:$E$70,5,FALSE)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631"/>
        <v>12</v>
      </c>
      <c r="C2443" s="5">
        <f t="shared" si="632"/>
        <v>2023</v>
      </c>
      <c r="D2443" s="88" t="s">
        <v>2197</v>
      </c>
      <c r="E2443" s="5" t="str">
        <f>VLOOKUP(F2443,'Set up'!$A$2:$C$70,2,FALSE)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up'!$A$2:$C$70,3,FALSE)</f>
        <v>Cash</v>
      </c>
      <c r="J2443" s="5">
        <f>VLOOKUP(F2443,'Set up'!$A$2:$D$70,4,FALSE)</f>
        <v>0</v>
      </c>
      <c r="K2443" s="4">
        <f t="shared" si="633"/>
        <v>45276</v>
      </c>
      <c r="L2443" s="5">
        <f t="shared" si="634"/>
        <v>12</v>
      </c>
      <c r="M2443" s="5">
        <f t="shared" si="635"/>
        <v>2023</v>
      </c>
      <c r="N2443" s="96">
        <v>2331.6</v>
      </c>
      <c r="O2443" s="6">
        <f>-N2443</f>
        <v>-2331.6</v>
      </c>
      <c r="P2443" s="6">
        <f t="shared" si="623"/>
        <v>0</v>
      </c>
      <c r="Q2443" s="7">
        <f t="shared" si="625"/>
        <v>4005152.1500000018</v>
      </c>
      <c r="R2443" s="44" t="str">
        <f>VLOOKUP(F2443,'Set up'!$A$2:$E$70,5,FALSE)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631"/>
        <v>12</v>
      </c>
      <c r="C2444" s="5">
        <f t="shared" si="632"/>
        <v>2023</v>
      </c>
      <c r="D2444" s="88" t="s">
        <v>2197</v>
      </c>
      <c r="E2444" s="5" t="str">
        <f>VLOOKUP(F2444,'Set up'!$A$2:$C$70,2,FALSE)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up'!$A$2:$C$70,3,FALSE)</f>
        <v>Cash</v>
      </c>
      <c r="J2444" s="5">
        <f>VLOOKUP(F2444,'Set up'!$A$2:$D$70,4,FALSE)</f>
        <v>0</v>
      </c>
      <c r="K2444" s="4">
        <f t="shared" si="633"/>
        <v>45276</v>
      </c>
      <c r="L2444" s="5">
        <f t="shared" si="634"/>
        <v>12</v>
      </c>
      <c r="M2444" s="5">
        <f t="shared" si="635"/>
        <v>2023</v>
      </c>
      <c r="N2444" s="96">
        <v>1404</v>
      </c>
      <c r="O2444" s="6">
        <f>-N2444</f>
        <v>-1404</v>
      </c>
      <c r="P2444" s="6">
        <f t="shared" si="623"/>
        <v>0</v>
      </c>
      <c r="Q2444" s="7">
        <f t="shared" si="625"/>
        <v>4006556.1500000018</v>
      </c>
      <c r="R2444" s="44" t="str">
        <f>VLOOKUP(F2444,'Set up'!$A$2:$E$70,5,FALSE)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631"/>
        <v>12</v>
      </c>
      <c r="C2445" s="5">
        <f t="shared" si="632"/>
        <v>2023</v>
      </c>
      <c r="D2445" s="88" t="s">
        <v>2197</v>
      </c>
      <c r="E2445" s="5" t="str">
        <f>VLOOKUP(F2445,'Set up'!$A$2:$C$70,2,FALSE)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up'!$A$2:$C$70,3,FALSE)</f>
        <v>Cash</v>
      </c>
      <c r="J2445" s="5">
        <f>VLOOKUP(F2445,'Set up'!$A$2:$D$70,4,FALSE)</f>
        <v>0</v>
      </c>
      <c r="K2445" s="4">
        <f t="shared" si="633"/>
        <v>45276</v>
      </c>
      <c r="L2445" s="5">
        <f t="shared" si="634"/>
        <v>12</v>
      </c>
      <c r="M2445" s="5">
        <f t="shared" si="635"/>
        <v>2023</v>
      </c>
      <c r="N2445" s="96">
        <v>380</v>
      </c>
      <c r="O2445" s="6">
        <f>-N2445</f>
        <v>-380</v>
      </c>
      <c r="P2445" s="6">
        <f t="shared" si="623"/>
        <v>0</v>
      </c>
      <c r="Q2445" s="7">
        <f t="shared" si="625"/>
        <v>4006936.1500000018</v>
      </c>
      <c r="R2445" s="44" t="str">
        <f>VLOOKUP(F2445,'Set up'!$A$2:$E$70,5,FALSE)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631"/>
        <v>12</v>
      </c>
      <c r="C2446" s="5">
        <f t="shared" si="632"/>
        <v>2023</v>
      </c>
      <c r="D2446" s="88" t="s">
        <v>2198</v>
      </c>
      <c r="E2446" s="5" t="str">
        <f>VLOOKUP(F2446,'Set up'!$A$2:$C$70,2,FALSE)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up'!$A$2:$C$70,3,FALSE)</f>
        <v>Cash</v>
      </c>
      <c r="J2446" s="5">
        <f>VLOOKUP(F2446,'Set up'!$A$2:$D$70,4,FALSE)</f>
        <v>0</v>
      </c>
      <c r="K2446" s="4">
        <f t="shared" si="633"/>
        <v>45278</v>
      </c>
      <c r="L2446" s="5">
        <f t="shared" si="634"/>
        <v>12</v>
      </c>
      <c r="M2446" s="5">
        <f t="shared" si="635"/>
        <v>2023</v>
      </c>
      <c r="N2446" s="96">
        <v>1738</v>
      </c>
      <c r="O2446" s="6">
        <f t="shared" ref="O2446:O2449" si="636">-N2446</f>
        <v>-1738</v>
      </c>
      <c r="P2446" s="6">
        <f t="shared" si="623"/>
        <v>0</v>
      </c>
      <c r="Q2446" s="7">
        <f t="shared" si="625"/>
        <v>4008674.1500000018</v>
      </c>
      <c r="R2446" s="44" t="str">
        <f>VLOOKUP(F2446,'Set up'!$A$2:$E$70,5,FALSE)</f>
        <v>PD Chq</v>
      </c>
      <c r="S2446" s="1" t="s">
        <v>3431</v>
      </c>
    </row>
    <row r="2447" spans="1:19" ht="15" customHeight="1" x14ac:dyDescent="0.35">
      <c r="A2447" s="4">
        <v>45278</v>
      </c>
      <c r="B2447" s="5">
        <f t="shared" si="631"/>
        <v>12</v>
      </c>
      <c r="C2447" s="5">
        <f t="shared" si="632"/>
        <v>2023</v>
      </c>
      <c r="D2447" s="88" t="s">
        <v>2198</v>
      </c>
      <c r="E2447" s="5" t="str">
        <f>VLOOKUP(F2447,'Set up'!$A$2:$C$70,2,FALSE)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up'!$A$2:$C$70,3,FALSE)</f>
        <v>Cash</v>
      </c>
      <c r="J2447" s="5">
        <f>VLOOKUP(F2447,'Set up'!$A$2:$D$70,4,FALSE)</f>
        <v>0</v>
      </c>
      <c r="K2447" s="4">
        <f t="shared" si="633"/>
        <v>45278</v>
      </c>
      <c r="L2447" s="5">
        <f t="shared" si="634"/>
        <v>12</v>
      </c>
      <c r="M2447" s="5">
        <f t="shared" si="635"/>
        <v>2023</v>
      </c>
      <c r="N2447" s="96">
        <v>832.5</v>
      </c>
      <c r="O2447" s="6">
        <f t="shared" si="636"/>
        <v>-832.5</v>
      </c>
      <c r="P2447" s="6">
        <f t="shared" si="623"/>
        <v>0</v>
      </c>
      <c r="Q2447" s="7">
        <f t="shared" si="625"/>
        <v>4009506.6500000018</v>
      </c>
      <c r="R2447" s="44" t="str">
        <f>VLOOKUP(F2447,'Set up'!$A$2:$E$70,5,FALSE)</f>
        <v>PD Chq</v>
      </c>
      <c r="S2447" s="1" t="s">
        <v>3431</v>
      </c>
    </row>
    <row r="2448" spans="1:19" ht="15" customHeight="1" x14ac:dyDescent="0.35">
      <c r="A2448" s="4">
        <v>45278</v>
      </c>
      <c r="B2448" s="5">
        <f t="shared" si="631"/>
        <v>12</v>
      </c>
      <c r="C2448" s="5">
        <f t="shared" si="632"/>
        <v>2023</v>
      </c>
      <c r="D2448" s="88" t="s">
        <v>2198</v>
      </c>
      <c r="E2448" s="5" t="str">
        <f>VLOOKUP(F2448,'Set up'!$A$2:$C$70,2,FALSE)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up'!$A$2:$C$70,3,FALSE)</f>
        <v>Cash</v>
      </c>
      <c r="J2448" s="5">
        <f>VLOOKUP(F2448,'Set up'!$A$2:$D$70,4,FALSE)</f>
        <v>0</v>
      </c>
      <c r="K2448" s="4">
        <f t="shared" si="633"/>
        <v>45278</v>
      </c>
      <c r="L2448" s="5">
        <f t="shared" si="634"/>
        <v>12</v>
      </c>
      <c r="M2448" s="5">
        <f t="shared" si="635"/>
        <v>2023</v>
      </c>
      <c r="N2448" s="96">
        <v>95</v>
      </c>
      <c r="O2448" s="6">
        <f t="shared" si="636"/>
        <v>-95</v>
      </c>
      <c r="P2448" s="6">
        <f t="shared" si="623"/>
        <v>0</v>
      </c>
      <c r="Q2448" s="7">
        <f t="shared" si="625"/>
        <v>4009601.6500000018</v>
      </c>
      <c r="R2448" s="44" t="str">
        <f>VLOOKUP(F2448,'Set up'!$A$2:$E$70,5,FALSE)</f>
        <v>PD Chq</v>
      </c>
      <c r="S2448" s="1" t="s">
        <v>3431</v>
      </c>
    </row>
    <row r="2449" spans="1:19" ht="15" customHeight="1" x14ac:dyDescent="0.35">
      <c r="A2449" s="4">
        <v>45278</v>
      </c>
      <c r="B2449" s="5">
        <f t="shared" si="631"/>
        <v>12</v>
      </c>
      <c r="C2449" s="5">
        <f t="shared" si="632"/>
        <v>2023</v>
      </c>
      <c r="D2449" s="88" t="s">
        <v>2198</v>
      </c>
      <c r="E2449" s="5" t="str">
        <f>VLOOKUP(F2449,'Set up'!$A$2:$C$70,2,FALSE)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up'!$A$2:$C$70,3,FALSE)</f>
        <v>Cash</v>
      </c>
      <c r="J2449" s="5">
        <f>VLOOKUP(F2449,'Set up'!$A$2:$D$70,4,FALSE)</f>
        <v>0</v>
      </c>
      <c r="K2449" s="4">
        <f t="shared" si="633"/>
        <v>45278</v>
      </c>
      <c r="L2449" s="5">
        <f t="shared" si="634"/>
        <v>12</v>
      </c>
      <c r="M2449" s="5">
        <f t="shared" si="635"/>
        <v>2023</v>
      </c>
      <c r="N2449" s="96">
        <v>312.5</v>
      </c>
      <c r="O2449" s="6">
        <f t="shared" si="636"/>
        <v>-312.5</v>
      </c>
      <c r="P2449" s="6">
        <f t="shared" si="623"/>
        <v>0</v>
      </c>
      <c r="Q2449" s="7">
        <f t="shared" si="625"/>
        <v>4009914.1500000018</v>
      </c>
      <c r="R2449" s="44" t="str">
        <f>VLOOKUP(F2449,'Set up'!$A$2:$E$70,5,FALSE)</f>
        <v>PD Chq</v>
      </c>
      <c r="S2449" s="1" t="s">
        <v>3431</v>
      </c>
    </row>
    <row r="2450" spans="1:19" ht="15" customHeight="1" x14ac:dyDescent="0.35">
      <c r="A2450" s="4">
        <v>45278</v>
      </c>
      <c r="B2450" s="5">
        <f t="shared" si="631"/>
        <v>12</v>
      </c>
      <c r="C2450" s="5">
        <f t="shared" si="632"/>
        <v>2023</v>
      </c>
      <c r="D2450" s="88" t="s">
        <v>2199</v>
      </c>
      <c r="E2450" s="5" t="str">
        <f>VLOOKUP(F2450,'Set up'!$A$2:$C$70,2,FALSE)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up'!$A$2:$C$70,3,FALSE)</f>
        <v>120</v>
      </c>
      <c r="J2450" s="5">
        <f>VLOOKUP(F2450,'Set up'!$A$2:$D$70,4,FALSE)</f>
        <v>120</v>
      </c>
      <c r="K2450" s="4">
        <f t="shared" si="633"/>
        <v>45398</v>
      </c>
      <c r="L2450" s="5">
        <f t="shared" si="634"/>
        <v>4</v>
      </c>
      <c r="M2450" s="5">
        <f t="shared" si="635"/>
        <v>2024</v>
      </c>
      <c r="N2450" s="96">
        <v>696</v>
      </c>
      <c r="O2450" s="6">
        <f t="shared" ref="O2450" si="637">-N2450</f>
        <v>-696</v>
      </c>
      <c r="P2450" s="6">
        <f t="shared" si="623"/>
        <v>0</v>
      </c>
      <c r="Q2450" s="7">
        <f t="shared" si="625"/>
        <v>4010610.1500000018</v>
      </c>
      <c r="R2450" s="44" t="str">
        <f>VLOOKUP(F2450,'Set up'!$A$2:$E$70,5,FALSE)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631"/>
        <v>12</v>
      </c>
      <c r="C2451" s="5">
        <f t="shared" si="632"/>
        <v>2023</v>
      </c>
      <c r="D2451" s="88" t="s">
        <v>2200</v>
      </c>
      <c r="E2451" s="5" t="str">
        <f>VLOOKUP(F2451,'Set up'!$A$2:$C$70,2,FALSE)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up'!$A$2:$C$70,3,FALSE)</f>
        <v>Cash</v>
      </c>
      <c r="J2451" s="5">
        <f>VLOOKUP(F2451,'Set up'!$A$2:$D$70,4,FALSE)</f>
        <v>0</v>
      </c>
      <c r="K2451" s="4">
        <f t="shared" si="633"/>
        <v>45279</v>
      </c>
      <c r="L2451" s="5">
        <f t="shared" si="634"/>
        <v>12</v>
      </c>
      <c r="M2451" s="5">
        <f t="shared" si="635"/>
        <v>2023</v>
      </c>
      <c r="N2451" s="96">
        <v>1738</v>
      </c>
      <c r="O2451" s="6">
        <f>-448.8-1000-289.2</f>
        <v>-1738</v>
      </c>
      <c r="P2451" s="6">
        <f t="shared" si="623"/>
        <v>0</v>
      </c>
      <c r="Q2451" s="7">
        <f t="shared" si="625"/>
        <v>4012348.1500000018</v>
      </c>
      <c r="R2451" s="44" t="str">
        <f>VLOOKUP(F2451,'Set up'!$A$2:$E$70,5,FALSE)</f>
        <v>Trsf</v>
      </c>
      <c r="S2451" s="1" t="s">
        <v>3310</v>
      </c>
    </row>
    <row r="2452" spans="1:19" ht="15" customHeight="1" x14ac:dyDescent="0.35">
      <c r="A2452" s="4">
        <v>45279</v>
      </c>
      <c r="B2452" s="5">
        <f t="shared" si="631"/>
        <v>12</v>
      </c>
      <c r="C2452" s="5">
        <f t="shared" si="632"/>
        <v>2023</v>
      </c>
      <c r="D2452" s="88" t="s">
        <v>2200</v>
      </c>
      <c r="E2452" s="5" t="str">
        <f>VLOOKUP(F2452,'Set up'!$A$2:$C$70,2,FALSE)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up'!$A$2:$C$70,3,FALSE)</f>
        <v>Cash</v>
      </c>
      <c r="J2452" s="5">
        <f>VLOOKUP(F2452,'Set up'!$A$2:$D$70,4,FALSE)</f>
        <v>0</v>
      </c>
      <c r="K2452" s="4">
        <f t="shared" si="633"/>
        <v>45279</v>
      </c>
      <c r="L2452" s="5">
        <f t="shared" si="634"/>
        <v>12</v>
      </c>
      <c r="M2452" s="5">
        <f t="shared" si="635"/>
        <v>2023</v>
      </c>
      <c r="N2452" s="96">
        <v>405</v>
      </c>
      <c r="O2452" s="6">
        <f t="shared" ref="O2452:O2454" si="638">-N2452</f>
        <v>-405</v>
      </c>
      <c r="P2452" s="6">
        <f t="shared" si="623"/>
        <v>0</v>
      </c>
      <c r="Q2452" s="7">
        <f t="shared" si="625"/>
        <v>4012753.1500000018</v>
      </c>
      <c r="R2452" s="44" t="str">
        <f>VLOOKUP(F2452,'Set up'!$A$2:$E$70,5,FALSE)</f>
        <v>Trsf</v>
      </c>
      <c r="S2452" s="1" t="s">
        <v>3308</v>
      </c>
    </row>
    <row r="2453" spans="1:19" ht="15" customHeight="1" x14ac:dyDescent="0.35">
      <c r="A2453" s="4">
        <v>45279</v>
      </c>
      <c r="B2453" s="5">
        <f t="shared" si="631"/>
        <v>12</v>
      </c>
      <c r="C2453" s="5">
        <f t="shared" si="632"/>
        <v>2023</v>
      </c>
      <c r="D2453" s="88" t="s">
        <v>2200</v>
      </c>
      <c r="E2453" s="5" t="str">
        <f>VLOOKUP(F2453,'Set up'!$A$2:$C$70,2,FALSE)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up'!$A$2:$C$70,3,FALSE)</f>
        <v>Cash</v>
      </c>
      <c r="J2453" s="5">
        <f>VLOOKUP(F2453,'Set up'!$A$2:$D$70,4,FALSE)</f>
        <v>0</v>
      </c>
      <c r="K2453" s="4">
        <f t="shared" si="633"/>
        <v>45279</v>
      </c>
      <c r="L2453" s="5">
        <f t="shared" si="634"/>
        <v>12</v>
      </c>
      <c r="M2453" s="5">
        <f t="shared" si="635"/>
        <v>2023</v>
      </c>
      <c r="N2453" s="96">
        <v>250</v>
      </c>
      <c r="O2453" s="6">
        <f t="shared" si="638"/>
        <v>-250</v>
      </c>
      <c r="P2453" s="6">
        <f t="shared" ref="P2453:P2516" si="639">SUM(N2453+O2453)</f>
        <v>0</v>
      </c>
      <c r="Q2453" s="7">
        <f t="shared" si="625"/>
        <v>4013003.1500000018</v>
      </c>
      <c r="R2453" s="44" t="str">
        <f>VLOOKUP(F2453,'Set up'!$A$2:$E$70,5,FALSE)</f>
        <v>Trsf</v>
      </c>
      <c r="S2453" s="1" t="s">
        <v>3311</v>
      </c>
    </row>
    <row r="2454" spans="1:19" ht="15" customHeight="1" x14ac:dyDescent="0.35">
      <c r="A2454" s="4">
        <v>45279</v>
      </c>
      <c r="B2454" s="5">
        <f t="shared" si="631"/>
        <v>12</v>
      </c>
      <c r="C2454" s="5">
        <f t="shared" si="632"/>
        <v>2023</v>
      </c>
      <c r="D2454" s="88" t="s">
        <v>2200</v>
      </c>
      <c r="E2454" s="5" t="str">
        <f>VLOOKUP(F2454,'Set up'!$A$2:$C$70,2,FALSE)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up'!$A$2:$C$70,3,FALSE)</f>
        <v>Cash</v>
      </c>
      <c r="J2454" s="5">
        <f>VLOOKUP(F2454,'Set up'!$A$2:$D$70,4,FALSE)</f>
        <v>0</v>
      </c>
      <c r="K2454" s="4">
        <f t="shared" si="633"/>
        <v>45279</v>
      </c>
      <c r="L2454" s="5">
        <f t="shared" si="634"/>
        <v>12</v>
      </c>
      <c r="M2454" s="5">
        <f t="shared" si="635"/>
        <v>2023</v>
      </c>
      <c r="N2454" s="96">
        <v>105</v>
      </c>
      <c r="O2454" s="6">
        <f t="shared" si="638"/>
        <v>-105</v>
      </c>
      <c r="P2454" s="6">
        <f t="shared" si="639"/>
        <v>0</v>
      </c>
      <c r="Q2454" s="7">
        <f t="shared" si="625"/>
        <v>4013108.1500000018</v>
      </c>
      <c r="R2454" s="44" t="str">
        <f>VLOOKUP(F2454,'Set up'!$A$2:$E$70,5,FALSE)</f>
        <v>Trsf</v>
      </c>
      <c r="S2454" s="1" t="s">
        <v>3309</v>
      </c>
    </row>
    <row r="2455" spans="1:19" ht="15" customHeight="1" x14ac:dyDescent="0.35">
      <c r="A2455" s="4">
        <v>45279</v>
      </c>
      <c r="B2455" s="5">
        <f t="shared" si="631"/>
        <v>12</v>
      </c>
      <c r="C2455" s="5">
        <f t="shared" si="632"/>
        <v>2023</v>
      </c>
      <c r="D2455" s="88" t="s">
        <v>2200</v>
      </c>
      <c r="E2455" s="5" t="str">
        <f>VLOOKUP(F2455,'Set up'!$A$2:$C$70,2,FALSE)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up'!$A$2:$C$70,3,FALSE)</f>
        <v>Cash</v>
      </c>
      <c r="J2455" s="5">
        <f>VLOOKUP(F2455,'Set up'!$A$2:$D$70,4,FALSE)</f>
        <v>0</v>
      </c>
      <c r="K2455" s="4">
        <f t="shared" si="633"/>
        <v>45279</v>
      </c>
      <c r="L2455" s="5">
        <f t="shared" si="634"/>
        <v>12</v>
      </c>
      <c r="M2455" s="5">
        <f t="shared" si="635"/>
        <v>2023</v>
      </c>
      <c r="N2455" s="96">
        <v>420</v>
      </c>
      <c r="O2455" s="6">
        <f>-250.8-169.2</f>
        <v>-420</v>
      </c>
      <c r="P2455" s="6">
        <f t="shared" si="639"/>
        <v>0</v>
      </c>
      <c r="Q2455" s="7">
        <f t="shared" si="625"/>
        <v>4013528.1500000018</v>
      </c>
      <c r="R2455" s="44" t="str">
        <f>VLOOKUP(F2455,'Set up'!$A$2:$E$70,5,FALSE)</f>
        <v>Trsf</v>
      </c>
      <c r="S2455" s="1" t="s">
        <v>3312</v>
      </c>
    </row>
    <row r="2456" spans="1:19" ht="15" customHeight="1" x14ac:dyDescent="0.35">
      <c r="A2456" s="4">
        <v>45279</v>
      </c>
      <c r="B2456" s="5">
        <f t="shared" si="631"/>
        <v>12</v>
      </c>
      <c r="C2456" s="5">
        <f t="shared" si="632"/>
        <v>2023</v>
      </c>
      <c r="D2456" s="88" t="s">
        <v>2201</v>
      </c>
      <c r="E2456" s="5" t="str">
        <f>VLOOKUP(F2456,'Set up'!$A$2:$C$70,2,FALSE)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up'!$A$2:$C$70,3,FALSE)</f>
        <v>Cash</v>
      </c>
      <c r="J2456" s="5">
        <f>VLOOKUP(F2456,'Set up'!$A$2:$D$70,4,FALSE)</f>
        <v>0</v>
      </c>
      <c r="K2456" s="4">
        <f t="shared" si="633"/>
        <v>45279</v>
      </c>
      <c r="L2456" s="5">
        <f t="shared" si="634"/>
        <v>12</v>
      </c>
      <c r="M2456" s="5">
        <f t="shared" si="635"/>
        <v>2023</v>
      </c>
      <c r="N2456" s="96">
        <v>4250</v>
      </c>
      <c r="O2456" s="6">
        <f t="shared" ref="O2456:O2466" si="640">-N2456</f>
        <v>-4250</v>
      </c>
      <c r="P2456" s="6">
        <f t="shared" si="639"/>
        <v>0</v>
      </c>
      <c r="Q2456" s="7">
        <f t="shared" si="625"/>
        <v>4017778.1500000018</v>
      </c>
      <c r="R2456" s="44" t="str">
        <f>VLOOKUP(F2456,'Set up'!$A$2:$E$70,5,FALSE)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631"/>
        <v>12</v>
      </c>
      <c r="C2457" s="5">
        <f t="shared" si="632"/>
        <v>2023</v>
      </c>
      <c r="D2457" s="88" t="s">
        <v>2201</v>
      </c>
      <c r="E2457" s="5" t="str">
        <f>VLOOKUP(F2457,'Set up'!$A$2:$C$70,2,FALSE)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up'!$A$2:$C$70,3,FALSE)</f>
        <v>Cash</v>
      </c>
      <c r="J2457" s="5">
        <f>VLOOKUP(F2457,'Set up'!$A$2:$D$70,4,FALSE)</f>
        <v>0</v>
      </c>
      <c r="K2457" s="4">
        <f t="shared" si="633"/>
        <v>45279</v>
      </c>
      <c r="L2457" s="5">
        <f t="shared" si="634"/>
        <v>12</v>
      </c>
      <c r="M2457" s="5">
        <f t="shared" si="635"/>
        <v>2023</v>
      </c>
      <c r="N2457" s="96">
        <v>300</v>
      </c>
      <c r="O2457" s="6">
        <f t="shared" si="640"/>
        <v>-300</v>
      </c>
      <c r="P2457" s="6">
        <f t="shared" si="639"/>
        <v>0</v>
      </c>
      <c r="Q2457" s="7">
        <f t="shared" si="625"/>
        <v>4018078.1500000018</v>
      </c>
      <c r="R2457" s="44" t="str">
        <f>VLOOKUP(F2457,'Set up'!$A$2:$E$70,5,FALSE)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631"/>
        <v>12</v>
      </c>
      <c r="C2458" s="5">
        <f t="shared" si="632"/>
        <v>2023</v>
      </c>
      <c r="D2458" s="88" t="s">
        <v>2201</v>
      </c>
      <c r="E2458" s="5" t="str">
        <f>VLOOKUP(F2458,'Set up'!$A$2:$C$70,2,FALSE)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up'!$A$2:$C$70,3,FALSE)</f>
        <v>Cash</v>
      </c>
      <c r="J2458" s="5">
        <f>VLOOKUP(F2458,'Set up'!$A$2:$D$70,4,FALSE)</f>
        <v>0</v>
      </c>
      <c r="K2458" s="4">
        <f t="shared" si="633"/>
        <v>45279</v>
      </c>
      <c r="L2458" s="5">
        <f t="shared" si="634"/>
        <v>12</v>
      </c>
      <c r="M2458" s="5">
        <f t="shared" si="635"/>
        <v>2023</v>
      </c>
      <c r="N2458" s="96">
        <v>150</v>
      </c>
      <c r="O2458" s="6">
        <f t="shared" si="640"/>
        <v>-150</v>
      </c>
      <c r="P2458" s="6">
        <f t="shared" si="639"/>
        <v>0</v>
      </c>
      <c r="Q2458" s="7">
        <f t="shared" si="625"/>
        <v>4018228.1500000018</v>
      </c>
      <c r="R2458" s="44" t="str">
        <f>VLOOKUP(F2458,'Set up'!$A$2:$E$70,5,FALSE)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si="631"/>
        <v>12</v>
      </c>
      <c r="C2459" s="5">
        <f t="shared" si="632"/>
        <v>2023</v>
      </c>
      <c r="D2459" s="88" t="s">
        <v>2265</v>
      </c>
      <c r="E2459" s="5" t="str">
        <f>VLOOKUP(F2459,'Set up'!$A$2:$C$70,2,FALSE)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up'!$A$2:$C$70,3,FALSE)</f>
        <v>Cash</v>
      </c>
      <c r="J2459" s="5">
        <f>VLOOKUP(F2459,'Set up'!$A$2:$D$70,4,FALSE)</f>
        <v>0</v>
      </c>
      <c r="K2459" s="4">
        <f t="shared" si="633"/>
        <v>45279</v>
      </c>
      <c r="L2459" s="5">
        <f t="shared" si="634"/>
        <v>12</v>
      </c>
      <c r="M2459" s="5">
        <f t="shared" si="635"/>
        <v>2023</v>
      </c>
      <c r="N2459" s="96">
        <v>-866</v>
      </c>
      <c r="O2459" s="6">
        <f t="shared" si="640"/>
        <v>866</v>
      </c>
      <c r="P2459" s="6">
        <f t="shared" si="639"/>
        <v>0</v>
      </c>
      <c r="Q2459" s="7">
        <f t="shared" si="625"/>
        <v>4017362.1500000018</v>
      </c>
      <c r="R2459" s="44" t="str">
        <f>VLOOKUP(F2459,'Set up'!$A$2:$E$70,5,FALSE)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631"/>
        <v>12</v>
      </c>
      <c r="C2460" s="5">
        <f t="shared" si="632"/>
        <v>2023</v>
      </c>
      <c r="D2460" s="88" t="s">
        <v>2202</v>
      </c>
      <c r="E2460" s="5" t="str">
        <f>VLOOKUP(F2460,'Set up'!$A$2:$C$70,2,FALSE)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up'!$A$2:$C$70,3,FALSE)</f>
        <v>30</v>
      </c>
      <c r="J2460" s="5">
        <f>VLOOKUP(F2460,'Set up'!$A$2:$D$70,4,FALSE)</f>
        <v>30</v>
      </c>
      <c r="K2460" s="4">
        <f t="shared" si="633"/>
        <v>45310</v>
      </c>
      <c r="L2460" s="5">
        <f t="shared" si="634"/>
        <v>1</v>
      </c>
      <c r="M2460" s="5">
        <f t="shared" si="635"/>
        <v>2024</v>
      </c>
      <c r="N2460" s="96">
        <v>6952</v>
      </c>
      <c r="O2460" s="6">
        <f t="shared" si="640"/>
        <v>-6952</v>
      </c>
      <c r="P2460" s="6">
        <f t="shared" si="639"/>
        <v>0</v>
      </c>
      <c r="Q2460" s="7">
        <f t="shared" si="625"/>
        <v>4024314.1500000018</v>
      </c>
      <c r="R2460" s="44" t="str">
        <f>VLOOKUP(F2460,'Set up'!$A$2:$E$70,5,FALSE)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631"/>
        <v>12</v>
      </c>
      <c r="C2461" s="5">
        <f t="shared" si="632"/>
        <v>2023</v>
      </c>
      <c r="D2461" s="88" t="s">
        <v>2202</v>
      </c>
      <c r="E2461" s="5" t="str">
        <f>VLOOKUP(F2461,'Set up'!$A$2:$C$70,2,FALSE)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up'!$A$2:$C$70,3,FALSE)</f>
        <v>30</v>
      </c>
      <c r="J2461" s="5">
        <f>VLOOKUP(F2461,'Set up'!$A$2:$D$70,4,FALSE)</f>
        <v>30</v>
      </c>
      <c r="K2461" s="4">
        <f t="shared" si="633"/>
        <v>45310</v>
      </c>
      <c r="L2461" s="5">
        <f t="shared" si="634"/>
        <v>1</v>
      </c>
      <c r="M2461" s="5">
        <f t="shared" si="635"/>
        <v>2024</v>
      </c>
      <c r="N2461" s="96">
        <v>2613</v>
      </c>
      <c r="O2461" s="6">
        <f t="shared" si="640"/>
        <v>-2613</v>
      </c>
      <c r="P2461" s="6">
        <f t="shared" si="639"/>
        <v>0</v>
      </c>
      <c r="Q2461" s="7">
        <f t="shared" si="625"/>
        <v>4026927.1500000018</v>
      </c>
      <c r="R2461" s="44" t="str">
        <f>VLOOKUP(F2461,'Set up'!$A$2:$E$70,5,FALSE)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631"/>
        <v>12</v>
      </c>
      <c r="C2462" s="5">
        <f t="shared" si="632"/>
        <v>2023</v>
      </c>
      <c r="D2462" s="88" t="s">
        <v>2202</v>
      </c>
      <c r="E2462" s="5" t="str">
        <f>VLOOKUP(F2462,'Set up'!$A$2:$C$70,2,FALSE)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up'!$A$2:$C$70,3,FALSE)</f>
        <v>30</v>
      </c>
      <c r="J2462" s="5">
        <f>VLOOKUP(F2462,'Set up'!$A$2:$D$70,4,FALSE)</f>
        <v>30</v>
      </c>
      <c r="K2462" s="4">
        <f t="shared" si="633"/>
        <v>45310</v>
      </c>
      <c r="L2462" s="5">
        <f t="shared" si="634"/>
        <v>1</v>
      </c>
      <c r="M2462" s="5">
        <f t="shared" si="635"/>
        <v>2024</v>
      </c>
      <c r="N2462" s="96">
        <v>240</v>
      </c>
      <c r="O2462" s="6">
        <f t="shared" si="640"/>
        <v>-240</v>
      </c>
      <c r="P2462" s="6">
        <f t="shared" si="639"/>
        <v>0</v>
      </c>
      <c r="Q2462" s="7">
        <f t="shared" si="625"/>
        <v>4027167.1500000018</v>
      </c>
      <c r="R2462" s="44" t="str">
        <f>VLOOKUP(F2462,'Set up'!$A$2:$E$70,5,FALSE)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631"/>
        <v>12</v>
      </c>
      <c r="C2463" s="5">
        <f t="shared" si="632"/>
        <v>2023</v>
      </c>
      <c r="D2463" s="88" t="s">
        <v>2202</v>
      </c>
      <c r="E2463" s="5" t="str">
        <f>VLOOKUP(F2463,'Set up'!$A$2:$C$70,2,FALSE)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up'!$A$2:$C$70,3,FALSE)</f>
        <v>30</v>
      </c>
      <c r="J2463" s="5">
        <f>VLOOKUP(F2463,'Set up'!$A$2:$D$70,4,FALSE)</f>
        <v>30</v>
      </c>
      <c r="K2463" s="4">
        <f t="shared" si="633"/>
        <v>45310</v>
      </c>
      <c r="L2463" s="5">
        <f t="shared" si="634"/>
        <v>1</v>
      </c>
      <c r="M2463" s="5">
        <f t="shared" si="635"/>
        <v>2024</v>
      </c>
      <c r="N2463" s="96">
        <v>312.5</v>
      </c>
      <c r="O2463" s="6">
        <f t="shared" si="640"/>
        <v>-312.5</v>
      </c>
      <c r="P2463" s="6">
        <f t="shared" si="639"/>
        <v>0</v>
      </c>
      <c r="Q2463" s="7">
        <f t="shared" si="625"/>
        <v>4027479.6500000018</v>
      </c>
      <c r="R2463" s="44" t="str">
        <f>VLOOKUP(F2463,'Set up'!$A$2:$E$70,5,FALSE)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631"/>
        <v>12</v>
      </c>
      <c r="C2464" s="5">
        <f t="shared" si="632"/>
        <v>2023</v>
      </c>
      <c r="D2464" s="88" t="s">
        <v>2202</v>
      </c>
      <c r="E2464" s="5" t="str">
        <f>VLOOKUP(F2464,'Set up'!$A$2:$C$70,2,FALSE)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up'!$A$2:$C$70,3,FALSE)</f>
        <v>30</v>
      </c>
      <c r="J2464" s="5">
        <f>VLOOKUP(F2464,'Set up'!$A$2:$D$70,4,FALSE)</f>
        <v>30</v>
      </c>
      <c r="K2464" s="4">
        <f t="shared" si="633"/>
        <v>45310</v>
      </c>
      <c r="L2464" s="5">
        <f t="shared" si="634"/>
        <v>1</v>
      </c>
      <c r="M2464" s="5">
        <f t="shared" si="635"/>
        <v>2024</v>
      </c>
      <c r="N2464" s="96">
        <v>572</v>
      </c>
      <c r="O2464" s="6">
        <f t="shared" si="640"/>
        <v>-572</v>
      </c>
      <c r="P2464" s="6">
        <f t="shared" si="639"/>
        <v>0</v>
      </c>
      <c r="Q2464" s="7">
        <f t="shared" ref="Q2464:Q2527" si="641">SUM(Q2463+N2464)</f>
        <v>4028051.6500000018</v>
      </c>
      <c r="R2464" s="44" t="str">
        <f>VLOOKUP(F2464,'Set up'!$A$2:$E$70,5,FALSE)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631"/>
        <v>12</v>
      </c>
      <c r="C2465" s="5">
        <f t="shared" si="632"/>
        <v>2023</v>
      </c>
      <c r="D2465" s="88" t="s">
        <v>2202</v>
      </c>
      <c r="E2465" s="5" t="str">
        <f>VLOOKUP(F2465,'Set up'!$A$2:$C$70,2,FALSE)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up'!$A$2:$C$70,3,FALSE)</f>
        <v>30</v>
      </c>
      <c r="J2465" s="5">
        <f>VLOOKUP(F2465,'Set up'!$A$2:$D$70,4,FALSE)</f>
        <v>30</v>
      </c>
      <c r="K2465" s="4">
        <f t="shared" si="633"/>
        <v>45310</v>
      </c>
      <c r="L2465" s="5">
        <f t="shared" si="634"/>
        <v>1</v>
      </c>
      <c r="M2465" s="5">
        <f t="shared" si="635"/>
        <v>2024</v>
      </c>
      <c r="N2465" s="96">
        <v>285</v>
      </c>
      <c r="O2465" s="6">
        <f t="shared" si="640"/>
        <v>-285</v>
      </c>
      <c r="P2465" s="6">
        <f t="shared" si="639"/>
        <v>0</v>
      </c>
      <c r="Q2465" s="7">
        <f t="shared" si="641"/>
        <v>4028336.6500000018</v>
      </c>
      <c r="R2465" s="44" t="str">
        <f>VLOOKUP(F2465,'Set up'!$A$2:$E$70,5,FALSE)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631"/>
        <v>12</v>
      </c>
      <c r="C2466" s="5">
        <f t="shared" si="632"/>
        <v>2023</v>
      </c>
      <c r="D2466" s="88" t="s">
        <v>2202</v>
      </c>
      <c r="E2466" s="5" t="str">
        <f>VLOOKUP(F2466,'Set up'!$A$2:$C$70,2,FALSE)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up'!$A$2:$C$70,3,FALSE)</f>
        <v>30</v>
      </c>
      <c r="J2466" s="5">
        <f>VLOOKUP(F2466,'Set up'!$A$2:$D$70,4,FALSE)</f>
        <v>30</v>
      </c>
      <c r="K2466" s="4">
        <f t="shared" si="633"/>
        <v>45310</v>
      </c>
      <c r="L2466" s="5">
        <f t="shared" si="634"/>
        <v>1</v>
      </c>
      <c r="M2466" s="5">
        <f t="shared" si="635"/>
        <v>2024</v>
      </c>
      <c r="N2466" s="96">
        <v>930</v>
      </c>
      <c r="O2466" s="6">
        <f t="shared" si="640"/>
        <v>-930</v>
      </c>
      <c r="P2466" s="6">
        <f t="shared" si="639"/>
        <v>0</v>
      </c>
      <c r="Q2466" s="7">
        <f t="shared" si="641"/>
        <v>4029266.6500000018</v>
      </c>
      <c r="R2466" s="44" t="str">
        <f>VLOOKUP(F2466,'Set up'!$A$2:$E$70,5,FALSE)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631"/>
        <v>12</v>
      </c>
      <c r="C2467" s="5">
        <f t="shared" si="632"/>
        <v>2023</v>
      </c>
      <c r="D2467" s="88" t="s">
        <v>2203</v>
      </c>
      <c r="E2467" s="5" t="str">
        <f>VLOOKUP(F2467,'Set up'!$A$2:$C$70,2,FALSE)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up'!$A$2:$C$70,3,FALSE)</f>
        <v>Cash</v>
      </c>
      <c r="J2467" s="5">
        <f>VLOOKUP(F2467,'Set up'!$A$2:$D$70,4,FALSE)</f>
        <v>0</v>
      </c>
      <c r="K2467" s="4">
        <f t="shared" si="633"/>
        <v>45281</v>
      </c>
      <c r="L2467" s="5">
        <f t="shared" si="634"/>
        <v>12</v>
      </c>
      <c r="M2467" s="5">
        <f t="shared" si="635"/>
        <v>2023</v>
      </c>
      <c r="N2467" s="96">
        <v>250</v>
      </c>
      <c r="O2467" s="6">
        <f t="shared" ref="O2467:O2472" si="642">-N2467</f>
        <v>-250</v>
      </c>
      <c r="P2467" s="6">
        <f t="shared" si="639"/>
        <v>0</v>
      </c>
      <c r="Q2467" s="7">
        <f t="shared" si="641"/>
        <v>4029516.6500000018</v>
      </c>
      <c r="R2467" s="44" t="str">
        <f>VLOOKUP(F2467,'Set up'!$A$2:$E$70,5,FALSE)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631"/>
        <v>12</v>
      </c>
      <c r="C2468" s="5">
        <f t="shared" si="632"/>
        <v>2023</v>
      </c>
      <c r="D2468" s="88" t="s">
        <v>2204</v>
      </c>
      <c r="E2468" s="5" t="str">
        <f>VLOOKUP(F2468,'Set up'!$A$2:$C$70,2,FALSE)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up'!$A$2:$C$70,3,FALSE)</f>
        <v>Cash</v>
      </c>
      <c r="J2468" s="5">
        <f>VLOOKUP(F2468,'Set up'!$A$2:$D$70,4,FALSE)</f>
        <v>0</v>
      </c>
      <c r="K2468" s="4">
        <f t="shared" si="633"/>
        <v>45281</v>
      </c>
      <c r="L2468" s="5">
        <f t="shared" si="634"/>
        <v>12</v>
      </c>
      <c r="M2468" s="5">
        <f t="shared" si="635"/>
        <v>2023</v>
      </c>
      <c r="N2468" s="96">
        <v>6424</v>
      </c>
      <c r="O2468" s="6">
        <f t="shared" si="642"/>
        <v>-6424</v>
      </c>
      <c r="P2468" s="6">
        <f t="shared" si="639"/>
        <v>0</v>
      </c>
      <c r="Q2468" s="7">
        <f t="shared" si="641"/>
        <v>4035940.6500000018</v>
      </c>
      <c r="R2468" s="44" t="str">
        <f>VLOOKUP(F2468,'Set up'!$A$2:$E$70,5,FALSE)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631"/>
        <v>12</v>
      </c>
      <c r="C2469" s="5">
        <f t="shared" si="632"/>
        <v>2023</v>
      </c>
      <c r="D2469" s="88" t="s">
        <v>2204</v>
      </c>
      <c r="E2469" s="5" t="str">
        <f>VLOOKUP(F2469,'Set up'!$A$2:$C$70,2,FALSE)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up'!$A$2:$C$70,3,FALSE)</f>
        <v>Cash</v>
      </c>
      <c r="J2469" s="5">
        <f>VLOOKUP(F2469,'Set up'!$A$2:$D$70,4,FALSE)</f>
        <v>0</v>
      </c>
      <c r="K2469" s="4">
        <f t="shared" si="633"/>
        <v>45281</v>
      </c>
      <c r="L2469" s="5">
        <f t="shared" si="634"/>
        <v>12</v>
      </c>
      <c r="M2469" s="5">
        <f t="shared" si="635"/>
        <v>2023</v>
      </c>
      <c r="N2469" s="96">
        <v>2575.1999999999998</v>
      </c>
      <c r="O2469" s="6">
        <f t="shared" si="642"/>
        <v>-2575.1999999999998</v>
      </c>
      <c r="P2469" s="6">
        <f t="shared" si="639"/>
        <v>0</v>
      </c>
      <c r="Q2469" s="7">
        <f t="shared" si="641"/>
        <v>4038515.850000002</v>
      </c>
      <c r="R2469" s="44" t="str">
        <f>VLOOKUP(F2469,'Set up'!$A$2:$E$70,5,FALSE)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631"/>
        <v>12</v>
      </c>
      <c r="C2470" s="5">
        <f t="shared" si="632"/>
        <v>2023</v>
      </c>
      <c r="D2470" s="88" t="s">
        <v>2204</v>
      </c>
      <c r="E2470" s="5" t="str">
        <f>VLOOKUP(F2470,'Set up'!$A$2:$C$70,2,FALSE)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up'!$A$2:$C$70,3,FALSE)</f>
        <v>Cash</v>
      </c>
      <c r="J2470" s="5">
        <f>VLOOKUP(F2470,'Set up'!$A$2:$D$70,4,FALSE)</f>
        <v>0</v>
      </c>
      <c r="K2470" s="4">
        <f t="shared" si="633"/>
        <v>45281</v>
      </c>
      <c r="L2470" s="5">
        <f t="shared" si="634"/>
        <v>12</v>
      </c>
      <c r="M2470" s="5">
        <f t="shared" si="635"/>
        <v>2023</v>
      </c>
      <c r="N2470" s="96">
        <v>1404</v>
      </c>
      <c r="O2470" s="6">
        <f t="shared" si="642"/>
        <v>-1404</v>
      </c>
      <c r="P2470" s="6">
        <f t="shared" si="639"/>
        <v>0</v>
      </c>
      <c r="Q2470" s="7">
        <f t="shared" si="641"/>
        <v>4039919.850000002</v>
      </c>
      <c r="R2470" s="44" t="str">
        <f>VLOOKUP(F2470,'Set up'!$A$2:$E$70,5,FALSE)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631"/>
        <v>12</v>
      </c>
      <c r="C2471" s="5">
        <f t="shared" si="632"/>
        <v>2023</v>
      </c>
      <c r="D2471" s="88" t="s">
        <v>2204</v>
      </c>
      <c r="E2471" s="5" t="str">
        <f>VLOOKUP(F2471,'Set up'!$A$2:$C$70,2,FALSE)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up'!$A$2:$C$70,3,FALSE)</f>
        <v>Cash</v>
      </c>
      <c r="J2471" s="5">
        <f>VLOOKUP(F2471,'Set up'!$A$2:$D$70,4,FALSE)</f>
        <v>0</v>
      </c>
      <c r="K2471" s="4">
        <f t="shared" si="633"/>
        <v>45281</v>
      </c>
      <c r="L2471" s="5">
        <f t="shared" si="634"/>
        <v>12</v>
      </c>
      <c r="M2471" s="5">
        <f t="shared" si="635"/>
        <v>2023</v>
      </c>
      <c r="N2471" s="96">
        <v>380</v>
      </c>
      <c r="O2471" s="6">
        <f t="shared" si="642"/>
        <v>-380</v>
      </c>
      <c r="P2471" s="6">
        <f t="shared" si="639"/>
        <v>0</v>
      </c>
      <c r="Q2471" s="7">
        <f t="shared" si="641"/>
        <v>4040299.850000002</v>
      </c>
      <c r="R2471" s="44" t="str">
        <f>VLOOKUP(F2471,'Set up'!$A$2:$E$70,5,FALSE)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631"/>
        <v>12</v>
      </c>
      <c r="C2472" s="5">
        <f t="shared" si="632"/>
        <v>2023</v>
      </c>
      <c r="D2472" s="88" t="s">
        <v>2204</v>
      </c>
      <c r="E2472" s="5" t="str">
        <f>VLOOKUP(F2472,'Set up'!$A$2:$C$70,2,FALSE)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up'!$A$2:$C$70,3,FALSE)</f>
        <v>Cash</v>
      </c>
      <c r="J2472" s="5">
        <f>VLOOKUP(F2472,'Set up'!$A$2:$D$70,4,FALSE)</f>
        <v>0</v>
      </c>
      <c r="K2472" s="4">
        <f t="shared" si="633"/>
        <v>45281</v>
      </c>
      <c r="L2472" s="5">
        <f t="shared" si="634"/>
        <v>12</v>
      </c>
      <c r="M2472" s="5">
        <f t="shared" si="635"/>
        <v>2023</v>
      </c>
      <c r="N2472" s="96">
        <v>1000</v>
      </c>
      <c r="O2472" s="6">
        <f t="shared" si="642"/>
        <v>-1000</v>
      </c>
      <c r="P2472" s="6">
        <f t="shared" si="639"/>
        <v>0</v>
      </c>
      <c r="Q2472" s="7">
        <f t="shared" si="641"/>
        <v>4041299.850000002</v>
      </c>
      <c r="R2472" s="44" t="str">
        <f>VLOOKUP(F2472,'Set up'!$A$2:$E$70,5,FALSE)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631"/>
        <v>12</v>
      </c>
      <c r="C2473" s="5">
        <f t="shared" si="632"/>
        <v>2023</v>
      </c>
      <c r="D2473" s="88" t="s">
        <v>2205</v>
      </c>
      <c r="E2473" s="5" t="str">
        <f>VLOOKUP(F2473,'Set up'!$A$2:$C$70,2,FALSE)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up'!$A$2:$C$70,3,FALSE)</f>
        <v>Cash</v>
      </c>
      <c r="J2473" s="5">
        <f>VLOOKUP(F2473,'Set up'!$A$2:$D$70,4,FALSE)</f>
        <v>0</v>
      </c>
      <c r="K2473" s="4">
        <f t="shared" si="633"/>
        <v>45281</v>
      </c>
      <c r="L2473" s="5">
        <f t="shared" si="634"/>
        <v>12</v>
      </c>
      <c r="M2473" s="5">
        <f t="shared" si="635"/>
        <v>2023</v>
      </c>
      <c r="N2473" s="96">
        <v>110</v>
      </c>
      <c r="O2473" s="6">
        <f t="shared" ref="O2473:O2480" si="643">-N2473</f>
        <v>-110</v>
      </c>
      <c r="P2473" s="6">
        <f t="shared" si="639"/>
        <v>0</v>
      </c>
      <c r="Q2473" s="7">
        <f t="shared" si="641"/>
        <v>4041409.850000002</v>
      </c>
      <c r="R2473" s="44" t="str">
        <f>VLOOKUP(F2473,'Set up'!$A$2:$E$70,5,FALSE)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631"/>
        <v>12</v>
      </c>
      <c r="C2474" s="5">
        <f t="shared" si="632"/>
        <v>2023</v>
      </c>
      <c r="D2474" s="88" t="s">
        <v>2205</v>
      </c>
      <c r="E2474" s="5" t="str">
        <f>VLOOKUP(F2474,'Set up'!$A$2:$C$70,2,FALSE)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up'!$A$2:$C$70,3,FALSE)</f>
        <v>Cash</v>
      </c>
      <c r="J2474" s="5">
        <f>VLOOKUP(F2474,'Set up'!$A$2:$D$70,4,FALSE)</f>
        <v>0</v>
      </c>
      <c r="K2474" s="4">
        <f t="shared" si="633"/>
        <v>45281</v>
      </c>
      <c r="L2474" s="5">
        <f t="shared" si="634"/>
        <v>12</v>
      </c>
      <c r="M2474" s="5">
        <f t="shared" si="635"/>
        <v>2023</v>
      </c>
      <c r="N2474" s="96">
        <v>62.5</v>
      </c>
      <c r="O2474" s="6">
        <f t="shared" si="643"/>
        <v>-62.5</v>
      </c>
      <c r="P2474" s="6">
        <f t="shared" si="639"/>
        <v>0</v>
      </c>
      <c r="Q2474" s="7">
        <f t="shared" si="641"/>
        <v>4041472.350000002</v>
      </c>
      <c r="R2474" s="44" t="str">
        <f>VLOOKUP(F2474,'Set up'!$A$2:$E$70,5,FALSE)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631"/>
        <v>12</v>
      </c>
      <c r="C2475" s="5">
        <f t="shared" si="632"/>
        <v>2023</v>
      </c>
      <c r="D2475" s="88" t="s">
        <v>2205</v>
      </c>
      <c r="E2475" s="5" t="str">
        <f>VLOOKUP(F2475,'Set up'!$A$2:$C$70,2,FALSE)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up'!$A$2:$C$70,3,FALSE)</f>
        <v>Cash</v>
      </c>
      <c r="J2475" s="5">
        <f>VLOOKUP(F2475,'Set up'!$A$2:$D$70,4,FALSE)</f>
        <v>0</v>
      </c>
      <c r="K2475" s="4">
        <f t="shared" si="633"/>
        <v>45281</v>
      </c>
      <c r="L2475" s="5">
        <f t="shared" si="634"/>
        <v>12</v>
      </c>
      <c r="M2475" s="5">
        <f t="shared" si="635"/>
        <v>2023</v>
      </c>
      <c r="N2475" s="96">
        <v>283.8</v>
      </c>
      <c r="O2475" s="6">
        <f t="shared" si="643"/>
        <v>-283.8</v>
      </c>
      <c r="P2475" s="6">
        <f t="shared" si="639"/>
        <v>0</v>
      </c>
      <c r="Q2475" s="7">
        <f t="shared" si="641"/>
        <v>4041756.1500000018</v>
      </c>
      <c r="R2475" s="44" t="str">
        <f>VLOOKUP(F2475,'Set up'!$A$2:$E$70,5,FALSE)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631"/>
        <v>12</v>
      </c>
      <c r="C2476" s="5">
        <f t="shared" si="632"/>
        <v>2023</v>
      </c>
      <c r="D2476" s="88" t="s">
        <v>2205</v>
      </c>
      <c r="E2476" s="5" t="str">
        <f>VLOOKUP(F2476,'Set up'!$A$2:$C$70,2,FALSE)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up'!$A$2:$C$70,3,FALSE)</f>
        <v>Cash</v>
      </c>
      <c r="J2476" s="5">
        <f>VLOOKUP(F2476,'Set up'!$A$2:$D$70,4,FALSE)</f>
        <v>0</v>
      </c>
      <c r="K2476" s="4">
        <f t="shared" si="633"/>
        <v>45281</v>
      </c>
      <c r="L2476" s="5">
        <f t="shared" si="634"/>
        <v>12</v>
      </c>
      <c r="M2476" s="5">
        <f t="shared" si="635"/>
        <v>2023</v>
      </c>
      <c r="N2476" s="96">
        <v>315</v>
      </c>
      <c r="O2476" s="6">
        <f t="shared" si="643"/>
        <v>-315</v>
      </c>
      <c r="P2476" s="6">
        <f t="shared" si="639"/>
        <v>0</v>
      </c>
      <c r="Q2476" s="7">
        <f t="shared" si="641"/>
        <v>4042071.1500000018</v>
      </c>
      <c r="R2476" s="44" t="str">
        <f>VLOOKUP(F2476,'Set up'!$A$2:$E$70,5,FALSE)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631"/>
        <v>12</v>
      </c>
      <c r="C2477" s="5">
        <f t="shared" si="632"/>
        <v>2023</v>
      </c>
      <c r="D2477" s="88" t="s">
        <v>2206</v>
      </c>
      <c r="E2477" s="5" t="str">
        <f>VLOOKUP(F2477,'Set up'!$A$2:$C$70,2,FALSE)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up'!$A$2:$C$70,3,FALSE)</f>
        <v>Cash</v>
      </c>
      <c r="J2477" s="5">
        <f>VLOOKUP(F2477,'Set up'!$A$2:$D$70,4,FALSE)</f>
        <v>0</v>
      </c>
      <c r="K2477" s="4">
        <f t="shared" si="633"/>
        <v>45281</v>
      </c>
      <c r="L2477" s="5">
        <f t="shared" si="634"/>
        <v>12</v>
      </c>
      <c r="M2477" s="5">
        <f t="shared" si="635"/>
        <v>2023</v>
      </c>
      <c r="N2477" s="96">
        <v>3476</v>
      </c>
      <c r="O2477" s="6">
        <f t="shared" si="643"/>
        <v>-3476</v>
      </c>
      <c r="P2477" s="6">
        <f t="shared" si="639"/>
        <v>0</v>
      </c>
      <c r="Q2477" s="7">
        <f t="shared" si="641"/>
        <v>4045547.1500000018</v>
      </c>
      <c r="R2477" s="44" t="str">
        <f>VLOOKUP(F2477,'Set up'!$A$2:$E$70,5,FALSE)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631"/>
        <v>12</v>
      </c>
      <c r="C2478" s="5">
        <f t="shared" si="632"/>
        <v>2023</v>
      </c>
      <c r="D2478" s="88" t="s">
        <v>2206</v>
      </c>
      <c r="E2478" s="5" t="str">
        <f>VLOOKUP(F2478,'Set up'!$A$2:$C$70,2,FALSE)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up'!$A$2:$C$70,3,FALSE)</f>
        <v>Cash</v>
      </c>
      <c r="J2478" s="5">
        <f>VLOOKUP(F2478,'Set up'!$A$2:$D$70,4,FALSE)</f>
        <v>0</v>
      </c>
      <c r="K2478" s="4">
        <f t="shared" si="633"/>
        <v>45281</v>
      </c>
      <c r="L2478" s="5">
        <f t="shared" si="634"/>
        <v>12</v>
      </c>
      <c r="M2478" s="5">
        <f t="shared" si="635"/>
        <v>2023</v>
      </c>
      <c r="N2478" s="96">
        <v>432</v>
      </c>
      <c r="O2478" s="6">
        <f t="shared" si="643"/>
        <v>-432</v>
      </c>
      <c r="P2478" s="6">
        <f t="shared" si="639"/>
        <v>0</v>
      </c>
      <c r="Q2478" s="7">
        <f t="shared" si="641"/>
        <v>4045979.1500000018</v>
      </c>
      <c r="R2478" s="44" t="str">
        <f>VLOOKUP(F2478,'Set up'!$A$2:$E$70,5,FALSE)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631"/>
        <v>12</v>
      </c>
      <c r="C2479" s="5">
        <f t="shared" si="632"/>
        <v>2023</v>
      </c>
      <c r="D2479" s="88" t="s">
        <v>2206</v>
      </c>
      <c r="E2479" s="5" t="str">
        <f>VLOOKUP(F2479,'Set up'!$A$2:$C$70,2,FALSE)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up'!$A$2:$C$70,3,FALSE)</f>
        <v>Cash</v>
      </c>
      <c r="J2479" s="5">
        <f>VLOOKUP(F2479,'Set up'!$A$2:$D$70,4,FALSE)</f>
        <v>0</v>
      </c>
      <c r="K2479" s="4">
        <f t="shared" si="633"/>
        <v>45281</v>
      </c>
      <c r="L2479" s="5">
        <f t="shared" si="634"/>
        <v>12</v>
      </c>
      <c r="M2479" s="5">
        <f t="shared" si="635"/>
        <v>2023</v>
      </c>
      <c r="N2479" s="96">
        <v>600</v>
      </c>
      <c r="O2479" s="6">
        <f t="shared" si="643"/>
        <v>-600</v>
      </c>
      <c r="P2479" s="6">
        <f t="shared" si="639"/>
        <v>0</v>
      </c>
      <c r="Q2479" s="7">
        <f t="shared" si="641"/>
        <v>4046579.1500000018</v>
      </c>
      <c r="R2479" s="44" t="str">
        <f>VLOOKUP(F2479,'Set up'!$A$2:$E$70,5,FALSE)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631"/>
        <v>12</v>
      </c>
      <c r="C2480" s="5">
        <f t="shared" si="632"/>
        <v>2023</v>
      </c>
      <c r="D2480" s="88" t="s">
        <v>2206</v>
      </c>
      <c r="E2480" s="5" t="str">
        <f>VLOOKUP(F2480,'Set up'!$A$2:$C$70,2,FALSE)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up'!$A$2:$C$70,3,FALSE)</f>
        <v>Cash</v>
      </c>
      <c r="J2480" s="5">
        <f>VLOOKUP(F2480,'Set up'!$A$2:$D$70,4,FALSE)</f>
        <v>0</v>
      </c>
      <c r="K2480" s="4">
        <f t="shared" si="633"/>
        <v>45281</v>
      </c>
      <c r="L2480" s="5">
        <f t="shared" si="634"/>
        <v>12</v>
      </c>
      <c r="M2480" s="5">
        <f t="shared" si="635"/>
        <v>2023</v>
      </c>
      <c r="N2480" s="96">
        <v>220</v>
      </c>
      <c r="O2480" s="6">
        <f t="shared" si="643"/>
        <v>-220</v>
      </c>
      <c r="P2480" s="6">
        <f t="shared" si="639"/>
        <v>0</v>
      </c>
      <c r="Q2480" s="7">
        <f t="shared" si="641"/>
        <v>4046799.1500000018</v>
      </c>
      <c r="R2480" s="44" t="str">
        <f>VLOOKUP(F2480,'Set up'!$A$2:$E$70,5,FALSE)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631"/>
        <v>12</v>
      </c>
      <c r="C2481" s="5">
        <f t="shared" si="632"/>
        <v>2023</v>
      </c>
      <c r="D2481" s="88" t="s">
        <v>2207</v>
      </c>
      <c r="E2481" s="5" t="str">
        <f>VLOOKUP(F2481,'Set up'!$A$2:$C$70,2,FALSE)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up'!$A$2:$C$70,3,FALSE)</f>
        <v>Cash</v>
      </c>
      <c r="J2481" s="5">
        <f>VLOOKUP(F2481,'Set up'!$A$2:$D$70,4,FALSE)</f>
        <v>0</v>
      </c>
      <c r="K2481" s="4">
        <f t="shared" si="633"/>
        <v>45282</v>
      </c>
      <c r="L2481" s="5">
        <f t="shared" si="634"/>
        <v>12</v>
      </c>
      <c r="M2481" s="5">
        <f t="shared" si="635"/>
        <v>2023</v>
      </c>
      <c r="N2481" s="96">
        <v>175</v>
      </c>
      <c r="O2481" s="6">
        <f t="shared" ref="O2481:O2484" si="644">-N2481</f>
        <v>-175</v>
      </c>
      <c r="P2481" s="6">
        <f t="shared" si="639"/>
        <v>0</v>
      </c>
      <c r="Q2481" s="7">
        <f t="shared" si="641"/>
        <v>4046974.1500000018</v>
      </c>
      <c r="R2481" s="44" t="str">
        <f>VLOOKUP(F2481,'Set up'!$A$2:$E$70,5,FALSE)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631"/>
        <v>12</v>
      </c>
      <c r="C2482" s="5">
        <f t="shared" si="632"/>
        <v>2023</v>
      </c>
      <c r="D2482" s="88" t="s">
        <v>2208</v>
      </c>
      <c r="E2482" s="5" t="str">
        <f>VLOOKUP(F2482,'Set up'!$A$2:$C$70,2,FALSE)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up'!$A$2:$C$70,3,FALSE)</f>
        <v>Cash</v>
      </c>
      <c r="J2482" s="5">
        <f>VLOOKUP(F2482,'Set up'!$A$2:$D$70,4,FALSE)</f>
        <v>0</v>
      </c>
      <c r="K2482" s="4">
        <f t="shared" si="633"/>
        <v>45282</v>
      </c>
      <c r="L2482" s="5">
        <f t="shared" si="634"/>
        <v>12</v>
      </c>
      <c r="M2482" s="5">
        <f t="shared" si="635"/>
        <v>2023</v>
      </c>
      <c r="N2482" s="96">
        <v>1738</v>
      </c>
      <c r="O2482" s="6">
        <f t="shared" si="644"/>
        <v>-1738</v>
      </c>
      <c r="P2482" s="6">
        <f t="shared" si="639"/>
        <v>0</v>
      </c>
      <c r="Q2482" s="7">
        <f t="shared" si="641"/>
        <v>4048712.1500000018</v>
      </c>
      <c r="R2482" s="44" t="str">
        <f>VLOOKUP(F2482,'Set up'!$A$2:$E$70,5,FALSE)</f>
        <v>PD Chq</v>
      </c>
      <c r="S2482" s="1" t="s">
        <v>4066</v>
      </c>
    </row>
    <row r="2483" spans="1:19" ht="15" customHeight="1" x14ac:dyDescent="0.35">
      <c r="A2483" s="4">
        <v>45282</v>
      </c>
      <c r="B2483" s="5">
        <f t="shared" si="631"/>
        <v>12</v>
      </c>
      <c r="C2483" s="5">
        <f t="shared" si="632"/>
        <v>2023</v>
      </c>
      <c r="D2483" s="88" t="s">
        <v>2208</v>
      </c>
      <c r="E2483" s="5" t="str">
        <f>VLOOKUP(F2483,'Set up'!$A$2:$C$70,2,FALSE)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up'!$A$2:$C$70,3,FALSE)</f>
        <v>Cash</v>
      </c>
      <c r="J2483" s="5">
        <f>VLOOKUP(F2483,'Set up'!$A$2:$D$70,4,FALSE)</f>
        <v>0</v>
      </c>
      <c r="K2483" s="4">
        <f t="shared" si="633"/>
        <v>45282</v>
      </c>
      <c r="L2483" s="5">
        <f t="shared" si="634"/>
        <v>12</v>
      </c>
      <c r="M2483" s="5">
        <f t="shared" si="635"/>
        <v>2023</v>
      </c>
      <c r="N2483" s="96">
        <v>95</v>
      </c>
      <c r="O2483" s="6">
        <f t="shared" si="644"/>
        <v>-95</v>
      </c>
      <c r="P2483" s="6">
        <f t="shared" si="639"/>
        <v>0</v>
      </c>
      <c r="Q2483" s="7">
        <f t="shared" si="641"/>
        <v>4048807.1500000018</v>
      </c>
      <c r="R2483" s="44" t="str">
        <f>VLOOKUP(F2483,'Set up'!$A$2:$E$70,5,FALSE)</f>
        <v>PD Chq</v>
      </c>
      <c r="S2483" s="1" t="s">
        <v>4066</v>
      </c>
    </row>
    <row r="2484" spans="1:19" ht="15" customHeight="1" x14ac:dyDescent="0.35">
      <c r="A2484" s="4">
        <v>45282</v>
      </c>
      <c r="B2484" s="5">
        <f t="shared" si="631"/>
        <v>12</v>
      </c>
      <c r="C2484" s="5">
        <f t="shared" si="632"/>
        <v>2023</v>
      </c>
      <c r="D2484" s="88" t="s">
        <v>2208</v>
      </c>
      <c r="E2484" s="5" t="str">
        <f>VLOOKUP(F2484,'Set up'!$A$2:$C$70,2,FALSE)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up'!$A$2:$C$70,3,FALSE)</f>
        <v>Cash</v>
      </c>
      <c r="J2484" s="5">
        <f>VLOOKUP(F2484,'Set up'!$A$2:$D$70,4,FALSE)</f>
        <v>0</v>
      </c>
      <c r="K2484" s="4">
        <f t="shared" si="633"/>
        <v>45282</v>
      </c>
      <c r="L2484" s="5">
        <f t="shared" si="634"/>
        <v>12</v>
      </c>
      <c r="M2484" s="5">
        <f t="shared" si="635"/>
        <v>2023</v>
      </c>
      <c r="N2484" s="96">
        <v>312.5</v>
      </c>
      <c r="O2484" s="6">
        <f t="shared" si="644"/>
        <v>-312.5</v>
      </c>
      <c r="P2484" s="6">
        <f t="shared" si="639"/>
        <v>0</v>
      </c>
      <c r="Q2484" s="7">
        <f t="shared" si="641"/>
        <v>4049119.6500000018</v>
      </c>
      <c r="R2484" s="44" t="str">
        <f>VLOOKUP(F2484,'Set up'!$A$2:$E$70,5,FALSE)</f>
        <v>PD Chq</v>
      </c>
      <c r="S2484" s="1" t="s">
        <v>4066</v>
      </c>
    </row>
    <row r="2485" spans="1:19" ht="15" customHeight="1" x14ac:dyDescent="0.35">
      <c r="A2485" s="4">
        <v>45287</v>
      </c>
      <c r="B2485" s="5">
        <f t="shared" si="631"/>
        <v>12</v>
      </c>
      <c r="C2485" s="5">
        <f t="shared" si="632"/>
        <v>2023</v>
      </c>
      <c r="D2485" s="88" t="s">
        <v>2209</v>
      </c>
      <c r="E2485" s="5" t="str">
        <f>VLOOKUP(F2485,'Set up'!$A$2:$C$70,2,FALSE)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up'!$A$2:$C$70,3,FALSE)</f>
        <v>Cash</v>
      </c>
      <c r="J2485" s="5">
        <f>VLOOKUP(F2485,'Set up'!$A$2:$D$70,4,FALSE)</f>
        <v>0</v>
      </c>
      <c r="K2485" s="4">
        <f t="shared" si="633"/>
        <v>45287</v>
      </c>
      <c r="L2485" s="5">
        <f t="shared" si="634"/>
        <v>12</v>
      </c>
      <c r="M2485" s="5">
        <f t="shared" si="635"/>
        <v>2023</v>
      </c>
      <c r="N2485" s="96">
        <v>312.5</v>
      </c>
      <c r="O2485" s="6">
        <f>-N2485</f>
        <v>-312.5</v>
      </c>
      <c r="P2485" s="6">
        <f t="shared" si="639"/>
        <v>0</v>
      </c>
      <c r="Q2485" s="7">
        <f t="shared" si="641"/>
        <v>4049432.1500000018</v>
      </c>
      <c r="R2485" s="44" t="str">
        <f>VLOOKUP(F2485,'Set up'!$A$2:$E$70,5,FALSE)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631"/>
        <v>12</v>
      </c>
      <c r="C2486" s="5">
        <f t="shared" si="632"/>
        <v>2023</v>
      </c>
      <c r="D2486" s="88" t="s">
        <v>2210</v>
      </c>
      <c r="E2486" s="5" t="str">
        <f>VLOOKUP(F2486,'Set up'!$A$2:$C$70,2,FALSE)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up'!$A$2:$C$70,3,FALSE)</f>
        <v>Cash</v>
      </c>
      <c r="J2486" s="5">
        <f>VLOOKUP(F2486,'Set up'!$A$2:$D$70,4,FALSE)</f>
        <v>0</v>
      </c>
      <c r="K2486" s="4">
        <f t="shared" si="633"/>
        <v>45287</v>
      </c>
      <c r="L2486" s="5">
        <f t="shared" si="634"/>
        <v>12</v>
      </c>
      <c r="M2486" s="5">
        <f t="shared" si="635"/>
        <v>2023</v>
      </c>
      <c r="N2486" s="96">
        <v>8030</v>
      </c>
      <c r="O2486" s="6">
        <f>-N2486</f>
        <v>-8030</v>
      </c>
      <c r="P2486" s="6">
        <f t="shared" si="639"/>
        <v>0</v>
      </c>
      <c r="Q2486" s="7">
        <f t="shared" si="641"/>
        <v>4057462.1500000018</v>
      </c>
      <c r="R2486" s="44" t="str">
        <f>VLOOKUP(F2486,'Set up'!$A$2:$E$70,5,FALSE)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631"/>
        <v>12</v>
      </c>
      <c r="C2487" s="5">
        <f t="shared" si="632"/>
        <v>2023</v>
      </c>
      <c r="D2487" s="88" t="s">
        <v>2210</v>
      </c>
      <c r="E2487" s="5" t="str">
        <f>VLOOKUP(F2487,'Set up'!$A$2:$C$70,2,FALSE)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up'!$A$2:$C$70,3,FALSE)</f>
        <v>Cash</v>
      </c>
      <c r="J2487" s="5">
        <f>VLOOKUP(F2487,'Set up'!$A$2:$D$70,4,FALSE)</f>
        <v>0</v>
      </c>
      <c r="K2487" s="4">
        <f t="shared" si="633"/>
        <v>45287</v>
      </c>
      <c r="L2487" s="5">
        <f t="shared" si="634"/>
        <v>12</v>
      </c>
      <c r="M2487" s="5">
        <f t="shared" si="635"/>
        <v>2023</v>
      </c>
      <c r="N2487" s="96">
        <v>1914</v>
      </c>
      <c r="O2487" s="6">
        <f>-1401-513</f>
        <v>-1914</v>
      </c>
      <c r="P2487" s="6">
        <f t="shared" si="639"/>
        <v>0</v>
      </c>
      <c r="Q2487" s="7">
        <f t="shared" si="641"/>
        <v>4059376.1500000018</v>
      </c>
      <c r="R2487" s="44" t="str">
        <f>VLOOKUP(F2487,'Set up'!$A$2:$E$70,5,FALSE)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631"/>
        <v>12</v>
      </c>
      <c r="C2488" s="5">
        <f t="shared" si="632"/>
        <v>2023</v>
      </c>
      <c r="D2488" s="88" t="s">
        <v>2210</v>
      </c>
      <c r="E2488" s="5" t="str">
        <f>VLOOKUP(F2488,'Set up'!$A$2:$C$70,2,FALSE)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up'!$A$2:$C$70,3,FALSE)</f>
        <v>Cash</v>
      </c>
      <c r="J2488" s="5">
        <f>VLOOKUP(F2488,'Set up'!$A$2:$D$70,4,FALSE)</f>
        <v>0</v>
      </c>
      <c r="K2488" s="4">
        <f t="shared" si="633"/>
        <v>45287</v>
      </c>
      <c r="L2488" s="5">
        <f t="shared" si="634"/>
        <v>12</v>
      </c>
      <c r="M2488" s="5">
        <f t="shared" si="635"/>
        <v>2023</v>
      </c>
      <c r="N2488" s="96">
        <v>1404</v>
      </c>
      <c r="O2488" s="6">
        <f>-N2488</f>
        <v>-1404</v>
      </c>
      <c r="P2488" s="6">
        <f t="shared" si="639"/>
        <v>0</v>
      </c>
      <c r="Q2488" s="7">
        <f t="shared" si="641"/>
        <v>4060780.1500000018</v>
      </c>
      <c r="R2488" s="44" t="str">
        <f>VLOOKUP(F2488,'Set up'!$A$2:$E$70,5,FALSE)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631"/>
        <v>12</v>
      </c>
      <c r="C2489" s="5">
        <f t="shared" si="632"/>
        <v>2023</v>
      </c>
      <c r="D2489" s="88" t="s">
        <v>2210</v>
      </c>
      <c r="E2489" s="5" t="str">
        <f>VLOOKUP(F2489,'Set up'!$A$2:$C$70,2,FALSE)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up'!$A$2:$C$70,3,FALSE)</f>
        <v>Cash</v>
      </c>
      <c r="J2489" s="5">
        <f>VLOOKUP(F2489,'Set up'!$A$2:$D$70,4,FALSE)</f>
        <v>0</v>
      </c>
      <c r="K2489" s="4">
        <f t="shared" si="633"/>
        <v>45287</v>
      </c>
      <c r="L2489" s="5">
        <f t="shared" si="634"/>
        <v>12</v>
      </c>
      <c r="M2489" s="5">
        <f t="shared" si="635"/>
        <v>2023</v>
      </c>
      <c r="N2489" s="96">
        <v>1000</v>
      </c>
      <c r="O2489" s="6">
        <f>-N2489</f>
        <v>-1000</v>
      </c>
      <c r="P2489" s="6">
        <f t="shared" si="639"/>
        <v>0</v>
      </c>
      <c r="Q2489" s="7">
        <f t="shared" si="641"/>
        <v>4061780.1500000018</v>
      </c>
      <c r="R2489" s="44" t="str">
        <f>VLOOKUP(F2489,'Set up'!$A$2:$E$70,5,FALSE)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631"/>
        <v>12</v>
      </c>
      <c r="C2490" s="5">
        <f t="shared" si="632"/>
        <v>2023</v>
      </c>
      <c r="D2490" s="88" t="s">
        <v>2211</v>
      </c>
      <c r="E2490" s="5" t="str">
        <f>VLOOKUP(F2490,'Set up'!$A$2:$C$70,2,FALSE)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up'!$A$2:$C$70,3,FALSE)</f>
        <v>Cash</v>
      </c>
      <c r="J2490" s="5">
        <f>VLOOKUP(F2490,'Set up'!$A$2:$D$70,4,FALSE)</f>
        <v>0</v>
      </c>
      <c r="K2490" s="4">
        <f t="shared" si="633"/>
        <v>45290</v>
      </c>
      <c r="L2490" s="5">
        <f t="shared" si="634"/>
        <v>12</v>
      </c>
      <c r="M2490" s="5">
        <f t="shared" si="635"/>
        <v>2023</v>
      </c>
      <c r="N2490" s="96">
        <v>625</v>
      </c>
      <c r="O2490" s="6">
        <f>-N2490</f>
        <v>-625</v>
      </c>
      <c r="P2490" s="6">
        <f t="shared" si="639"/>
        <v>0</v>
      </c>
      <c r="Q2490" s="7">
        <f t="shared" si="641"/>
        <v>4062405.1500000018</v>
      </c>
      <c r="R2490" s="44" t="str">
        <f>VLOOKUP(F2490,'Set up'!$A$2:$E$70,5,FALSE)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631"/>
        <v>12</v>
      </c>
      <c r="C2491" s="5">
        <f t="shared" si="632"/>
        <v>2023</v>
      </c>
      <c r="D2491" s="88" t="s">
        <v>2212</v>
      </c>
      <c r="E2491" s="5" t="str">
        <f>VLOOKUP(F2491,'Set up'!$A$2:$C$70,2,FALSE)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up'!$A$2:$C$70,3,FALSE)</f>
        <v>Cash</v>
      </c>
      <c r="J2491" s="5">
        <f>VLOOKUP(F2491,'Set up'!$A$2:$D$70,4,FALSE)</f>
        <v>0</v>
      </c>
      <c r="K2491" s="4">
        <f t="shared" si="633"/>
        <v>45290</v>
      </c>
      <c r="L2491" s="5">
        <f t="shared" si="634"/>
        <v>12</v>
      </c>
      <c r="M2491" s="5">
        <f t="shared" si="635"/>
        <v>2023</v>
      </c>
      <c r="N2491" s="96">
        <v>8030</v>
      </c>
      <c r="O2491" s="6">
        <f>-3458-4572</f>
        <v>-8030</v>
      </c>
      <c r="P2491" s="6">
        <f t="shared" si="639"/>
        <v>0</v>
      </c>
      <c r="Q2491" s="7">
        <f t="shared" si="641"/>
        <v>4070435.1500000018</v>
      </c>
      <c r="R2491" s="44" t="str">
        <f>VLOOKUP(F2491,'Set up'!$A$2:$E$70,5,FALSE)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631"/>
        <v>12</v>
      </c>
      <c r="C2492" s="5">
        <f t="shared" si="632"/>
        <v>2023</v>
      </c>
      <c r="D2492" s="88" t="s">
        <v>2212</v>
      </c>
      <c r="E2492" s="5" t="str">
        <f>VLOOKUP(F2492,'Set up'!$A$2:$C$70,2,FALSE)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up'!$A$2:$C$70,3,FALSE)</f>
        <v>Cash</v>
      </c>
      <c r="J2492" s="5">
        <f>VLOOKUP(F2492,'Set up'!$A$2:$D$70,4,FALSE)</f>
        <v>0</v>
      </c>
      <c r="K2492" s="4">
        <f t="shared" si="633"/>
        <v>45290</v>
      </c>
      <c r="L2492" s="5">
        <f t="shared" si="634"/>
        <v>12</v>
      </c>
      <c r="M2492" s="5">
        <f t="shared" si="635"/>
        <v>2023</v>
      </c>
      <c r="N2492" s="96">
        <v>2610</v>
      </c>
      <c r="O2492" s="6">
        <f>-N2492</f>
        <v>-2610</v>
      </c>
      <c r="P2492" s="6">
        <f t="shared" si="639"/>
        <v>0</v>
      </c>
      <c r="Q2492" s="7">
        <f t="shared" si="641"/>
        <v>4073045.1500000018</v>
      </c>
      <c r="R2492" s="44" t="str">
        <f>VLOOKUP(F2492,'Set up'!$A$2:$E$70,5,FALSE)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631"/>
        <v>12</v>
      </c>
      <c r="C2493" s="5">
        <f t="shared" si="632"/>
        <v>2023</v>
      </c>
      <c r="D2493" s="88" t="s">
        <v>2212</v>
      </c>
      <c r="E2493" s="5" t="str">
        <f>VLOOKUP(F2493,'Set up'!$A$2:$C$70,2,FALSE)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up'!$A$2:$C$70,3,FALSE)</f>
        <v>Cash</v>
      </c>
      <c r="J2493" s="5">
        <f>VLOOKUP(F2493,'Set up'!$A$2:$D$70,4,FALSE)</f>
        <v>0</v>
      </c>
      <c r="K2493" s="4">
        <f t="shared" si="633"/>
        <v>45290</v>
      </c>
      <c r="L2493" s="5">
        <f t="shared" si="634"/>
        <v>12</v>
      </c>
      <c r="M2493" s="5">
        <f t="shared" si="635"/>
        <v>2023</v>
      </c>
      <c r="N2493" s="96">
        <v>2106</v>
      </c>
      <c r="O2493" s="6">
        <f>-N2493</f>
        <v>-2106</v>
      </c>
      <c r="P2493" s="6">
        <f t="shared" si="639"/>
        <v>0</v>
      </c>
      <c r="Q2493" s="7">
        <f t="shared" si="641"/>
        <v>4075151.1500000018</v>
      </c>
      <c r="R2493" s="44" t="str">
        <f>VLOOKUP(F2493,'Set up'!$A$2:$E$70,5,FALSE)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si="631"/>
        <v>12</v>
      </c>
      <c r="C2494" s="5">
        <f t="shared" si="632"/>
        <v>2023</v>
      </c>
      <c r="D2494" s="88" t="s">
        <v>2212</v>
      </c>
      <c r="E2494" s="5" t="str">
        <f>VLOOKUP(F2494,'Set up'!$A$2:$C$70,2,FALSE)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up'!$A$2:$C$70,3,FALSE)</f>
        <v>Cash</v>
      </c>
      <c r="J2494" s="5">
        <f>VLOOKUP(F2494,'Set up'!$A$2:$D$70,4,FALSE)</f>
        <v>0</v>
      </c>
      <c r="K2494" s="4">
        <f t="shared" si="633"/>
        <v>45290</v>
      </c>
      <c r="L2494" s="5">
        <f t="shared" si="634"/>
        <v>12</v>
      </c>
      <c r="M2494" s="5">
        <f t="shared" si="635"/>
        <v>2023</v>
      </c>
      <c r="N2494" s="96">
        <v>208</v>
      </c>
      <c r="O2494" s="6">
        <f>-N2494</f>
        <v>-208</v>
      </c>
      <c r="P2494" s="6">
        <f t="shared" si="639"/>
        <v>0</v>
      </c>
      <c r="Q2494" s="7">
        <f t="shared" si="641"/>
        <v>4075359.1500000018</v>
      </c>
      <c r="R2494" s="44" t="str">
        <f>VLOOKUP(F2494,'Set up'!$A$2:$E$70,5,FALSE)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631"/>
        <v>12</v>
      </c>
      <c r="C2495" s="5">
        <f t="shared" si="632"/>
        <v>2023</v>
      </c>
      <c r="D2495" s="88" t="s">
        <v>2212</v>
      </c>
      <c r="E2495" s="5" t="str">
        <f>VLOOKUP(F2495,'Set up'!$A$2:$C$70,2,FALSE)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up'!$A$2:$C$70,3,FALSE)</f>
        <v>Cash</v>
      </c>
      <c r="J2495" s="5">
        <f>VLOOKUP(F2495,'Set up'!$A$2:$D$70,4,FALSE)</f>
        <v>0</v>
      </c>
      <c r="K2495" s="4">
        <f t="shared" si="633"/>
        <v>45290</v>
      </c>
      <c r="L2495" s="5">
        <f t="shared" si="634"/>
        <v>12</v>
      </c>
      <c r="M2495" s="5">
        <f t="shared" si="635"/>
        <v>2023</v>
      </c>
      <c r="N2495" s="96">
        <v>380</v>
      </c>
      <c r="O2495" s="6">
        <f>-N2495</f>
        <v>-380</v>
      </c>
      <c r="P2495" s="6">
        <f t="shared" si="639"/>
        <v>0</v>
      </c>
      <c r="Q2495" s="7">
        <f t="shared" si="641"/>
        <v>4075739.1500000018</v>
      </c>
      <c r="R2495" s="44" t="str">
        <f>VLOOKUP(F2495,'Set up'!$A$2:$E$70,5,FALSE)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631"/>
        <v>12</v>
      </c>
      <c r="C2496" s="5">
        <f t="shared" si="632"/>
        <v>2023</v>
      </c>
      <c r="D2496" s="88" t="s">
        <v>2212</v>
      </c>
      <c r="E2496" s="5" t="str">
        <f>VLOOKUP(F2496,'Set up'!$A$2:$C$70,2,FALSE)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up'!$A$2:$C$70,3,FALSE)</f>
        <v>Cash</v>
      </c>
      <c r="J2496" s="5">
        <f>VLOOKUP(F2496,'Set up'!$A$2:$D$70,4,FALSE)</f>
        <v>0</v>
      </c>
      <c r="K2496" s="4">
        <f t="shared" si="633"/>
        <v>45290</v>
      </c>
      <c r="L2496" s="5">
        <f t="shared" si="634"/>
        <v>12</v>
      </c>
      <c r="M2496" s="5">
        <f t="shared" si="635"/>
        <v>2023</v>
      </c>
      <c r="N2496" s="96">
        <v>1000</v>
      </c>
      <c r="O2496" s="6">
        <f>-N2496</f>
        <v>-1000</v>
      </c>
      <c r="P2496" s="6">
        <f t="shared" si="639"/>
        <v>0</v>
      </c>
      <c r="Q2496" s="7">
        <f t="shared" si="641"/>
        <v>4076739.1500000018</v>
      </c>
      <c r="R2496" s="44" t="str">
        <f>VLOOKUP(F2496,'Set up'!$A$2:$E$70,5,FALSE)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631"/>
        <v>12</v>
      </c>
      <c r="C2497" s="5">
        <f t="shared" si="632"/>
        <v>2023</v>
      </c>
      <c r="D2497" s="88" t="s">
        <v>2213</v>
      </c>
      <c r="E2497" s="5" t="str">
        <f>VLOOKUP(F2497,'Set up'!$A$2:$C$70,2,FALSE)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up'!$A$2:$C$70,3,FALSE)</f>
        <v>Cash</v>
      </c>
      <c r="J2497" s="5">
        <f>VLOOKUP(F2497,'Set up'!$A$2:$D$70,4,FALSE)</f>
        <v>0</v>
      </c>
      <c r="K2497" s="4">
        <f t="shared" si="633"/>
        <v>45290</v>
      </c>
      <c r="L2497" s="5">
        <f t="shared" si="634"/>
        <v>12</v>
      </c>
      <c r="M2497" s="5">
        <f t="shared" si="635"/>
        <v>2023</v>
      </c>
      <c r="N2497" s="96">
        <v>1738</v>
      </c>
      <c r="P2497" s="6">
        <f t="shared" si="639"/>
        <v>1738</v>
      </c>
      <c r="Q2497" s="7">
        <f t="shared" si="641"/>
        <v>4078477.1500000018</v>
      </c>
      <c r="R2497" s="44" t="str">
        <f>VLOOKUP(F2497,'Set up'!$A$2:$E$70,5,FALSE)</f>
        <v>PD Chq</v>
      </c>
    </row>
    <row r="2498" spans="1:19" ht="15" customHeight="1" x14ac:dyDescent="0.35">
      <c r="A2498" s="4">
        <v>45290</v>
      </c>
      <c r="B2498" s="5">
        <f t="shared" si="631"/>
        <v>12</v>
      </c>
      <c r="C2498" s="5">
        <f t="shared" si="632"/>
        <v>2023</v>
      </c>
      <c r="D2498" s="88" t="s">
        <v>2213</v>
      </c>
      <c r="E2498" s="5" t="str">
        <f>VLOOKUP(F2498,'Set up'!$A$2:$C$70,2,FALSE)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up'!$A$2:$C$70,3,FALSE)</f>
        <v>Cash</v>
      </c>
      <c r="J2498" s="5">
        <f>VLOOKUP(F2498,'Set up'!$A$2:$D$70,4,FALSE)</f>
        <v>0</v>
      </c>
      <c r="K2498" s="4">
        <f t="shared" si="633"/>
        <v>45290</v>
      </c>
      <c r="L2498" s="5">
        <f t="shared" si="634"/>
        <v>12</v>
      </c>
      <c r="M2498" s="5">
        <f t="shared" si="635"/>
        <v>2023</v>
      </c>
      <c r="N2498" s="96">
        <v>277.5</v>
      </c>
      <c r="P2498" s="6">
        <f t="shared" si="639"/>
        <v>277.5</v>
      </c>
      <c r="Q2498" s="7">
        <f t="shared" si="641"/>
        <v>4078754.6500000018</v>
      </c>
      <c r="R2498" s="44" t="str">
        <f>VLOOKUP(F2498,'Set up'!$A$2:$E$70,5,FALSE)</f>
        <v>PD Chq</v>
      </c>
    </row>
    <row r="2499" spans="1:19" ht="15" customHeight="1" x14ac:dyDescent="0.35">
      <c r="A2499" s="4">
        <v>45290</v>
      </c>
      <c r="B2499" s="5">
        <f t="shared" ref="B2499:B2562" si="645">MONTH(A2499)</f>
        <v>12</v>
      </c>
      <c r="C2499" s="5">
        <f t="shared" ref="C2499:C2562" si="646">YEAR(A2499)</f>
        <v>2023</v>
      </c>
      <c r="D2499" s="88" t="s">
        <v>2213</v>
      </c>
      <c r="E2499" s="5" t="str">
        <f>VLOOKUP(F2499,'Set up'!$A$2:$C$70,2,FALSE)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up'!$A$2:$C$70,3,FALSE)</f>
        <v>Cash</v>
      </c>
      <c r="J2499" s="5">
        <f>VLOOKUP(F2499,'Set up'!$A$2:$D$70,4,FALSE)</f>
        <v>0</v>
      </c>
      <c r="K2499" s="4">
        <f t="shared" ref="K2499:K2562" si="647">A2499+J2499</f>
        <v>45290</v>
      </c>
      <c r="L2499" s="5">
        <f t="shared" ref="L2499:L2562" si="648">MONTH(K2499)</f>
        <v>12</v>
      </c>
      <c r="M2499" s="5">
        <f t="shared" ref="M2499:M2562" si="649">YEAR(K2499)</f>
        <v>2023</v>
      </c>
      <c r="N2499" s="96">
        <v>95</v>
      </c>
      <c r="P2499" s="6">
        <f t="shared" si="639"/>
        <v>95</v>
      </c>
      <c r="Q2499" s="7">
        <f t="shared" si="641"/>
        <v>4078849.6500000018</v>
      </c>
      <c r="R2499" s="44" t="str">
        <f>VLOOKUP(F2499,'Set up'!$A$2:$E$70,5,FALSE)</f>
        <v>PD Chq</v>
      </c>
    </row>
    <row r="2500" spans="1:19" ht="15" customHeight="1" x14ac:dyDescent="0.35">
      <c r="A2500" s="4">
        <v>45290</v>
      </c>
      <c r="B2500" s="5">
        <f t="shared" si="645"/>
        <v>12</v>
      </c>
      <c r="C2500" s="5">
        <f t="shared" si="646"/>
        <v>2023</v>
      </c>
      <c r="D2500" s="88" t="s">
        <v>2213</v>
      </c>
      <c r="E2500" s="5" t="str">
        <f>VLOOKUP(F2500,'Set up'!$A$2:$C$70,2,FALSE)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up'!$A$2:$C$70,3,FALSE)</f>
        <v>Cash</v>
      </c>
      <c r="J2500" s="5">
        <f>VLOOKUP(F2500,'Set up'!$A$2:$D$70,4,FALSE)</f>
        <v>0</v>
      </c>
      <c r="K2500" s="4">
        <f t="shared" si="647"/>
        <v>45290</v>
      </c>
      <c r="L2500" s="5">
        <f t="shared" si="648"/>
        <v>12</v>
      </c>
      <c r="M2500" s="5">
        <f t="shared" si="649"/>
        <v>2023</v>
      </c>
      <c r="N2500" s="96">
        <v>312.5</v>
      </c>
      <c r="P2500" s="6">
        <f t="shared" si="639"/>
        <v>312.5</v>
      </c>
      <c r="Q2500" s="7">
        <f t="shared" si="641"/>
        <v>4079162.1500000018</v>
      </c>
      <c r="R2500" s="44" t="str">
        <f>VLOOKUP(F2500,'Set up'!$A$2:$E$70,5,FALSE)</f>
        <v>PD Chq</v>
      </c>
    </row>
    <row r="2501" spans="1:19" ht="15" customHeight="1" x14ac:dyDescent="0.35">
      <c r="A2501" s="4">
        <v>45290</v>
      </c>
      <c r="B2501" s="5">
        <f t="shared" si="645"/>
        <v>12</v>
      </c>
      <c r="C2501" s="5">
        <f t="shared" si="646"/>
        <v>2023</v>
      </c>
      <c r="D2501" s="88" t="s">
        <v>2214</v>
      </c>
      <c r="E2501" s="5" t="str">
        <f>VLOOKUP(F2501,'Set up'!$A$2:$C$70,2,FALSE)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up'!$A$2:$C$70,3,FALSE)</f>
        <v>Cash</v>
      </c>
      <c r="J2501" s="5">
        <f>VLOOKUP(F2501,'Set up'!$A$2:$D$70,4,FALSE)</f>
        <v>0</v>
      </c>
      <c r="K2501" s="4">
        <f t="shared" si="647"/>
        <v>45290</v>
      </c>
      <c r="L2501" s="5">
        <f t="shared" si="648"/>
        <v>12</v>
      </c>
      <c r="M2501" s="5">
        <f t="shared" si="649"/>
        <v>2023</v>
      </c>
      <c r="N2501" s="96">
        <v>1738</v>
      </c>
      <c r="O2501" s="6">
        <f>-830.8-907.2</f>
        <v>-1738</v>
      </c>
      <c r="P2501" s="6">
        <f t="shared" si="639"/>
        <v>0</v>
      </c>
      <c r="Q2501" s="7">
        <f t="shared" si="641"/>
        <v>4080900.1500000018</v>
      </c>
      <c r="R2501" s="44" t="str">
        <f>VLOOKUP(F2501,'Set up'!$A$2:$E$70,5,FALSE)</f>
        <v>Trsf</v>
      </c>
      <c r="S2501" s="1" t="s">
        <v>3434</v>
      </c>
    </row>
    <row r="2502" spans="1:19" ht="15" customHeight="1" x14ac:dyDescent="0.35">
      <c r="A2502" s="4">
        <v>45290</v>
      </c>
      <c r="B2502" s="5">
        <f t="shared" si="645"/>
        <v>12</v>
      </c>
      <c r="C2502" s="5">
        <f t="shared" si="646"/>
        <v>2023</v>
      </c>
      <c r="D2502" s="88" t="s">
        <v>2214</v>
      </c>
      <c r="E2502" s="5" t="str">
        <f>VLOOKUP(F2502,'Set up'!$A$2:$C$70,2,FALSE)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up'!$A$2:$C$70,3,FALSE)</f>
        <v>Cash</v>
      </c>
      <c r="J2502" s="5">
        <f>VLOOKUP(F2502,'Set up'!$A$2:$D$70,4,FALSE)</f>
        <v>0</v>
      </c>
      <c r="K2502" s="4">
        <f t="shared" si="647"/>
        <v>45290</v>
      </c>
      <c r="L2502" s="5">
        <f t="shared" si="648"/>
        <v>12</v>
      </c>
      <c r="M2502" s="5">
        <f t="shared" si="649"/>
        <v>2023</v>
      </c>
      <c r="N2502" s="96">
        <v>390</v>
      </c>
      <c r="O2502" s="6">
        <f t="shared" ref="O2502:O2504" si="650">-N2502</f>
        <v>-390</v>
      </c>
      <c r="P2502" s="6">
        <f t="shared" si="639"/>
        <v>0</v>
      </c>
      <c r="Q2502" s="7">
        <f t="shared" si="641"/>
        <v>4081290.1500000018</v>
      </c>
      <c r="R2502" s="44" t="str">
        <f>VLOOKUP(F2502,'Set up'!$A$2:$E$70,5,FALSE)</f>
        <v>Trsf</v>
      </c>
      <c r="S2502" s="1" t="s">
        <v>3435</v>
      </c>
    </row>
    <row r="2503" spans="1:19" ht="15" customHeight="1" x14ac:dyDescent="0.35">
      <c r="A2503" s="4">
        <v>45290</v>
      </c>
      <c r="B2503" s="5">
        <f t="shared" si="645"/>
        <v>12</v>
      </c>
      <c r="C2503" s="5">
        <f t="shared" si="646"/>
        <v>2023</v>
      </c>
      <c r="D2503" s="88" t="s">
        <v>2214</v>
      </c>
      <c r="E2503" s="5" t="str">
        <f>VLOOKUP(F2503,'Set up'!$A$2:$C$70,2,FALSE)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up'!$A$2:$C$70,3,FALSE)</f>
        <v>Cash</v>
      </c>
      <c r="J2503" s="5">
        <f>VLOOKUP(F2503,'Set up'!$A$2:$D$70,4,FALSE)</f>
        <v>0</v>
      </c>
      <c r="K2503" s="4">
        <f t="shared" si="647"/>
        <v>45290</v>
      </c>
      <c r="L2503" s="5">
        <f t="shared" si="648"/>
        <v>12</v>
      </c>
      <c r="M2503" s="5">
        <f t="shared" si="649"/>
        <v>2023</v>
      </c>
      <c r="N2503" s="96">
        <v>105</v>
      </c>
      <c r="O2503" s="6">
        <f t="shared" si="650"/>
        <v>-105</v>
      </c>
      <c r="P2503" s="6">
        <f t="shared" si="639"/>
        <v>0</v>
      </c>
      <c r="Q2503" s="7">
        <f t="shared" si="641"/>
        <v>4081395.1500000018</v>
      </c>
      <c r="R2503" s="44" t="str">
        <f>VLOOKUP(F2503,'Set up'!$A$2:$E$70,5,FALSE)</f>
        <v>Trsf</v>
      </c>
      <c r="S2503" s="1" t="s">
        <v>3436</v>
      </c>
    </row>
    <row r="2504" spans="1:19" ht="15" customHeight="1" x14ac:dyDescent="0.35">
      <c r="A2504" s="4">
        <v>45290</v>
      </c>
      <c r="B2504" s="5">
        <f t="shared" si="645"/>
        <v>12</v>
      </c>
      <c r="C2504" s="5">
        <f t="shared" si="646"/>
        <v>2023</v>
      </c>
      <c r="D2504" s="88" t="s">
        <v>2214</v>
      </c>
      <c r="E2504" s="5" t="str">
        <f>VLOOKUP(F2504,'Set up'!$A$2:$C$70,2,FALSE)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up'!$A$2:$C$70,3,FALSE)</f>
        <v>Cash</v>
      </c>
      <c r="J2504" s="5">
        <f>VLOOKUP(F2504,'Set up'!$A$2:$D$70,4,FALSE)</f>
        <v>0</v>
      </c>
      <c r="K2504" s="4">
        <f t="shared" si="647"/>
        <v>45290</v>
      </c>
      <c r="L2504" s="5">
        <f t="shared" si="648"/>
        <v>12</v>
      </c>
      <c r="M2504" s="5">
        <f t="shared" si="649"/>
        <v>2023</v>
      </c>
      <c r="N2504" s="96">
        <v>120</v>
      </c>
      <c r="O2504" s="6">
        <f t="shared" si="650"/>
        <v>-120</v>
      </c>
      <c r="P2504" s="6">
        <f t="shared" si="639"/>
        <v>0</v>
      </c>
      <c r="Q2504" s="7">
        <f t="shared" si="641"/>
        <v>4081515.1500000018</v>
      </c>
      <c r="R2504" s="44" t="str">
        <f>VLOOKUP(F2504,'Set up'!$A$2:$E$70,5,FALSE)</f>
        <v>Trsf</v>
      </c>
      <c r="S2504" s="1" t="s">
        <v>3437</v>
      </c>
    </row>
    <row r="2505" spans="1:19" ht="15" customHeight="1" x14ac:dyDescent="0.35">
      <c r="A2505" s="4">
        <v>45294</v>
      </c>
      <c r="B2505" s="5">
        <f t="shared" si="645"/>
        <v>1</v>
      </c>
      <c r="C2505" s="5">
        <f t="shared" si="646"/>
        <v>2024</v>
      </c>
      <c r="D2505" s="5" t="s">
        <v>2268</v>
      </c>
      <c r="E2505" s="5" t="str">
        <f>VLOOKUP(F2505,'Set up'!$A$2:$C$70,2,FALSE)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up'!$A$2:$C$70,3,FALSE)</f>
        <v>Cash</v>
      </c>
      <c r="J2505" s="5">
        <f>VLOOKUP(F2505,'Set up'!$A$2:$D$70,4,FALSE)</f>
        <v>0</v>
      </c>
      <c r="K2505" s="4">
        <f t="shared" si="647"/>
        <v>45294</v>
      </c>
      <c r="L2505" s="5">
        <f t="shared" si="648"/>
        <v>1</v>
      </c>
      <c r="M2505" s="5">
        <f t="shared" si="649"/>
        <v>2024</v>
      </c>
      <c r="N2505" s="96">
        <v>1606</v>
      </c>
      <c r="O2505" s="6">
        <f t="shared" ref="O2505:O2506" si="651">-N2505</f>
        <v>-1606</v>
      </c>
      <c r="P2505" s="6">
        <f t="shared" si="639"/>
        <v>0</v>
      </c>
      <c r="Q2505" s="7">
        <f t="shared" si="641"/>
        <v>4083121.1500000018</v>
      </c>
      <c r="R2505" s="44" t="str">
        <f>VLOOKUP(F2505,'Set up'!$A$2:$E$70,5,FALSE)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645"/>
        <v>1</v>
      </c>
      <c r="C2506" s="5">
        <f t="shared" si="646"/>
        <v>2024</v>
      </c>
      <c r="D2506" s="5" t="s">
        <v>2268</v>
      </c>
      <c r="E2506" s="5" t="str">
        <f>VLOOKUP(F2506,'Set up'!$A$2:$C$70,2,FALSE)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up'!$A$2:$C$70,3,FALSE)</f>
        <v>Cash</v>
      </c>
      <c r="J2506" s="5">
        <f>VLOOKUP(F2506,'Set up'!$A$2:$D$70,4,FALSE)</f>
        <v>0</v>
      </c>
      <c r="K2506" s="4">
        <f t="shared" si="647"/>
        <v>45294</v>
      </c>
      <c r="L2506" s="5">
        <f t="shared" si="648"/>
        <v>1</v>
      </c>
      <c r="M2506" s="5">
        <f t="shared" si="649"/>
        <v>2024</v>
      </c>
      <c r="N2506" s="96">
        <v>630</v>
      </c>
      <c r="O2506" s="6">
        <f t="shared" si="651"/>
        <v>-630</v>
      </c>
      <c r="P2506" s="6">
        <f t="shared" si="639"/>
        <v>0</v>
      </c>
      <c r="Q2506" s="7">
        <f t="shared" si="641"/>
        <v>4083751.1500000018</v>
      </c>
      <c r="R2506" s="44" t="str">
        <f>VLOOKUP(F2506,'Set up'!$A$2:$E$70,5,FALSE)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645"/>
        <v>1</v>
      </c>
      <c r="C2507" s="5">
        <f t="shared" si="646"/>
        <v>2024</v>
      </c>
      <c r="D2507" s="5" t="s">
        <v>2269</v>
      </c>
      <c r="E2507" s="5" t="str">
        <f>VLOOKUP(F2507,'Set up'!$A$2:$C$70,2,FALSE)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up'!$A$2:$C$70,3,FALSE)</f>
        <v>Cash</v>
      </c>
      <c r="J2507" s="5">
        <f>VLOOKUP(F2507,'Set up'!$A$2:$D$70,4,FALSE)</f>
        <v>0</v>
      </c>
      <c r="K2507" s="4">
        <f t="shared" si="647"/>
        <v>45294</v>
      </c>
      <c r="L2507" s="5">
        <f t="shared" si="648"/>
        <v>1</v>
      </c>
      <c r="M2507" s="5">
        <f t="shared" si="649"/>
        <v>2024</v>
      </c>
      <c r="N2507" s="96">
        <v>1738</v>
      </c>
      <c r="O2507" s="6">
        <f>-N2507</f>
        <v>-1738</v>
      </c>
      <c r="P2507" s="6">
        <f t="shared" si="639"/>
        <v>0</v>
      </c>
      <c r="Q2507" s="7">
        <f t="shared" si="641"/>
        <v>4085489.1500000018</v>
      </c>
      <c r="R2507" s="44" t="str">
        <f>VLOOKUP(F2507,'Set up'!$A$2:$E$70,5,FALSE)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645"/>
        <v>1</v>
      </c>
      <c r="C2508" s="5">
        <f t="shared" si="646"/>
        <v>2024</v>
      </c>
      <c r="D2508" s="5" t="s">
        <v>2269</v>
      </c>
      <c r="E2508" s="5" t="str">
        <f>VLOOKUP(F2508,'Set up'!$A$2:$C$70,2,FALSE)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up'!$A$2:$C$70,3,FALSE)</f>
        <v>Cash</v>
      </c>
      <c r="J2508" s="5">
        <f>VLOOKUP(F2508,'Set up'!$A$2:$D$70,4,FALSE)</f>
        <v>0</v>
      </c>
      <c r="K2508" s="4">
        <f t="shared" si="647"/>
        <v>45294</v>
      </c>
      <c r="L2508" s="5">
        <f t="shared" si="648"/>
        <v>1</v>
      </c>
      <c r="M2508" s="5">
        <f t="shared" si="649"/>
        <v>2024</v>
      </c>
      <c r="N2508" s="96">
        <v>675</v>
      </c>
      <c r="O2508" s="6">
        <f>-N2508</f>
        <v>-675</v>
      </c>
      <c r="P2508" s="6">
        <f t="shared" si="639"/>
        <v>0</v>
      </c>
      <c r="Q2508" s="7">
        <f t="shared" si="641"/>
        <v>4086164.1500000018</v>
      </c>
      <c r="R2508" s="44" t="str">
        <f>VLOOKUP(F2508,'Set up'!$A$2:$E$70,5,FALSE)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645"/>
        <v>1</v>
      </c>
      <c r="C2509" s="5">
        <f t="shared" si="646"/>
        <v>2024</v>
      </c>
      <c r="D2509" s="5" t="s">
        <v>2269</v>
      </c>
      <c r="E2509" s="5" t="str">
        <f>VLOOKUP(F2509,'Set up'!$A$2:$C$70,2,FALSE)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up'!$A$2:$C$70,3,FALSE)</f>
        <v>Cash</v>
      </c>
      <c r="J2509" s="5">
        <f>VLOOKUP(F2509,'Set up'!$A$2:$D$70,4,FALSE)</f>
        <v>0</v>
      </c>
      <c r="K2509" s="4">
        <f t="shared" si="647"/>
        <v>45294</v>
      </c>
      <c r="L2509" s="5">
        <f t="shared" si="648"/>
        <v>1</v>
      </c>
      <c r="M2509" s="5">
        <f t="shared" si="649"/>
        <v>2024</v>
      </c>
      <c r="N2509" s="96">
        <v>175</v>
      </c>
      <c r="O2509" s="6">
        <f>-N2509</f>
        <v>-175</v>
      </c>
      <c r="P2509" s="6">
        <f t="shared" si="639"/>
        <v>0</v>
      </c>
      <c r="Q2509" s="7">
        <f t="shared" si="641"/>
        <v>4086339.1500000018</v>
      </c>
      <c r="R2509" s="44" t="str">
        <f>VLOOKUP(F2509,'Set up'!$A$2:$E$70,5,FALSE)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645"/>
        <v>1</v>
      </c>
      <c r="C2510" s="5">
        <f t="shared" si="646"/>
        <v>2024</v>
      </c>
      <c r="D2510" s="5" t="s">
        <v>2269</v>
      </c>
      <c r="E2510" s="5" t="str">
        <f>VLOOKUP(F2510,'Set up'!$A$2:$C$70,2,FALSE)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up'!$A$2:$C$70,3,FALSE)</f>
        <v>Cash</v>
      </c>
      <c r="J2510" s="5">
        <f>VLOOKUP(F2510,'Set up'!$A$2:$D$70,4,FALSE)</f>
        <v>0</v>
      </c>
      <c r="K2510" s="4">
        <f t="shared" si="647"/>
        <v>45294</v>
      </c>
      <c r="L2510" s="5">
        <f t="shared" si="648"/>
        <v>1</v>
      </c>
      <c r="M2510" s="5">
        <f t="shared" si="649"/>
        <v>2024</v>
      </c>
      <c r="N2510" s="96">
        <v>60</v>
      </c>
      <c r="O2510" s="6">
        <f>-N2510</f>
        <v>-60</v>
      </c>
      <c r="P2510" s="6">
        <f t="shared" si="639"/>
        <v>0</v>
      </c>
      <c r="Q2510" s="7">
        <f t="shared" si="641"/>
        <v>4086399.1500000018</v>
      </c>
      <c r="R2510" s="44" t="str">
        <f>VLOOKUP(F2510,'Set up'!$A$2:$E$70,5,FALSE)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645"/>
        <v>1</v>
      </c>
      <c r="C2511" s="5">
        <f t="shared" si="646"/>
        <v>2024</v>
      </c>
      <c r="D2511" s="5" t="s">
        <v>2270</v>
      </c>
      <c r="E2511" s="5" t="str">
        <f>VLOOKUP(F2511,'Set up'!$A$2:$C$70,2,FALSE)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up'!$A$2:$C$70,3,FALSE)</f>
        <v>Cash</v>
      </c>
      <c r="J2511" s="5">
        <f>VLOOKUP(F2511,'Set up'!$A$2:$D$70,4,FALSE)</f>
        <v>0</v>
      </c>
      <c r="K2511" s="4">
        <f t="shared" si="647"/>
        <v>45295</v>
      </c>
      <c r="L2511" s="5">
        <f t="shared" si="648"/>
        <v>1</v>
      </c>
      <c r="M2511" s="5">
        <f t="shared" si="649"/>
        <v>2024</v>
      </c>
      <c r="N2511" s="6">
        <v>1606</v>
      </c>
      <c r="O2511" s="6">
        <f t="shared" ref="O2511:O2513" si="652">-N2511</f>
        <v>-1606</v>
      </c>
      <c r="P2511" s="6">
        <f t="shared" si="639"/>
        <v>0</v>
      </c>
      <c r="Q2511" s="7">
        <f t="shared" si="641"/>
        <v>4088005.1500000018</v>
      </c>
      <c r="R2511" s="44" t="str">
        <f>VLOOKUP(F2511,'Set up'!$A$2:$E$70,5,FALSE)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645"/>
        <v>1</v>
      </c>
      <c r="C2512" s="5">
        <f t="shared" si="646"/>
        <v>2024</v>
      </c>
      <c r="D2512" s="5" t="s">
        <v>2270</v>
      </c>
      <c r="E2512" s="5" t="str">
        <f>VLOOKUP(F2512,'Set up'!$A$2:$C$70,2,FALSE)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up'!$A$2:$C$70,3,FALSE)</f>
        <v>Cash</v>
      </c>
      <c r="J2512" s="5">
        <f>VLOOKUP(F2512,'Set up'!$A$2:$D$70,4,FALSE)</f>
        <v>0</v>
      </c>
      <c r="K2512" s="4">
        <f t="shared" si="647"/>
        <v>45295</v>
      </c>
      <c r="L2512" s="5">
        <f t="shared" si="648"/>
        <v>1</v>
      </c>
      <c r="M2512" s="5">
        <f t="shared" si="649"/>
        <v>2024</v>
      </c>
      <c r="N2512" s="6">
        <v>780</v>
      </c>
      <c r="O2512" s="6">
        <f t="shared" si="652"/>
        <v>-780</v>
      </c>
      <c r="P2512" s="6">
        <f t="shared" si="639"/>
        <v>0</v>
      </c>
      <c r="Q2512" s="7">
        <f t="shared" si="641"/>
        <v>4088785.1500000018</v>
      </c>
      <c r="R2512" s="44" t="str">
        <f>VLOOKUP(F2512,'Set up'!$A$2:$E$70,5,FALSE)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645"/>
        <v>1</v>
      </c>
      <c r="C2513" s="5">
        <f t="shared" si="646"/>
        <v>2024</v>
      </c>
      <c r="D2513" s="5" t="s">
        <v>2270</v>
      </c>
      <c r="E2513" s="5" t="str">
        <f>VLOOKUP(F2513,'Set up'!$A$2:$C$70,2,FALSE)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up'!$A$2:$C$70,3,FALSE)</f>
        <v>Cash</v>
      </c>
      <c r="J2513" s="5">
        <f>VLOOKUP(F2513,'Set up'!$A$2:$D$70,4,FALSE)</f>
        <v>0</v>
      </c>
      <c r="K2513" s="4">
        <f t="shared" si="647"/>
        <v>45295</v>
      </c>
      <c r="L2513" s="5">
        <f t="shared" si="648"/>
        <v>1</v>
      </c>
      <c r="M2513" s="5">
        <f t="shared" si="649"/>
        <v>2024</v>
      </c>
      <c r="N2513" s="6">
        <v>440</v>
      </c>
      <c r="O2513" s="6">
        <f t="shared" si="652"/>
        <v>-440</v>
      </c>
      <c r="P2513" s="6">
        <f t="shared" si="639"/>
        <v>0</v>
      </c>
      <c r="Q2513" s="7">
        <f t="shared" si="641"/>
        <v>4089225.1500000018</v>
      </c>
      <c r="R2513" s="44" t="str">
        <f>VLOOKUP(F2513,'Set up'!$A$2:$E$70,5,FALSE)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645"/>
        <v>1</v>
      </c>
      <c r="C2514" s="5">
        <f t="shared" si="646"/>
        <v>2024</v>
      </c>
      <c r="D2514" s="5" t="s">
        <v>2272</v>
      </c>
      <c r="E2514" s="5" t="str">
        <f>VLOOKUP(F2514,'Set up'!$A$2:$C$70,2,FALSE)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up'!$A$2:$C$70,3,FALSE)</f>
        <v>Cash</v>
      </c>
      <c r="J2514" s="5">
        <f>VLOOKUP(F2514,'Set up'!$A$2:$D$70,4,FALSE)</f>
        <v>0</v>
      </c>
      <c r="K2514" s="4">
        <f t="shared" si="647"/>
        <v>45296</v>
      </c>
      <c r="L2514" s="5">
        <f t="shared" si="648"/>
        <v>1</v>
      </c>
      <c r="M2514" s="5">
        <f t="shared" si="649"/>
        <v>2024</v>
      </c>
      <c r="N2514" s="6">
        <v>1738</v>
      </c>
      <c r="P2514" s="6">
        <f t="shared" si="639"/>
        <v>1738</v>
      </c>
      <c r="Q2514" s="7">
        <f t="shared" si="641"/>
        <v>4090963.1500000018</v>
      </c>
      <c r="R2514" s="44" t="str">
        <f>VLOOKUP(F2514,'Set up'!$A$2:$E$70,5,FALSE)</f>
        <v>PD Chq</v>
      </c>
    </row>
    <row r="2515" spans="1:19" ht="15" customHeight="1" x14ac:dyDescent="0.35">
      <c r="A2515" s="4">
        <v>45296</v>
      </c>
      <c r="B2515" s="5">
        <f t="shared" si="645"/>
        <v>1</v>
      </c>
      <c r="C2515" s="5">
        <f t="shared" si="646"/>
        <v>2024</v>
      </c>
      <c r="D2515" s="5" t="s">
        <v>2272</v>
      </c>
      <c r="E2515" s="5" t="str">
        <f>VLOOKUP(F2515,'Set up'!$A$2:$C$70,2,FALSE)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up'!$A$2:$C$70,3,FALSE)</f>
        <v>Cash</v>
      </c>
      <c r="J2515" s="5">
        <f>VLOOKUP(F2515,'Set up'!$A$2:$D$70,4,FALSE)</f>
        <v>0</v>
      </c>
      <c r="K2515" s="4">
        <f t="shared" si="647"/>
        <v>45296</v>
      </c>
      <c r="L2515" s="5">
        <f t="shared" si="648"/>
        <v>1</v>
      </c>
      <c r="M2515" s="5">
        <f t="shared" si="649"/>
        <v>2024</v>
      </c>
      <c r="N2515" s="6">
        <v>555</v>
      </c>
      <c r="P2515" s="6">
        <f t="shared" si="639"/>
        <v>555</v>
      </c>
      <c r="Q2515" s="7">
        <f t="shared" si="641"/>
        <v>4091518.1500000018</v>
      </c>
      <c r="R2515" s="44" t="str">
        <f>VLOOKUP(F2515,'Set up'!$A$2:$E$70,5,FALSE)</f>
        <v>PD Chq</v>
      </c>
    </row>
    <row r="2516" spans="1:19" ht="15" customHeight="1" x14ac:dyDescent="0.35">
      <c r="A2516" s="4">
        <v>45296</v>
      </c>
      <c r="B2516" s="5">
        <f t="shared" si="645"/>
        <v>1</v>
      </c>
      <c r="C2516" s="5">
        <f t="shared" si="646"/>
        <v>2024</v>
      </c>
      <c r="D2516" s="5" t="s">
        <v>2272</v>
      </c>
      <c r="E2516" s="5" t="str">
        <f>VLOOKUP(F2516,'Set up'!$A$2:$C$70,2,FALSE)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up'!$A$2:$C$70,3,FALSE)</f>
        <v>Cash</v>
      </c>
      <c r="J2516" s="5">
        <f>VLOOKUP(F2516,'Set up'!$A$2:$D$70,4,FALSE)</f>
        <v>0</v>
      </c>
      <c r="K2516" s="4">
        <f t="shared" si="647"/>
        <v>45296</v>
      </c>
      <c r="L2516" s="5">
        <f t="shared" si="648"/>
        <v>1</v>
      </c>
      <c r="M2516" s="5">
        <f t="shared" si="649"/>
        <v>2024</v>
      </c>
      <c r="N2516" s="6">
        <v>95</v>
      </c>
      <c r="P2516" s="6">
        <f t="shared" si="639"/>
        <v>95</v>
      </c>
      <c r="Q2516" s="7">
        <f t="shared" si="641"/>
        <v>4091613.1500000018</v>
      </c>
      <c r="R2516" s="44" t="str">
        <f>VLOOKUP(F2516,'Set up'!$A$2:$E$70,5,FALSE)</f>
        <v>PD Chq</v>
      </c>
    </row>
    <row r="2517" spans="1:19" ht="15" customHeight="1" x14ac:dyDescent="0.35">
      <c r="A2517" s="4">
        <v>45297</v>
      </c>
      <c r="B2517" s="5">
        <f t="shared" si="645"/>
        <v>1</v>
      </c>
      <c r="C2517" s="5">
        <f t="shared" si="646"/>
        <v>2024</v>
      </c>
      <c r="D2517" s="5" t="s">
        <v>2273</v>
      </c>
      <c r="E2517" s="5" t="str">
        <f>VLOOKUP(F2517,'Set up'!$A$2:$C$70,2,FALSE)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up'!$A$2:$C$70,3,FALSE)</f>
        <v>Cash</v>
      </c>
      <c r="J2517" s="5">
        <f>VLOOKUP(F2517,'Set up'!$A$2:$D$70,4,FALSE)</f>
        <v>0</v>
      </c>
      <c r="K2517" s="4">
        <f t="shared" si="647"/>
        <v>45297</v>
      </c>
      <c r="L2517" s="5">
        <f t="shared" si="648"/>
        <v>1</v>
      </c>
      <c r="M2517" s="5">
        <f t="shared" si="649"/>
        <v>2024</v>
      </c>
      <c r="N2517" s="6">
        <v>3476</v>
      </c>
      <c r="O2517" s="6">
        <f t="shared" ref="O2517:O2529" si="653">-N2517</f>
        <v>-3476</v>
      </c>
      <c r="P2517" s="6">
        <f t="shared" ref="P2517:P2580" si="654">SUM(N2517+O2517)</f>
        <v>0</v>
      </c>
      <c r="Q2517" s="7">
        <f t="shared" si="641"/>
        <v>4095089.1500000018</v>
      </c>
      <c r="R2517" s="44" t="str">
        <f>VLOOKUP(F2517,'Set up'!$A$2:$E$70,5,FALSE)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645"/>
        <v>1</v>
      </c>
      <c r="C2518" s="5">
        <f t="shared" si="646"/>
        <v>2024</v>
      </c>
      <c r="D2518" s="5" t="s">
        <v>2273</v>
      </c>
      <c r="E2518" s="5" t="str">
        <f>VLOOKUP(F2518,'Set up'!$A$2:$C$70,2,FALSE)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up'!$A$2:$C$70,3,FALSE)</f>
        <v>Cash</v>
      </c>
      <c r="J2518" s="5">
        <f>VLOOKUP(F2518,'Set up'!$A$2:$D$70,4,FALSE)</f>
        <v>0</v>
      </c>
      <c r="K2518" s="4">
        <f t="shared" si="647"/>
        <v>45297</v>
      </c>
      <c r="L2518" s="5">
        <f t="shared" si="648"/>
        <v>1</v>
      </c>
      <c r="M2518" s="5">
        <f t="shared" si="649"/>
        <v>2024</v>
      </c>
      <c r="N2518" s="6">
        <v>853.2</v>
      </c>
      <c r="O2518" s="6">
        <f t="shared" si="653"/>
        <v>-853.2</v>
      </c>
      <c r="P2518" s="6">
        <f t="shared" si="654"/>
        <v>0</v>
      </c>
      <c r="Q2518" s="7">
        <f t="shared" si="641"/>
        <v>4095942.350000002</v>
      </c>
      <c r="R2518" s="44" t="str">
        <f>VLOOKUP(F2518,'Set up'!$A$2:$E$70,5,FALSE)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645"/>
        <v>1</v>
      </c>
      <c r="C2519" s="5">
        <f t="shared" si="646"/>
        <v>2024</v>
      </c>
      <c r="D2519" s="5" t="s">
        <v>2273</v>
      </c>
      <c r="E2519" s="5" t="str">
        <f>VLOOKUP(F2519,'Set up'!$A$2:$C$70,2,FALSE)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up'!$A$2:$C$70,3,FALSE)</f>
        <v>Cash</v>
      </c>
      <c r="J2519" s="5">
        <f>VLOOKUP(F2519,'Set up'!$A$2:$D$70,4,FALSE)</f>
        <v>0</v>
      </c>
      <c r="K2519" s="4">
        <f t="shared" si="647"/>
        <v>45297</v>
      </c>
      <c r="L2519" s="5">
        <f t="shared" si="648"/>
        <v>1</v>
      </c>
      <c r="M2519" s="5">
        <f t="shared" si="649"/>
        <v>2024</v>
      </c>
      <c r="N2519" s="6">
        <v>480</v>
      </c>
      <c r="O2519" s="6">
        <f t="shared" si="653"/>
        <v>-480</v>
      </c>
      <c r="P2519" s="6">
        <f t="shared" si="654"/>
        <v>0</v>
      </c>
      <c r="Q2519" s="7">
        <f t="shared" si="641"/>
        <v>4096422.350000002</v>
      </c>
      <c r="R2519" s="44" t="str">
        <f>VLOOKUP(F2519,'Set up'!$A$2:$E$70,5,FALSE)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645"/>
        <v>1</v>
      </c>
      <c r="C2520" s="5">
        <f t="shared" si="646"/>
        <v>2024</v>
      </c>
      <c r="D2520" s="5" t="s">
        <v>2273</v>
      </c>
      <c r="E2520" s="5" t="str">
        <f>VLOOKUP(F2520,'Set up'!$A$2:$C$70,2,FALSE)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up'!$A$2:$C$70,3,FALSE)</f>
        <v>Cash</v>
      </c>
      <c r="J2520" s="5">
        <f>VLOOKUP(F2520,'Set up'!$A$2:$D$70,4,FALSE)</f>
        <v>0</v>
      </c>
      <c r="K2520" s="4">
        <f t="shared" si="647"/>
        <v>45297</v>
      </c>
      <c r="L2520" s="5">
        <f t="shared" si="648"/>
        <v>1</v>
      </c>
      <c r="M2520" s="5">
        <f t="shared" si="649"/>
        <v>2024</v>
      </c>
      <c r="N2520" s="6">
        <v>650</v>
      </c>
      <c r="O2520" s="6">
        <f t="shared" si="653"/>
        <v>-650</v>
      </c>
      <c r="P2520" s="6">
        <f t="shared" si="654"/>
        <v>0</v>
      </c>
      <c r="Q2520" s="7">
        <f t="shared" si="641"/>
        <v>4097072.350000002</v>
      </c>
      <c r="R2520" s="44" t="str">
        <f>VLOOKUP(F2520,'Set up'!$A$2:$E$70,5,FALSE)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645"/>
        <v>1</v>
      </c>
      <c r="C2521" s="5">
        <f t="shared" si="646"/>
        <v>2024</v>
      </c>
      <c r="D2521" s="5" t="s">
        <v>2273</v>
      </c>
      <c r="E2521" s="5" t="str">
        <f>VLOOKUP(F2521,'Set up'!$A$2:$C$70,2,FALSE)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up'!$A$2:$C$70,3,FALSE)</f>
        <v>Cash</v>
      </c>
      <c r="J2521" s="5">
        <f>VLOOKUP(F2521,'Set up'!$A$2:$D$70,4,FALSE)</f>
        <v>0</v>
      </c>
      <c r="K2521" s="4">
        <f t="shared" si="647"/>
        <v>45297</v>
      </c>
      <c r="L2521" s="5">
        <f t="shared" si="648"/>
        <v>1</v>
      </c>
      <c r="M2521" s="5">
        <f t="shared" si="649"/>
        <v>2024</v>
      </c>
      <c r="N2521" s="6">
        <v>54</v>
      </c>
      <c r="O2521" s="6">
        <f t="shared" si="653"/>
        <v>-54</v>
      </c>
      <c r="P2521" s="6">
        <f t="shared" si="654"/>
        <v>0</v>
      </c>
      <c r="Q2521" s="7">
        <f t="shared" si="641"/>
        <v>4097126.350000002</v>
      </c>
      <c r="R2521" s="44" t="str">
        <f>VLOOKUP(F2521,'Set up'!$A$2:$E$70,5,FALSE)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645"/>
        <v>1</v>
      </c>
      <c r="C2522" s="5">
        <f t="shared" si="646"/>
        <v>2024</v>
      </c>
      <c r="D2522" s="5" t="s">
        <v>2273</v>
      </c>
      <c r="E2522" s="5" t="str">
        <f>VLOOKUP(F2522,'Set up'!$A$2:$C$70,2,FALSE)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up'!$A$2:$C$70,3,FALSE)</f>
        <v>Cash</v>
      </c>
      <c r="J2522" s="5">
        <f>VLOOKUP(F2522,'Set up'!$A$2:$D$70,4,FALSE)</f>
        <v>0</v>
      </c>
      <c r="K2522" s="4">
        <f t="shared" si="647"/>
        <v>45297</v>
      </c>
      <c r="L2522" s="5">
        <f t="shared" si="648"/>
        <v>1</v>
      </c>
      <c r="M2522" s="5">
        <f t="shared" si="649"/>
        <v>2024</v>
      </c>
      <c r="N2522" s="6">
        <v>283.8</v>
      </c>
      <c r="O2522" s="6">
        <f t="shared" si="653"/>
        <v>-283.8</v>
      </c>
      <c r="P2522" s="6">
        <f t="shared" si="654"/>
        <v>0</v>
      </c>
      <c r="Q2522" s="7">
        <f t="shared" si="641"/>
        <v>4097410.1500000018</v>
      </c>
      <c r="R2522" s="44" t="str">
        <f>VLOOKUP(F2522,'Set up'!$A$2:$E$70,5,FALSE)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645"/>
        <v>1</v>
      </c>
      <c r="C2523" s="5">
        <f t="shared" si="646"/>
        <v>2024</v>
      </c>
      <c r="D2523" s="5" t="s">
        <v>2273</v>
      </c>
      <c r="E2523" s="5" t="str">
        <f>VLOOKUP(F2523,'Set up'!$A$2:$C$70,2,FALSE)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up'!$A$2:$C$70,3,FALSE)</f>
        <v>Cash</v>
      </c>
      <c r="J2523" s="5">
        <f>VLOOKUP(F2523,'Set up'!$A$2:$D$70,4,FALSE)</f>
        <v>0</v>
      </c>
      <c r="K2523" s="4">
        <f t="shared" si="647"/>
        <v>45297</v>
      </c>
      <c r="L2523" s="5">
        <f t="shared" si="648"/>
        <v>1</v>
      </c>
      <c r="M2523" s="5">
        <f t="shared" si="649"/>
        <v>2024</v>
      </c>
      <c r="N2523" s="6">
        <v>220</v>
      </c>
      <c r="O2523" s="6">
        <f t="shared" si="653"/>
        <v>-220</v>
      </c>
      <c r="P2523" s="6">
        <f t="shared" si="654"/>
        <v>0</v>
      </c>
      <c r="Q2523" s="7">
        <f t="shared" si="641"/>
        <v>4097630.1500000018</v>
      </c>
      <c r="R2523" s="44" t="str">
        <f>VLOOKUP(F2523,'Set up'!$A$2:$E$70,5,FALSE)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645"/>
        <v>1</v>
      </c>
      <c r="C2524" s="5">
        <f t="shared" si="646"/>
        <v>2024</v>
      </c>
      <c r="D2524" s="5" t="s">
        <v>2273</v>
      </c>
      <c r="E2524" s="5" t="str">
        <f>VLOOKUP(F2524,'Set up'!$A$2:$C$70,2,FALSE)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up'!$A$2:$C$70,3,FALSE)</f>
        <v>Cash</v>
      </c>
      <c r="J2524" s="5">
        <f>VLOOKUP(F2524,'Set up'!$A$2:$D$70,4,FALSE)</f>
        <v>0</v>
      </c>
      <c r="K2524" s="4">
        <f t="shared" si="647"/>
        <v>45297</v>
      </c>
      <c r="L2524" s="5">
        <f t="shared" si="648"/>
        <v>1</v>
      </c>
      <c r="M2524" s="5">
        <f t="shared" si="649"/>
        <v>2024</v>
      </c>
      <c r="N2524" s="6">
        <v>424.8</v>
      </c>
      <c r="O2524" s="6">
        <f t="shared" si="653"/>
        <v>-424.8</v>
      </c>
      <c r="P2524" s="6">
        <f t="shared" si="654"/>
        <v>0</v>
      </c>
      <c r="Q2524" s="7">
        <f t="shared" si="641"/>
        <v>4098054.9500000016</v>
      </c>
      <c r="R2524" s="44" t="str">
        <f>VLOOKUP(F2524,'Set up'!$A$2:$E$70,5,FALSE)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645"/>
        <v>1</v>
      </c>
      <c r="C2525" s="5">
        <f t="shared" si="646"/>
        <v>2024</v>
      </c>
      <c r="D2525" s="5" t="s">
        <v>2274</v>
      </c>
      <c r="E2525" s="5" t="str">
        <f>VLOOKUP(F2525,'Set up'!$A$2:$C$70,2,FALSE)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up'!$A$2:$C$70,3,FALSE)</f>
        <v>60</v>
      </c>
      <c r="J2525" s="5">
        <f>VLOOKUP(F2525,'Set up'!$A$2:$D$70,4,FALSE)</f>
        <v>60</v>
      </c>
      <c r="K2525" s="4">
        <f t="shared" si="647"/>
        <v>45359</v>
      </c>
      <c r="L2525" s="5">
        <f t="shared" si="648"/>
        <v>3</v>
      </c>
      <c r="M2525" s="5">
        <f t="shared" si="649"/>
        <v>2024</v>
      </c>
      <c r="N2525" s="6">
        <v>3212</v>
      </c>
      <c r="O2525" s="6">
        <f t="shared" si="653"/>
        <v>-3212</v>
      </c>
      <c r="P2525" s="6">
        <f t="shared" si="654"/>
        <v>0</v>
      </c>
      <c r="Q2525" s="7">
        <f t="shared" si="641"/>
        <v>4101266.9500000016</v>
      </c>
      <c r="R2525" s="44" t="str">
        <f>VLOOKUP(F2525,'Set up'!$A$2:$E$70,5,FALSE)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645"/>
        <v>1</v>
      </c>
      <c r="C2526" s="5">
        <f t="shared" si="646"/>
        <v>2024</v>
      </c>
      <c r="D2526" s="5" t="s">
        <v>2274</v>
      </c>
      <c r="E2526" s="5" t="str">
        <f>VLOOKUP(F2526,'Set up'!$A$2:$C$70,2,FALSE)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up'!$A$2:$C$70,3,FALSE)</f>
        <v>60</v>
      </c>
      <c r="J2526" s="5">
        <f>VLOOKUP(F2526,'Set up'!$A$2:$D$70,4,FALSE)</f>
        <v>60</v>
      </c>
      <c r="K2526" s="4">
        <f t="shared" si="647"/>
        <v>45359</v>
      </c>
      <c r="L2526" s="5">
        <f t="shared" si="648"/>
        <v>3</v>
      </c>
      <c r="M2526" s="5">
        <f t="shared" si="649"/>
        <v>2024</v>
      </c>
      <c r="N2526" s="6">
        <v>1606</v>
      </c>
      <c r="O2526" s="6">
        <f t="shared" si="653"/>
        <v>-1606</v>
      </c>
      <c r="P2526" s="6">
        <f t="shared" si="654"/>
        <v>0</v>
      </c>
      <c r="Q2526" s="7">
        <f t="shared" si="641"/>
        <v>4102872.9500000016</v>
      </c>
      <c r="R2526" s="44" t="str">
        <f>VLOOKUP(F2526,'Set up'!$A$2:$E$70,5,FALSE)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645"/>
        <v>1</v>
      </c>
      <c r="C2527" s="5">
        <f t="shared" si="646"/>
        <v>2024</v>
      </c>
      <c r="D2527" s="5" t="s">
        <v>2274</v>
      </c>
      <c r="E2527" s="5" t="str">
        <f>VLOOKUP(F2527,'Set up'!$A$2:$C$70,2,FALSE)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up'!$A$2:$C$70,3,FALSE)</f>
        <v>60</v>
      </c>
      <c r="J2527" s="5">
        <f>VLOOKUP(F2527,'Set up'!$A$2:$D$70,4,FALSE)</f>
        <v>60</v>
      </c>
      <c r="K2527" s="4">
        <f t="shared" si="647"/>
        <v>45359</v>
      </c>
      <c r="L2527" s="5">
        <f t="shared" si="648"/>
        <v>3</v>
      </c>
      <c r="M2527" s="5">
        <f t="shared" si="649"/>
        <v>2024</v>
      </c>
      <c r="N2527" s="6">
        <v>626.4</v>
      </c>
      <c r="O2527" s="6">
        <f t="shared" si="653"/>
        <v>-626.4</v>
      </c>
      <c r="P2527" s="6">
        <f t="shared" si="654"/>
        <v>0</v>
      </c>
      <c r="Q2527" s="7">
        <f t="shared" si="641"/>
        <v>4103499.3500000015</v>
      </c>
      <c r="R2527" s="44" t="str">
        <f>VLOOKUP(F2527,'Set up'!$A$2:$E$70,5,FALSE)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645"/>
        <v>1</v>
      </c>
      <c r="C2528" s="5">
        <f t="shared" si="646"/>
        <v>2024</v>
      </c>
      <c r="D2528" s="5" t="s">
        <v>2274</v>
      </c>
      <c r="E2528" s="5" t="str">
        <f>VLOOKUP(F2528,'Set up'!$A$2:$C$70,2,FALSE)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up'!$A$2:$C$70,3,FALSE)</f>
        <v>60</v>
      </c>
      <c r="J2528" s="5">
        <f>VLOOKUP(F2528,'Set up'!$A$2:$D$70,4,FALSE)</f>
        <v>60</v>
      </c>
      <c r="K2528" s="4">
        <f t="shared" si="647"/>
        <v>45359</v>
      </c>
      <c r="L2528" s="5">
        <f t="shared" si="648"/>
        <v>3</v>
      </c>
      <c r="M2528" s="5">
        <f t="shared" si="649"/>
        <v>2024</v>
      </c>
      <c r="N2528" s="6">
        <v>626.4</v>
      </c>
      <c r="O2528" s="6">
        <f t="shared" si="653"/>
        <v>-626.4</v>
      </c>
      <c r="P2528" s="6">
        <f t="shared" si="654"/>
        <v>0</v>
      </c>
      <c r="Q2528" s="7">
        <f t="shared" ref="Q2528:Q2591" si="655">SUM(Q2527+N2528)</f>
        <v>4104125.7500000014</v>
      </c>
      <c r="R2528" s="44" t="str">
        <f>VLOOKUP(F2528,'Set up'!$A$2:$E$70,5,FALSE)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645"/>
        <v>1</v>
      </c>
      <c r="C2529" s="5">
        <f t="shared" si="646"/>
        <v>2024</v>
      </c>
      <c r="D2529" s="5" t="s">
        <v>2274</v>
      </c>
      <c r="E2529" s="5" t="str">
        <f>VLOOKUP(F2529,'Set up'!$A$2:$C$70,2,FALSE)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up'!$A$2:$C$70,3,FALSE)</f>
        <v>60</v>
      </c>
      <c r="J2529" s="5">
        <f>VLOOKUP(F2529,'Set up'!$A$2:$D$70,4,FALSE)</f>
        <v>60</v>
      </c>
      <c r="K2529" s="4">
        <f t="shared" si="647"/>
        <v>45359</v>
      </c>
      <c r="L2529" s="5">
        <f t="shared" si="648"/>
        <v>3</v>
      </c>
      <c r="M2529" s="5">
        <f t="shared" si="649"/>
        <v>2024</v>
      </c>
      <c r="N2529" s="6">
        <v>220</v>
      </c>
      <c r="O2529" s="6">
        <f t="shared" si="653"/>
        <v>-220</v>
      </c>
      <c r="P2529" s="6">
        <f t="shared" si="654"/>
        <v>0</v>
      </c>
      <c r="Q2529" s="7">
        <f t="shared" si="655"/>
        <v>4104345.7500000014</v>
      </c>
      <c r="R2529" s="44" t="str">
        <f>VLOOKUP(F2529,'Set up'!$A$2:$E$70,5,FALSE)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645"/>
        <v>1</v>
      </c>
      <c r="C2530" s="5">
        <f t="shared" si="646"/>
        <v>2024</v>
      </c>
      <c r="D2530" s="5" t="s">
        <v>2275</v>
      </c>
      <c r="E2530" s="5" t="str">
        <f>VLOOKUP(F2530,'Set up'!$A$2:$C$70,2,FALSE)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up'!$A$2:$C$70,3,FALSE)</f>
        <v>Cash</v>
      </c>
      <c r="J2530" s="5">
        <f>VLOOKUP(F2530,'Set up'!$A$2:$D$70,4,FALSE)</f>
        <v>0</v>
      </c>
      <c r="K2530" s="4">
        <f t="shared" si="647"/>
        <v>45300</v>
      </c>
      <c r="L2530" s="5">
        <f t="shared" si="648"/>
        <v>1</v>
      </c>
      <c r="M2530" s="5">
        <f t="shared" si="649"/>
        <v>2024</v>
      </c>
      <c r="N2530" s="6">
        <v>1606</v>
      </c>
      <c r="O2530" s="6">
        <f t="shared" ref="O2530:O2534" si="656">-N2530</f>
        <v>-1606</v>
      </c>
      <c r="P2530" s="6">
        <f t="shared" si="654"/>
        <v>0</v>
      </c>
      <c r="Q2530" s="7">
        <f t="shared" si="655"/>
        <v>4105951.7500000014</v>
      </c>
      <c r="R2530" s="44" t="str">
        <f>VLOOKUP(F2530,'Set up'!$A$2:$E$70,5,FALSE)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645"/>
        <v>1</v>
      </c>
      <c r="C2531" s="5">
        <f t="shared" si="646"/>
        <v>2024</v>
      </c>
      <c r="D2531" s="5" t="s">
        <v>2275</v>
      </c>
      <c r="E2531" s="5" t="str">
        <f>VLOOKUP(F2531,'Set up'!$A$2:$C$70,2,FALSE)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up'!$A$2:$C$70,3,FALSE)</f>
        <v>Cash</v>
      </c>
      <c r="J2531" s="5">
        <f>VLOOKUP(F2531,'Set up'!$A$2:$D$70,4,FALSE)</f>
        <v>0</v>
      </c>
      <c r="K2531" s="4">
        <f t="shared" si="647"/>
        <v>45300</v>
      </c>
      <c r="L2531" s="5">
        <f t="shared" si="648"/>
        <v>1</v>
      </c>
      <c r="M2531" s="5">
        <f t="shared" si="649"/>
        <v>2024</v>
      </c>
      <c r="N2531" s="6">
        <v>630</v>
      </c>
      <c r="O2531" s="6">
        <f t="shared" si="656"/>
        <v>-630</v>
      </c>
      <c r="P2531" s="6">
        <f t="shared" si="654"/>
        <v>0</v>
      </c>
      <c r="Q2531" s="7">
        <f t="shared" si="655"/>
        <v>4106581.7500000014</v>
      </c>
      <c r="R2531" s="44" t="str">
        <f>VLOOKUP(F2531,'Set up'!$A$2:$E$70,5,FALSE)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645"/>
        <v>1</v>
      </c>
      <c r="C2532" s="5">
        <f t="shared" si="646"/>
        <v>2024</v>
      </c>
      <c r="D2532" s="5" t="s">
        <v>2276</v>
      </c>
      <c r="E2532" s="5" t="str">
        <f>VLOOKUP(F2532,'Set up'!$A$2:$C$70,2,FALSE)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up'!$A$2:$C$70,3,FALSE)</f>
        <v>Cash</v>
      </c>
      <c r="J2532" s="5">
        <f>VLOOKUP(F2532,'Set up'!$A$2:$D$70,4,FALSE)</f>
        <v>0</v>
      </c>
      <c r="K2532" s="4">
        <f t="shared" si="647"/>
        <v>45301</v>
      </c>
      <c r="L2532" s="5">
        <f t="shared" si="648"/>
        <v>1</v>
      </c>
      <c r="M2532" s="5">
        <f t="shared" si="649"/>
        <v>2024</v>
      </c>
      <c r="N2532" s="6">
        <v>1738</v>
      </c>
      <c r="O2532" s="6">
        <f t="shared" si="656"/>
        <v>-1738</v>
      </c>
      <c r="P2532" s="6">
        <f t="shared" si="654"/>
        <v>0</v>
      </c>
      <c r="Q2532" s="7">
        <f t="shared" si="655"/>
        <v>4108319.7500000014</v>
      </c>
      <c r="R2532" s="44" t="str">
        <f>VLOOKUP(F2532,'Set up'!$A$2:$E$70,5,FALSE)</f>
        <v>Trsf</v>
      </c>
      <c r="S2532" s="1" t="s">
        <v>3438</v>
      </c>
    </row>
    <row r="2533" spans="1:19" ht="15" customHeight="1" x14ac:dyDescent="0.35">
      <c r="A2533" s="4">
        <v>45301</v>
      </c>
      <c r="B2533" s="5">
        <f t="shared" si="645"/>
        <v>1</v>
      </c>
      <c r="C2533" s="5">
        <f t="shared" si="646"/>
        <v>2024</v>
      </c>
      <c r="D2533" s="5" t="s">
        <v>2276</v>
      </c>
      <c r="E2533" s="5" t="str">
        <f>VLOOKUP(F2533,'Set up'!$A$2:$C$70,2,FALSE)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up'!$A$2:$C$70,3,FALSE)</f>
        <v>Cash</v>
      </c>
      <c r="J2533" s="5">
        <f>VLOOKUP(F2533,'Set up'!$A$2:$D$70,4,FALSE)</f>
        <v>0</v>
      </c>
      <c r="K2533" s="4">
        <f t="shared" si="647"/>
        <v>45301</v>
      </c>
      <c r="L2533" s="5">
        <f t="shared" si="648"/>
        <v>1</v>
      </c>
      <c r="M2533" s="5">
        <f t="shared" si="649"/>
        <v>2024</v>
      </c>
      <c r="N2533" s="6">
        <v>150</v>
      </c>
      <c r="O2533" s="6">
        <f t="shared" si="656"/>
        <v>-150</v>
      </c>
      <c r="P2533" s="6">
        <f t="shared" si="654"/>
        <v>0</v>
      </c>
      <c r="Q2533" s="7">
        <f t="shared" si="655"/>
        <v>4108469.7500000014</v>
      </c>
      <c r="R2533" s="44" t="str">
        <f>VLOOKUP(F2533,'Set up'!$A$2:$E$70,5,FALSE)</f>
        <v>Trsf</v>
      </c>
      <c r="S2533" s="1" t="s">
        <v>3439</v>
      </c>
    </row>
    <row r="2534" spans="1:19" ht="15" customHeight="1" x14ac:dyDescent="0.35">
      <c r="A2534" s="4">
        <v>45301</v>
      </c>
      <c r="B2534" s="5">
        <f t="shared" si="645"/>
        <v>1</v>
      </c>
      <c r="C2534" s="5">
        <f t="shared" si="646"/>
        <v>2024</v>
      </c>
      <c r="D2534" s="5" t="s">
        <v>2276</v>
      </c>
      <c r="E2534" s="5" t="str">
        <f>VLOOKUP(F2534,'Set up'!$A$2:$C$70,2,FALSE)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up'!$A$2:$C$70,3,FALSE)</f>
        <v>Cash</v>
      </c>
      <c r="J2534" s="5">
        <f>VLOOKUP(F2534,'Set up'!$A$2:$D$70,4,FALSE)</f>
        <v>0</v>
      </c>
      <c r="K2534" s="4">
        <f t="shared" si="647"/>
        <v>45301</v>
      </c>
      <c r="L2534" s="5">
        <f t="shared" si="648"/>
        <v>1</v>
      </c>
      <c r="M2534" s="5">
        <f t="shared" si="649"/>
        <v>2024</v>
      </c>
      <c r="N2534" s="6">
        <v>187.5</v>
      </c>
      <c r="O2534" s="6">
        <f t="shared" si="656"/>
        <v>-187.5</v>
      </c>
      <c r="P2534" s="6">
        <f t="shared" si="654"/>
        <v>0</v>
      </c>
      <c r="Q2534" s="7">
        <f t="shared" si="655"/>
        <v>4108657.2500000014</v>
      </c>
      <c r="R2534" s="44" t="str">
        <f>VLOOKUP(F2534,'Set up'!$A$2:$E$70,5,FALSE)</f>
        <v>Trsf</v>
      </c>
      <c r="S2534" s="1" t="s">
        <v>3440</v>
      </c>
    </row>
    <row r="2535" spans="1:19" ht="15" customHeight="1" x14ac:dyDescent="0.35">
      <c r="A2535" s="4">
        <v>45301</v>
      </c>
      <c r="B2535" s="5">
        <f t="shared" si="645"/>
        <v>1</v>
      </c>
      <c r="C2535" s="5">
        <f t="shared" si="646"/>
        <v>2024</v>
      </c>
      <c r="D2535" s="5" t="s">
        <v>2277</v>
      </c>
      <c r="E2535" s="5" t="str">
        <f>VLOOKUP(F2535,'Set up'!$A$2:$C$70,2,FALSE)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up'!$A$2:$C$70,3,FALSE)</f>
        <v>Cash</v>
      </c>
      <c r="J2535" s="5">
        <f>VLOOKUP(F2535,'Set up'!$A$2:$D$70,4,FALSE)</f>
        <v>0</v>
      </c>
      <c r="K2535" s="4">
        <f t="shared" si="647"/>
        <v>45301</v>
      </c>
      <c r="L2535" s="5">
        <f t="shared" si="648"/>
        <v>1</v>
      </c>
      <c r="M2535" s="5">
        <f t="shared" si="649"/>
        <v>2024</v>
      </c>
      <c r="N2535" s="6">
        <v>187.5</v>
      </c>
      <c r="O2535" s="6">
        <f t="shared" ref="O2535:O2540" si="657">-N2535</f>
        <v>-187.5</v>
      </c>
      <c r="P2535" s="6">
        <f t="shared" si="654"/>
        <v>0</v>
      </c>
      <c r="Q2535" s="7">
        <f t="shared" si="655"/>
        <v>4108844.7500000014</v>
      </c>
      <c r="R2535" s="44" t="str">
        <f>VLOOKUP(F2535,'Set up'!$A$2:$E$70,5,FALSE)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645"/>
        <v>1</v>
      </c>
      <c r="C2536" s="5">
        <f t="shared" si="646"/>
        <v>2024</v>
      </c>
      <c r="D2536" s="5" t="s">
        <v>2278</v>
      </c>
      <c r="E2536" s="5" t="str">
        <f>VLOOKUP(F2536,'Set up'!$A$2:$C$70,2,FALSE)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up'!$A$2:$C$70,3,FALSE)</f>
        <v>Cash</v>
      </c>
      <c r="J2536" s="5">
        <f>VLOOKUP(F2536,'Set up'!$A$2:$D$70,4,FALSE)</f>
        <v>0</v>
      </c>
      <c r="K2536" s="4">
        <f t="shared" si="647"/>
        <v>45301</v>
      </c>
      <c r="L2536" s="5">
        <f t="shared" si="648"/>
        <v>1</v>
      </c>
      <c r="M2536" s="5">
        <f t="shared" si="649"/>
        <v>2024</v>
      </c>
      <c r="N2536" s="6">
        <v>9636</v>
      </c>
      <c r="O2536" s="6">
        <f t="shared" si="657"/>
        <v>-9636</v>
      </c>
      <c r="P2536" s="6">
        <f t="shared" si="654"/>
        <v>0</v>
      </c>
      <c r="Q2536" s="7">
        <f t="shared" si="655"/>
        <v>4118480.7500000014</v>
      </c>
      <c r="R2536" s="44" t="str">
        <f>VLOOKUP(F2536,'Set up'!$A$2:$E$70,5,FALSE)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645"/>
        <v>1</v>
      </c>
      <c r="C2537" s="5">
        <f t="shared" si="646"/>
        <v>2024</v>
      </c>
      <c r="D2537" s="5" t="s">
        <v>2278</v>
      </c>
      <c r="E2537" s="5" t="str">
        <f>VLOOKUP(F2537,'Set up'!$A$2:$C$70,2,FALSE)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up'!$A$2:$C$70,3,FALSE)</f>
        <v>Cash</v>
      </c>
      <c r="J2537" s="5">
        <f>VLOOKUP(F2537,'Set up'!$A$2:$D$70,4,FALSE)</f>
        <v>0</v>
      </c>
      <c r="K2537" s="4">
        <f t="shared" si="647"/>
        <v>45301</v>
      </c>
      <c r="L2537" s="5">
        <f t="shared" si="648"/>
        <v>1</v>
      </c>
      <c r="M2537" s="5">
        <f t="shared" si="649"/>
        <v>2024</v>
      </c>
      <c r="N2537" s="6">
        <v>1073</v>
      </c>
      <c r="O2537" s="6">
        <f t="shared" si="657"/>
        <v>-1073</v>
      </c>
      <c r="P2537" s="6">
        <f t="shared" si="654"/>
        <v>0</v>
      </c>
      <c r="Q2537" s="7">
        <f t="shared" si="655"/>
        <v>4119553.7500000014</v>
      </c>
      <c r="R2537" s="44" t="str">
        <f>VLOOKUP(F2537,'Set up'!$A$2:$E$70,5,FALSE)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645"/>
        <v>1</v>
      </c>
      <c r="C2538" s="5">
        <f t="shared" si="646"/>
        <v>2024</v>
      </c>
      <c r="D2538" s="5" t="s">
        <v>2278</v>
      </c>
      <c r="E2538" s="5" t="str">
        <f>VLOOKUP(F2538,'Set up'!$A$2:$C$70,2,FALSE)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up'!$A$2:$C$70,3,FALSE)</f>
        <v>Cash</v>
      </c>
      <c r="J2538" s="5">
        <f>VLOOKUP(F2538,'Set up'!$A$2:$D$70,4,FALSE)</f>
        <v>0</v>
      </c>
      <c r="K2538" s="4">
        <f t="shared" si="647"/>
        <v>45301</v>
      </c>
      <c r="L2538" s="5">
        <f t="shared" si="648"/>
        <v>1</v>
      </c>
      <c r="M2538" s="5">
        <f t="shared" si="649"/>
        <v>2024</v>
      </c>
      <c r="N2538" s="6">
        <v>1740</v>
      </c>
      <c r="O2538" s="6">
        <f t="shared" si="657"/>
        <v>-1740</v>
      </c>
      <c r="P2538" s="6">
        <f t="shared" si="654"/>
        <v>0</v>
      </c>
      <c r="Q2538" s="7">
        <f t="shared" si="655"/>
        <v>4121293.7500000014</v>
      </c>
      <c r="R2538" s="44" t="str">
        <f>VLOOKUP(F2538,'Set up'!$A$2:$E$70,5,FALSE)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645"/>
        <v>1</v>
      </c>
      <c r="C2539" s="5">
        <f t="shared" si="646"/>
        <v>2024</v>
      </c>
      <c r="D2539" s="5" t="s">
        <v>2278</v>
      </c>
      <c r="E2539" s="5" t="str">
        <f>VLOOKUP(F2539,'Set up'!$A$2:$C$70,2,FALSE)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up'!$A$2:$C$70,3,FALSE)</f>
        <v>Cash</v>
      </c>
      <c r="J2539" s="5">
        <f>VLOOKUP(F2539,'Set up'!$A$2:$D$70,4,FALSE)</f>
        <v>0</v>
      </c>
      <c r="K2539" s="4">
        <f t="shared" si="647"/>
        <v>45301</v>
      </c>
      <c r="L2539" s="5">
        <f t="shared" si="648"/>
        <v>1</v>
      </c>
      <c r="M2539" s="5">
        <f t="shared" si="649"/>
        <v>2024</v>
      </c>
      <c r="N2539" s="6">
        <v>1638</v>
      </c>
      <c r="O2539" s="6">
        <f t="shared" si="657"/>
        <v>-1638</v>
      </c>
      <c r="P2539" s="6">
        <f t="shared" si="654"/>
        <v>0</v>
      </c>
      <c r="Q2539" s="7">
        <f t="shared" si="655"/>
        <v>4122931.7500000014</v>
      </c>
      <c r="R2539" s="44" t="str">
        <f>VLOOKUP(F2539,'Set up'!$A$2:$E$70,5,FALSE)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645"/>
        <v>1</v>
      </c>
      <c r="C2540" s="5">
        <f t="shared" si="646"/>
        <v>2024</v>
      </c>
      <c r="D2540" s="5" t="s">
        <v>2278</v>
      </c>
      <c r="E2540" s="5" t="str">
        <f>VLOOKUP(F2540,'Set up'!$A$2:$C$70,2,FALSE)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up'!$A$2:$C$70,3,FALSE)</f>
        <v>Cash</v>
      </c>
      <c r="J2540" s="5">
        <f>VLOOKUP(F2540,'Set up'!$A$2:$D$70,4,FALSE)</f>
        <v>0</v>
      </c>
      <c r="K2540" s="4">
        <f t="shared" si="647"/>
        <v>45301</v>
      </c>
      <c r="L2540" s="5">
        <f t="shared" si="648"/>
        <v>1</v>
      </c>
      <c r="M2540" s="5">
        <f t="shared" si="649"/>
        <v>2024</v>
      </c>
      <c r="N2540" s="6">
        <v>1000</v>
      </c>
      <c r="O2540" s="6">
        <f t="shared" si="657"/>
        <v>-1000</v>
      </c>
      <c r="P2540" s="6">
        <f t="shared" si="654"/>
        <v>0</v>
      </c>
      <c r="Q2540" s="7">
        <f t="shared" si="655"/>
        <v>4123931.7500000014</v>
      </c>
      <c r="R2540" s="44" t="str">
        <f>VLOOKUP(F2540,'Set up'!$A$2:$E$70,5,FALSE)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645"/>
        <v>1</v>
      </c>
      <c r="C2541" s="5">
        <f t="shared" si="646"/>
        <v>2024</v>
      </c>
      <c r="D2541" s="5" t="s">
        <v>2280</v>
      </c>
      <c r="E2541" s="5" t="str">
        <f>VLOOKUP(F2541,'Set up'!$A$2:$C$70,2,FALSE)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up'!$A$2:$C$70,3,FALSE)</f>
        <v>120</v>
      </c>
      <c r="J2541" s="5">
        <f>VLOOKUP(F2541,'Set up'!$A$2:$D$70,4,FALSE)</f>
        <v>120</v>
      </c>
      <c r="K2541" s="4">
        <f t="shared" si="647"/>
        <v>45423</v>
      </c>
      <c r="L2541" s="5">
        <f t="shared" si="648"/>
        <v>5</v>
      </c>
      <c r="M2541" s="5">
        <f t="shared" si="649"/>
        <v>2024</v>
      </c>
      <c r="N2541" s="6">
        <v>9636</v>
      </c>
      <c r="O2541" s="6">
        <f t="shared" ref="O2541:O2543" si="658">-N2541</f>
        <v>-9636</v>
      </c>
      <c r="P2541" s="6">
        <f t="shared" si="654"/>
        <v>0</v>
      </c>
      <c r="Q2541" s="7">
        <f t="shared" si="655"/>
        <v>4133567.7500000014</v>
      </c>
      <c r="R2541" s="44" t="str">
        <f>VLOOKUP(F2541,'Set up'!$A$2:$E$70,5,FALSE)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645"/>
        <v>1</v>
      </c>
      <c r="C2542" s="5">
        <f t="shared" si="646"/>
        <v>2024</v>
      </c>
      <c r="D2542" s="5" t="s">
        <v>2280</v>
      </c>
      <c r="E2542" s="5" t="str">
        <f>VLOOKUP(F2542,'Set up'!$A$2:$C$70,2,FALSE)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up'!$A$2:$C$70,3,FALSE)</f>
        <v>120</v>
      </c>
      <c r="J2542" s="5">
        <f>VLOOKUP(F2542,'Set up'!$A$2:$D$70,4,FALSE)</f>
        <v>120</v>
      </c>
      <c r="K2542" s="4">
        <f t="shared" si="647"/>
        <v>45423</v>
      </c>
      <c r="L2542" s="5">
        <f t="shared" si="648"/>
        <v>5</v>
      </c>
      <c r="M2542" s="5">
        <f t="shared" si="649"/>
        <v>2024</v>
      </c>
      <c r="N2542" s="6">
        <v>2146</v>
      </c>
      <c r="O2542" s="6">
        <f t="shared" si="658"/>
        <v>-2146</v>
      </c>
      <c r="P2542" s="6">
        <f t="shared" si="654"/>
        <v>0</v>
      </c>
      <c r="Q2542" s="7">
        <f t="shared" si="655"/>
        <v>4135713.7500000014</v>
      </c>
      <c r="R2542" s="44" t="str">
        <f>VLOOKUP(F2542,'Set up'!$A$2:$E$70,5,FALSE)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645"/>
        <v>1</v>
      </c>
      <c r="C2543" s="5">
        <f t="shared" si="646"/>
        <v>2024</v>
      </c>
      <c r="D2543" s="5" t="s">
        <v>2280</v>
      </c>
      <c r="E2543" s="5" t="str">
        <f>VLOOKUP(F2543,'Set up'!$A$2:$C$70,2,FALSE)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up'!$A$2:$C$70,3,FALSE)</f>
        <v>120</v>
      </c>
      <c r="J2543" s="5">
        <f>VLOOKUP(F2543,'Set up'!$A$2:$D$70,4,FALSE)</f>
        <v>120</v>
      </c>
      <c r="K2543" s="4">
        <f t="shared" si="647"/>
        <v>45423</v>
      </c>
      <c r="L2543" s="5">
        <f t="shared" si="648"/>
        <v>5</v>
      </c>
      <c r="M2543" s="5">
        <f t="shared" si="649"/>
        <v>2024</v>
      </c>
      <c r="N2543" s="6">
        <v>575</v>
      </c>
      <c r="O2543" s="6">
        <f t="shared" si="658"/>
        <v>-575</v>
      </c>
      <c r="P2543" s="6">
        <f t="shared" si="654"/>
        <v>0</v>
      </c>
      <c r="Q2543" s="7">
        <f t="shared" si="655"/>
        <v>4136288.7500000014</v>
      </c>
      <c r="R2543" s="44" t="str">
        <f>VLOOKUP(F2543,'Set up'!$A$2:$E$70,5,FALSE)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645"/>
        <v>1</v>
      </c>
      <c r="C2544" s="5">
        <f t="shared" si="646"/>
        <v>2024</v>
      </c>
      <c r="D2544" s="5" t="s">
        <v>2280</v>
      </c>
      <c r="E2544" s="5" t="str">
        <f>VLOOKUP(F2544,'Set up'!$A$2:$C$70,2,FALSE)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up'!$A$2:$C$70,3,FALSE)</f>
        <v>120</v>
      </c>
      <c r="J2544" s="5">
        <f>VLOOKUP(F2544,'Set up'!$A$2:$D$70,4,FALSE)</f>
        <v>120</v>
      </c>
      <c r="K2544" s="4">
        <f t="shared" si="647"/>
        <v>45423</v>
      </c>
      <c r="L2544" s="5">
        <f t="shared" si="648"/>
        <v>5</v>
      </c>
      <c r="M2544" s="5">
        <f t="shared" si="649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655"/>
        <v>4136728.7500000014</v>
      </c>
      <c r="R2544" s="44" t="str">
        <f>VLOOKUP(F2544,'Set up'!$A$2:$E$70,5,FALSE)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645"/>
        <v>1</v>
      </c>
      <c r="C2545" s="5">
        <f t="shared" si="646"/>
        <v>2024</v>
      </c>
      <c r="D2545" s="5" t="s">
        <v>2281</v>
      </c>
      <c r="E2545" s="5" t="str">
        <f>VLOOKUP(F2545,'Set up'!$A$2:$C$70,2,FALSE)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up'!$A$2:$C$70,3,FALSE)</f>
        <v>Cash</v>
      </c>
      <c r="J2545" s="5">
        <f>VLOOKUP(F2545,'Set up'!$A$2:$D$70,4,FALSE)</f>
        <v>0</v>
      </c>
      <c r="K2545" s="4">
        <f t="shared" si="647"/>
        <v>45306</v>
      </c>
      <c r="L2545" s="5">
        <f t="shared" si="648"/>
        <v>1</v>
      </c>
      <c r="M2545" s="5">
        <f t="shared" si="649"/>
        <v>2024</v>
      </c>
      <c r="N2545" s="6">
        <v>1738</v>
      </c>
      <c r="P2545" s="6">
        <f t="shared" si="654"/>
        <v>1738</v>
      </c>
      <c r="Q2545" s="7">
        <f t="shared" si="655"/>
        <v>4138466.7500000014</v>
      </c>
      <c r="R2545" s="44" t="str">
        <f>VLOOKUP(F2545,'Set up'!$A$2:$E$70,5,FALSE)</f>
        <v>PD Chq</v>
      </c>
    </row>
    <row r="2546" spans="1:19" ht="15" customHeight="1" x14ac:dyDescent="0.35">
      <c r="A2546" s="4">
        <v>45306</v>
      </c>
      <c r="B2546" s="5">
        <f t="shared" si="645"/>
        <v>1</v>
      </c>
      <c r="C2546" s="5">
        <f t="shared" si="646"/>
        <v>2024</v>
      </c>
      <c r="D2546" s="5" t="s">
        <v>2281</v>
      </c>
      <c r="E2546" s="5" t="str">
        <f>VLOOKUP(F2546,'Set up'!$A$2:$C$70,2,FALSE)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up'!$A$2:$C$70,3,FALSE)</f>
        <v>Cash</v>
      </c>
      <c r="J2546" s="5">
        <f>VLOOKUP(F2546,'Set up'!$A$2:$D$70,4,FALSE)</f>
        <v>0</v>
      </c>
      <c r="K2546" s="4">
        <f t="shared" si="647"/>
        <v>45306</v>
      </c>
      <c r="L2546" s="5">
        <f t="shared" si="648"/>
        <v>1</v>
      </c>
      <c r="M2546" s="5">
        <f t="shared" si="649"/>
        <v>2024</v>
      </c>
      <c r="N2546" s="6">
        <v>555</v>
      </c>
      <c r="P2546" s="6">
        <f t="shared" si="654"/>
        <v>555</v>
      </c>
      <c r="Q2546" s="7">
        <f t="shared" si="655"/>
        <v>4139021.7500000014</v>
      </c>
      <c r="R2546" s="44" t="str">
        <f>VLOOKUP(F2546,'Set up'!$A$2:$E$70,5,FALSE)</f>
        <v>PD Chq</v>
      </c>
    </row>
    <row r="2547" spans="1:19" ht="15" customHeight="1" x14ac:dyDescent="0.35">
      <c r="A2547" s="4">
        <v>45306</v>
      </c>
      <c r="B2547" s="5">
        <f t="shared" si="645"/>
        <v>1</v>
      </c>
      <c r="C2547" s="5">
        <f t="shared" si="646"/>
        <v>2024</v>
      </c>
      <c r="D2547" s="5" t="s">
        <v>2281</v>
      </c>
      <c r="E2547" s="5" t="str">
        <f>VLOOKUP(F2547,'Set up'!$A$2:$C$70,2,FALSE)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up'!$A$2:$C$70,3,FALSE)</f>
        <v>Cash</v>
      </c>
      <c r="J2547" s="5">
        <f>VLOOKUP(F2547,'Set up'!$A$2:$D$70,4,FALSE)</f>
        <v>0</v>
      </c>
      <c r="K2547" s="4">
        <f t="shared" si="647"/>
        <v>45306</v>
      </c>
      <c r="L2547" s="5">
        <f t="shared" si="648"/>
        <v>1</v>
      </c>
      <c r="M2547" s="5">
        <f t="shared" si="649"/>
        <v>2024</v>
      </c>
      <c r="N2547" s="6">
        <v>95</v>
      </c>
      <c r="P2547" s="6">
        <f t="shared" si="654"/>
        <v>95</v>
      </c>
      <c r="Q2547" s="7">
        <f t="shared" si="655"/>
        <v>4139116.7500000014</v>
      </c>
      <c r="R2547" s="44" t="str">
        <f>VLOOKUP(F2547,'Set up'!$A$2:$E$70,5,FALSE)</f>
        <v>PD Chq</v>
      </c>
    </row>
    <row r="2548" spans="1:19" ht="15" customHeight="1" x14ac:dyDescent="0.35">
      <c r="A2548" s="4">
        <v>45306</v>
      </c>
      <c r="B2548" s="5">
        <f t="shared" si="645"/>
        <v>1</v>
      </c>
      <c r="C2548" s="5">
        <f t="shared" si="646"/>
        <v>2024</v>
      </c>
      <c r="D2548" s="5" t="s">
        <v>2281</v>
      </c>
      <c r="E2548" s="5" t="str">
        <f>VLOOKUP(F2548,'Set up'!$A$2:$C$70,2,FALSE)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up'!$A$2:$C$70,3,FALSE)</f>
        <v>Cash</v>
      </c>
      <c r="J2548" s="5">
        <f>VLOOKUP(F2548,'Set up'!$A$2:$D$70,4,FALSE)</f>
        <v>0</v>
      </c>
      <c r="K2548" s="4">
        <f t="shared" si="647"/>
        <v>45306</v>
      </c>
      <c r="L2548" s="5">
        <f t="shared" si="648"/>
        <v>1</v>
      </c>
      <c r="M2548" s="5">
        <f t="shared" si="649"/>
        <v>2024</v>
      </c>
      <c r="N2548" s="6">
        <v>312.5</v>
      </c>
      <c r="P2548" s="6">
        <f t="shared" si="654"/>
        <v>312.5</v>
      </c>
      <c r="Q2548" s="7">
        <f t="shared" si="655"/>
        <v>4139429.2500000014</v>
      </c>
      <c r="R2548" s="44" t="str">
        <f>VLOOKUP(F2548,'Set up'!$A$2:$E$70,5,FALSE)</f>
        <v>PD Chq</v>
      </c>
    </row>
    <row r="2549" spans="1:19" ht="15" customHeight="1" x14ac:dyDescent="0.35">
      <c r="A2549" s="4">
        <v>45308</v>
      </c>
      <c r="B2549" s="5">
        <f t="shared" si="645"/>
        <v>1</v>
      </c>
      <c r="C2549" s="5">
        <f t="shared" si="646"/>
        <v>2024</v>
      </c>
      <c r="D2549" s="5" t="s">
        <v>2282</v>
      </c>
      <c r="E2549" s="5" t="str">
        <f>VLOOKUP(F2549,'Set up'!$A$2:$C$70,2,FALSE)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up'!$A$2:$C$70,3,FALSE)</f>
        <v>Cash</v>
      </c>
      <c r="J2549" s="5">
        <f>VLOOKUP(F2549,'Set up'!$A$2:$D$70,4,FALSE)</f>
        <v>0</v>
      </c>
      <c r="K2549" s="4">
        <f t="shared" si="647"/>
        <v>45308</v>
      </c>
      <c r="L2549" s="5">
        <f t="shared" si="648"/>
        <v>1</v>
      </c>
      <c r="M2549" s="5">
        <f t="shared" si="649"/>
        <v>2024</v>
      </c>
      <c r="N2549" s="6">
        <v>405</v>
      </c>
      <c r="O2549" s="6">
        <f>-52.3-352.7</f>
        <v>-405</v>
      </c>
      <c r="P2549" s="6">
        <f t="shared" si="654"/>
        <v>0</v>
      </c>
      <c r="Q2549" s="7">
        <f t="shared" si="655"/>
        <v>4139834.2500000014</v>
      </c>
      <c r="R2549" s="44" t="str">
        <f>VLOOKUP(F2549,'Set up'!$A$2:$E$70,5,FALSE)</f>
        <v>Trsf</v>
      </c>
      <c r="S2549" s="1" t="s">
        <v>3470</v>
      </c>
    </row>
    <row r="2550" spans="1:19" ht="15" customHeight="1" x14ac:dyDescent="0.35">
      <c r="A2550" s="4">
        <v>45308</v>
      </c>
      <c r="B2550" s="5">
        <f t="shared" si="645"/>
        <v>1</v>
      </c>
      <c r="C2550" s="5">
        <f t="shared" si="646"/>
        <v>2024</v>
      </c>
      <c r="D2550" s="5" t="s">
        <v>2282</v>
      </c>
      <c r="E2550" s="5" t="str">
        <f>VLOOKUP(F2550,'Set up'!$A$2:$C$70,2,FALSE)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up'!$A$2:$C$70,3,FALSE)</f>
        <v>Cash</v>
      </c>
      <c r="J2550" s="5">
        <f>VLOOKUP(F2550,'Set up'!$A$2:$D$70,4,FALSE)</f>
        <v>0</v>
      </c>
      <c r="K2550" s="4">
        <f t="shared" si="647"/>
        <v>45308</v>
      </c>
      <c r="L2550" s="5">
        <f t="shared" si="648"/>
        <v>1</v>
      </c>
      <c r="M2550" s="5">
        <f t="shared" si="649"/>
        <v>2024</v>
      </c>
      <c r="N2550" s="6">
        <v>390</v>
      </c>
      <c r="O2550" s="6">
        <f t="shared" ref="O2550" si="659">-N2550</f>
        <v>-390</v>
      </c>
      <c r="P2550" s="6">
        <f t="shared" si="654"/>
        <v>0</v>
      </c>
      <c r="Q2550" s="7">
        <f t="shared" si="655"/>
        <v>4140224.2500000014</v>
      </c>
      <c r="R2550" s="44" t="str">
        <f>VLOOKUP(F2550,'Set up'!$A$2:$E$70,5,FALSE)</f>
        <v>Trsf</v>
      </c>
      <c r="S2550" s="1" t="s">
        <v>3471</v>
      </c>
    </row>
    <row r="2551" spans="1:19" ht="15" customHeight="1" x14ac:dyDescent="0.35">
      <c r="A2551" s="4">
        <v>45311</v>
      </c>
      <c r="B2551" s="5">
        <f t="shared" si="645"/>
        <v>1</v>
      </c>
      <c r="C2551" s="5">
        <f t="shared" si="646"/>
        <v>2024</v>
      </c>
      <c r="D2551" s="5" t="s">
        <v>2283</v>
      </c>
      <c r="E2551" s="5" t="str">
        <f>VLOOKUP(F2551,'Set up'!$A$2:$C$70,2,FALSE)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up'!$A$2:$C$70,3,FALSE)</f>
        <v>Cash</v>
      </c>
      <c r="J2551" s="5">
        <f>VLOOKUP(F2551,'Set up'!$A$2:$D$70,4,FALSE)</f>
        <v>0</v>
      </c>
      <c r="K2551" s="4">
        <f t="shared" si="647"/>
        <v>45311</v>
      </c>
      <c r="L2551" s="5">
        <f t="shared" si="648"/>
        <v>1</v>
      </c>
      <c r="M2551" s="5">
        <f t="shared" si="649"/>
        <v>2024</v>
      </c>
      <c r="N2551" s="6">
        <v>1694</v>
      </c>
      <c r="O2551" s="6">
        <f t="shared" ref="O2551:O2563" si="660">-N2551</f>
        <v>-1694</v>
      </c>
      <c r="P2551" s="6">
        <f t="shared" si="654"/>
        <v>0</v>
      </c>
      <c r="Q2551" s="7">
        <f t="shared" si="655"/>
        <v>4141918.2500000014</v>
      </c>
      <c r="R2551" s="44" t="str">
        <f>VLOOKUP(F2551,'Set up'!$A$2:$E$70,5,FALSE)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645"/>
        <v>1</v>
      </c>
      <c r="C2552" s="5">
        <f t="shared" si="646"/>
        <v>2024</v>
      </c>
      <c r="D2552" s="5" t="s">
        <v>2283</v>
      </c>
      <c r="E2552" s="5" t="str">
        <f>VLOOKUP(F2552,'Set up'!$A$2:$C$70,2,FALSE)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up'!$A$2:$C$70,3,FALSE)</f>
        <v>Cash</v>
      </c>
      <c r="J2552" s="5">
        <f>VLOOKUP(F2552,'Set up'!$A$2:$D$70,4,FALSE)</f>
        <v>0</v>
      </c>
      <c r="K2552" s="4">
        <f t="shared" si="647"/>
        <v>45311</v>
      </c>
      <c r="L2552" s="5">
        <f t="shared" si="648"/>
        <v>1</v>
      </c>
      <c r="M2552" s="5">
        <f t="shared" si="649"/>
        <v>2024</v>
      </c>
      <c r="N2552" s="6">
        <v>675</v>
      </c>
      <c r="O2552" s="6">
        <f t="shared" si="660"/>
        <v>-675</v>
      </c>
      <c r="P2552" s="6">
        <f t="shared" si="654"/>
        <v>0</v>
      </c>
      <c r="Q2552" s="7">
        <f t="shared" si="655"/>
        <v>4142593.2500000014</v>
      </c>
      <c r="R2552" s="44" t="str">
        <f>VLOOKUP(F2552,'Set up'!$A$2:$E$70,5,FALSE)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645"/>
        <v>1</v>
      </c>
      <c r="C2553" s="5">
        <f t="shared" si="646"/>
        <v>2024</v>
      </c>
      <c r="D2553" s="5" t="s">
        <v>2283</v>
      </c>
      <c r="E2553" s="5" t="str">
        <f>VLOOKUP(F2553,'Set up'!$A$2:$C$70,2,FALSE)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up'!$A$2:$C$70,3,FALSE)</f>
        <v>Cash</v>
      </c>
      <c r="J2553" s="5">
        <f>VLOOKUP(F2553,'Set up'!$A$2:$D$70,4,FALSE)</f>
        <v>0</v>
      </c>
      <c r="K2553" s="4">
        <f t="shared" si="647"/>
        <v>45311</v>
      </c>
      <c r="L2553" s="5">
        <f t="shared" si="648"/>
        <v>1</v>
      </c>
      <c r="M2553" s="5">
        <f t="shared" si="649"/>
        <v>2024</v>
      </c>
      <c r="N2553" s="6">
        <v>280</v>
      </c>
      <c r="O2553" s="6">
        <f t="shared" si="660"/>
        <v>-280</v>
      </c>
      <c r="P2553" s="6">
        <f t="shared" si="654"/>
        <v>0</v>
      </c>
      <c r="Q2553" s="7">
        <f t="shared" si="655"/>
        <v>4142873.2500000014</v>
      </c>
      <c r="R2553" s="44" t="str">
        <f>VLOOKUP(F2553,'Set up'!$A$2:$E$70,5,FALSE)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645"/>
        <v>1</v>
      </c>
      <c r="C2554" s="5">
        <f t="shared" si="646"/>
        <v>2024</v>
      </c>
      <c r="D2554" s="5" t="s">
        <v>2283</v>
      </c>
      <c r="E2554" s="5" t="str">
        <f>VLOOKUP(F2554,'Set up'!$A$2:$C$70,2,FALSE)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up'!$A$2:$C$70,3,FALSE)</f>
        <v>Cash</v>
      </c>
      <c r="J2554" s="5">
        <f>VLOOKUP(F2554,'Set up'!$A$2:$D$70,4,FALSE)</f>
        <v>0</v>
      </c>
      <c r="K2554" s="4">
        <f t="shared" si="647"/>
        <v>45311</v>
      </c>
      <c r="L2554" s="5">
        <f t="shared" si="648"/>
        <v>1</v>
      </c>
      <c r="M2554" s="5">
        <f t="shared" si="649"/>
        <v>2024</v>
      </c>
      <c r="N2554" s="6">
        <v>110</v>
      </c>
      <c r="O2554" s="6">
        <f t="shared" si="660"/>
        <v>-110</v>
      </c>
      <c r="P2554" s="6">
        <f t="shared" si="654"/>
        <v>0</v>
      </c>
      <c r="Q2554" s="7">
        <f t="shared" si="655"/>
        <v>4142983.2500000014</v>
      </c>
      <c r="R2554" s="44" t="str">
        <f>VLOOKUP(F2554,'Set up'!$A$2:$E$70,5,FALSE)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645"/>
        <v>1</v>
      </c>
      <c r="C2555" s="5">
        <f t="shared" si="646"/>
        <v>2024</v>
      </c>
      <c r="D2555" s="5" t="s">
        <v>2283</v>
      </c>
      <c r="E2555" s="5" t="str">
        <f>VLOOKUP(F2555,'Set up'!$A$2:$C$70,2,FALSE)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up'!$A$2:$C$70,3,FALSE)</f>
        <v>Cash</v>
      </c>
      <c r="J2555" s="5">
        <f>VLOOKUP(F2555,'Set up'!$A$2:$D$70,4,FALSE)</f>
        <v>0</v>
      </c>
      <c r="K2555" s="4">
        <f t="shared" si="647"/>
        <v>45311</v>
      </c>
      <c r="L2555" s="5">
        <f t="shared" si="648"/>
        <v>1</v>
      </c>
      <c r="M2555" s="5">
        <f t="shared" si="649"/>
        <v>2024</v>
      </c>
      <c r="N2555" s="6">
        <v>60</v>
      </c>
      <c r="O2555" s="6">
        <f t="shared" si="660"/>
        <v>-60</v>
      </c>
      <c r="P2555" s="6">
        <f t="shared" si="654"/>
        <v>0</v>
      </c>
      <c r="Q2555" s="7">
        <f t="shared" si="655"/>
        <v>4143043.2500000014</v>
      </c>
      <c r="R2555" s="44" t="str">
        <f>VLOOKUP(F2555,'Set up'!$A$2:$E$70,5,FALSE)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645"/>
        <v>1</v>
      </c>
      <c r="C2556" s="5">
        <f t="shared" si="646"/>
        <v>2024</v>
      </c>
      <c r="D2556" s="5" t="s">
        <v>2283</v>
      </c>
      <c r="E2556" s="5" t="str">
        <f>VLOOKUP(F2556,'Set up'!$A$2:$C$70,2,FALSE)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up'!$A$2:$C$70,3,FALSE)</f>
        <v>Cash</v>
      </c>
      <c r="J2556" s="5">
        <f>VLOOKUP(F2556,'Set up'!$A$2:$D$70,4,FALSE)</f>
        <v>0</v>
      </c>
      <c r="K2556" s="4">
        <f t="shared" si="647"/>
        <v>45311</v>
      </c>
      <c r="L2556" s="5">
        <f t="shared" si="648"/>
        <v>1</v>
      </c>
      <c r="M2556" s="5">
        <f t="shared" si="649"/>
        <v>2024</v>
      </c>
      <c r="N2556" s="6">
        <v>54</v>
      </c>
      <c r="O2556" s="6">
        <f t="shared" si="660"/>
        <v>-54</v>
      </c>
      <c r="P2556" s="6">
        <f t="shared" si="654"/>
        <v>0</v>
      </c>
      <c r="Q2556" s="7">
        <f t="shared" si="655"/>
        <v>4143097.2500000014</v>
      </c>
      <c r="R2556" s="44" t="str">
        <f>VLOOKUP(F2556,'Set up'!$A$2:$E$70,5,FALSE)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645"/>
        <v>1</v>
      </c>
      <c r="C2557" s="5">
        <f t="shared" si="646"/>
        <v>2024</v>
      </c>
      <c r="D2557" s="5" t="s">
        <v>2283</v>
      </c>
      <c r="E2557" s="5" t="str">
        <f>VLOOKUP(F2557,'Set up'!$A$2:$C$70,2,FALSE)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up'!$A$2:$C$70,3,FALSE)</f>
        <v>Cash</v>
      </c>
      <c r="J2557" s="5">
        <f>VLOOKUP(F2557,'Set up'!$A$2:$D$70,4,FALSE)</f>
        <v>0</v>
      </c>
      <c r="K2557" s="4">
        <f t="shared" si="647"/>
        <v>45311</v>
      </c>
      <c r="L2557" s="5">
        <f t="shared" si="648"/>
        <v>1</v>
      </c>
      <c r="M2557" s="5">
        <f t="shared" si="649"/>
        <v>2024</v>
      </c>
      <c r="N2557" s="6">
        <v>120</v>
      </c>
      <c r="O2557" s="6">
        <f t="shared" si="660"/>
        <v>-120</v>
      </c>
      <c r="P2557" s="6">
        <f t="shared" si="654"/>
        <v>0</v>
      </c>
      <c r="Q2557" s="7">
        <f t="shared" si="655"/>
        <v>4143217.2500000014</v>
      </c>
      <c r="R2557" s="44" t="str">
        <f>VLOOKUP(F2557,'Set up'!$A$2:$E$70,5,FALSE)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645"/>
        <v>1</v>
      </c>
      <c r="C2558" s="5">
        <f t="shared" si="646"/>
        <v>2024</v>
      </c>
      <c r="D2558" s="5" t="s">
        <v>2283</v>
      </c>
      <c r="E2558" s="5" t="str">
        <f>VLOOKUP(F2558,'Set up'!$A$2:$C$70,2,FALSE)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up'!$A$2:$C$70,3,FALSE)</f>
        <v>Cash</v>
      </c>
      <c r="J2558" s="5">
        <f>VLOOKUP(F2558,'Set up'!$A$2:$D$70,4,FALSE)</f>
        <v>0</v>
      </c>
      <c r="K2558" s="4">
        <f t="shared" si="647"/>
        <v>45311</v>
      </c>
      <c r="L2558" s="5">
        <f t="shared" si="648"/>
        <v>1</v>
      </c>
      <c r="M2558" s="5">
        <f t="shared" si="649"/>
        <v>2024</v>
      </c>
      <c r="N2558" s="6">
        <v>160</v>
      </c>
      <c r="O2558" s="6">
        <f t="shared" si="660"/>
        <v>-160</v>
      </c>
      <c r="P2558" s="6">
        <f t="shared" si="654"/>
        <v>0</v>
      </c>
      <c r="Q2558" s="7">
        <f t="shared" si="655"/>
        <v>4143377.2500000014</v>
      </c>
      <c r="R2558" s="44" t="str">
        <f>VLOOKUP(F2558,'Set up'!$A$2:$E$70,5,FALSE)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645"/>
        <v>1</v>
      </c>
      <c r="C2559" s="5">
        <f t="shared" si="646"/>
        <v>2024</v>
      </c>
      <c r="D2559" s="5" t="s">
        <v>2283</v>
      </c>
      <c r="E2559" s="5" t="str">
        <f>VLOOKUP(F2559,'Set up'!$A$2:$C$70,2,FALSE)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up'!$A$2:$C$70,3,FALSE)</f>
        <v>Cash</v>
      </c>
      <c r="J2559" s="5">
        <f>VLOOKUP(F2559,'Set up'!$A$2:$D$70,4,FALSE)</f>
        <v>0</v>
      </c>
      <c r="K2559" s="4">
        <f t="shared" si="647"/>
        <v>45311</v>
      </c>
      <c r="L2559" s="5">
        <f t="shared" si="648"/>
        <v>1</v>
      </c>
      <c r="M2559" s="5">
        <f t="shared" si="649"/>
        <v>2024</v>
      </c>
      <c r="N2559" s="6">
        <v>170</v>
      </c>
      <c r="O2559" s="6">
        <f t="shared" si="660"/>
        <v>-170</v>
      </c>
      <c r="P2559" s="6">
        <f t="shared" si="654"/>
        <v>0</v>
      </c>
      <c r="Q2559" s="7">
        <f t="shared" si="655"/>
        <v>4143547.2500000014</v>
      </c>
      <c r="R2559" s="44" t="str">
        <f>VLOOKUP(F2559,'Set up'!$A$2:$E$70,5,FALSE)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645"/>
        <v>1</v>
      </c>
      <c r="C2560" s="5">
        <f t="shared" si="646"/>
        <v>2024</v>
      </c>
      <c r="D2560" s="5" t="s">
        <v>2286</v>
      </c>
      <c r="E2560" s="5" t="str">
        <f>VLOOKUP(F2560,'Set up'!$A$2:$C$70,2,FALSE)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up'!$A$2:$C$70,3,FALSE)</f>
        <v>Cash</v>
      </c>
      <c r="J2560" s="5">
        <f>VLOOKUP(F2560,'Set up'!$A$2:$D$70,4,FALSE)</f>
        <v>0</v>
      </c>
      <c r="K2560" s="4">
        <f t="shared" si="647"/>
        <v>45310</v>
      </c>
      <c r="L2560" s="5">
        <f t="shared" si="648"/>
        <v>1</v>
      </c>
      <c r="M2560" s="5">
        <f t="shared" si="649"/>
        <v>2024</v>
      </c>
      <c r="N2560" s="6">
        <v>1738</v>
      </c>
      <c r="O2560" s="6">
        <f t="shared" si="660"/>
        <v>-1738</v>
      </c>
      <c r="P2560" s="6">
        <f t="shared" si="654"/>
        <v>0</v>
      </c>
      <c r="Q2560" s="7">
        <f t="shared" si="655"/>
        <v>4145285.2500000014</v>
      </c>
      <c r="R2560" s="44" t="str">
        <f>VLOOKUP(F2560,'Set up'!$A$2:$E$70,5,FALSE)</f>
        <v>Trsf</v>
      </c>
      <c r="S2560" s="1" t="s">
        <v>3472</v>
      </c>
    </row>
    <row r="2561" spans="1:19" ht="15" customHeight="1" x14ac:dyDescent="0.35">
      <c r="A2561" s="4">
        <v>45310</v>
      </c>
      <c r="B2561" s="5">
        <f t="shared" si="645"/>
        <v>1</v>
      </c>
      <c r="C2561" s="5">
        <f t="shared" si="646"/>
        <v>2024</v>
      </c>
      <c r="D2561" s="5" t="s">
        <v>2286</v>
      </c>
      <c r="E2561" s="5" t="str">
        <f>VLOOKUP(F2561,'Set up'!$A$2:$C$70,2,FALSE)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up'!$A$2:$C$70,3,FALSE)</f>
        <v>Cash</v>
      </c>
      <c r="J2561" s="5">
        <f>VLOOKUP(F2561,'Set up'!$A$2:$D$70,4,FALSE)</f>
        <v>0</v>
      </c>
      <c r="K2561" s="4">
        <f t="shared" si="647"/>
        <v>45310</v>
      </c>
      <c r="L2561" s="5">
        <f t="shared" si="648"/>
        <v>1</v>
      </c>
      <c r="M2561" s="5">
        <f t="shared" si="649"/>
        <v>2024</v>
      </c>
      <c r="N2561" s="6">
        <v>283.8</v>
      </c>
      <c r="O2561" s="6">
        <f t="shared" si="660"/>
        <v>-283.8</v>
      </c>
      <c r="P2561" s="6">
        <f t="shared" si="654"/>
        <v>0</v>
      </c>
      <c r="Q2561" s="7">
        <f t="shared" si="655"/>
        <v>4145569.0500000012</v>
      </c>
      <c r="R2561" s="44" t="str">
        <f>VLOOKUP(F2561,'Set up'!$A$2:$E$70,5,FALSE)</f>
        <v>Trsf</v>
      </c>
      <c r="S2561" s="1" t="s">
        <v>3473</v>
      </c>
    </row>
    <row r="2562" spans="1:19" ht="15" customHeight="1" x14ac:dyDescent="0.35">
      <c r="A2562" s="4">
        <v>45310</v>
      </c>
      <c r="B2562" s="5">
        <f t="shared" si="645"/>
        <v>1</v>
      </c>
      <c r="C2562" s="5">
        <f t="shared" si="646"/>
        <v>2024</v>
      </c>
      <c r="D2562" s="5" t="s">
        <v>2286</v>
      </c>
      <c r="E2562" s="5" t="str">
        <f>VLOOKUP(F2562,'Set up'!$A$2:$C$70,2,FALSE)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up'!$A$2:$C$70,3,FALSE)</f>
        <v>Cash</v>
      </c>
      <c r="J2562" s="5">
        <f>VLOOKUP(F2562,'Set up'!$A$2:$D$70,4,FALSE)</f>
        <v>0</v>
      </c>
      <c r="K2562" s="4">
        <f t="shared" si="647"/>
        <v>45310</v>
      </c>
      <c r="L2562" s="5">
        <f t="shared" si="648"/>
        <v>1</v>
      </c>
      <c r="M2562" s="5">
        <f t="shared" si="649"/>
        <v>2024</v>
      </c>
      <c r="N2562" s="6">
        <v>187.5</v>
      </c>
      <c r="O2562" s="6">
        <f t="shared" si="660"/>
        <v>-187.5</v>
      </c>
      <c r="P2562" s="6">
        <f t="shared" si="654"/>
        <v>0</v>
      </c>
      <c r="Q2562" s="7">
        <f t="shared" si="655"/>
        <v>4145756.5500000012</v>
      </c>
      <c r="R2562" s="44" t="str">
        <f>VLOOKUP(F2562,'Set up'!$A$2:$E$70,5,FALSE)</f>
        <v>Trsf</v>
      </c>
      <c r="S2562" s="1" t="s">
        <v>3474</v>
      </c>
    </row>
    <row r="2563" spans="1:19" ht="15" customHeight="1" x14ac:dyDescent="0.35">
      <c r="A2563" s="4">
        <v>45310</v>
      </c>
      <c r="B2563" s="5">
        <f t="shared" ref="B2563:B2626" si="661">MONTH(A2563)</f>
        <v>1</v>
      </c>
      <c r="C2563" s="5">
        <f t="shared" ref="C2563:C2626" si="662">YEAR(A2563)</f>
        <v>2024</v>
      </c>
      <c r="D2563" s="5" t="s">
        <v>2286</v>
      </c>
      <c r="E2563" s="5" t="str">
        <f>VLOOKUP(F2563,'Set up'!$A$2:$C$70,2,FALSE)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up'!$A$2:$C$70,3,FALSE)</f>
        <v>Cash</v>
      </c>
      <c r="J2563" s="5">
        <f>VLOOKUP(F2563,'Set up'!$A$2:$D$70,4,FALSE)</f>
        <v>0</v>
      </c>
      <c r="K2563" s="4">
        <f t="shared" ref="K2563:K2626" si="663">A2563+J2563</f>
        <v>45310</v>
      </c>
      <c r="L2563" s="5">
        <f t="shared" ref="L2563:L2626" si="664">MONTH(K2563)</f>
        <v>1</v>
      </c>
      <c r="M2563" s="5">
        <f t="shared" ref="M2563:M2626" si="665">YEAR(K2563)</f>
        <v>2024</v>
      </c>
      <c r="N2563" s="6">
        <v>60</v>
      </c>
      <c r="O2563" s="6">
        <f t="shared" si="660"/>
        <v>-60</v>
      </c>
      <c r="P2563" s="6">
        <f t="shared" si="654"/>
        <v>0</v>
      </c>
      <c r="Q2563" s="7">
        <f t="shared" si="655"/>
        <v>4145816.5500000012</v>
      </c>
      <c r="R2563" s="44" t="str">
        <f>VLOOKUP(F2563,'Set up'!$A$2:$E$70,5,FALSE)</f>
        <v>Trsf</v>
      </c>
      <c r="S2563" s="1" t="s">
        <v>3475</v>
      </c>
    </row>
    <row r="2564" spans="1:19" ht="15" customHeight="1" x14ac:dyDescent="0.35">
      <c r="A2564" s="4">
        <v>45311</v>
      </c>
      <c r="B2564" s="5">
        <f t="shared" si="661"/>
        <v>1</v>
      </c>
      <c r="C2564" s="5">
        <f t="shared" si="662"/>
        <v>2024</v>
      </c>
      <c r="D2564" s="5" t="s">
        <v>2287</v>
      </c>
      <c r="E2564" s="5" t="str">
        <f>VLOOKUP(F2564,'Set up'!$A$2:$C$70,2,FALSE)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up'!$A$2:$C$70,3,FALSE)</f>
        <v>Cash</v>
      </c>
      <c r="J2564" s="5">
        <f>VLOOKUP(F2564,'Set up'!$A$2:$D$70,4,FALSE)</f>
        <v>0</v>
      </c>
      <c r="K2564" s="4">
        <f t="shared" si="663"/>
        <v>45311</v>
      </c>
      <c r="L2564" s="5">
        <f t="shared" si="664"/>
        <v>1</v>
      </c>
      <c r="M2564" s="5">
        <f t="shared" si="665"/>
        <v>2024</v>
      </c>
      <c r="N2564" s="6">
        <v>375</v>
      </c>
      <c r="O2564" s="6">
        <f>-N2564</f>
        <v>-375</v>
      </c>
      <c r="P2564" s="6">
        <f t="shared" si="654"/>
        <v>0</v>
      </c>
      <c r="Q2564" s="7">
        <f t="shared" si="655"/>
        <v>4146191.5500000012</v>
      </c>
      <c r="R2564" s="44" t="str">
        <f>VLOOKUP(F2564,'Set up'!$A$2:$E$70,5,FALSE)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661"/>
        <v>1</v>
      </c>
      <c r="C2565" s="5">
        <f t="shared" si="662"/>
        <v>2024</v>
      </c>
      <c r="D2565" s="5" t="s">
        <v>2288</v>
      </c>
      <c r="E2565" s="5" t="str">
        <f>VLOOKUP(F2565,'Set up'!$A$2:$C$70,2,FALSE)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up'!$A$2:$C$70,3,FALSE)</f>
        <v>Cash</v>
      </c>
      <c r="J2565" s="5">
        <f>VLOOKUP(F2565,'Set up'!$A$2:$D$70,4,FALSE)</f>
        <v>0</v>
      </c>
      <c r="K2565" s="4">
        <f t="shared" si="663"/>
        <v>45311</v>
      </c>
      <c r="L2565" s="5">
        <f t="shared" si="664"/>
        <v>1</v>
      </c>
      <c r="M2565" s="5">
        <f t="shared" si="665"/>
        <v>2024</v>
      </c>
      <c r="N2565" s="6">
        <v>9636</v>
      </c>
      <c r="O2565" s="6">
        <f>-N2565</f>
        <v>-9636</v>
      </c>
      <c r="P2565" s="6">
        <f t="shared" si="654"/>
        <v>0</v>
      </c>
      <c r="Q2565" s="7">
        <f t="shared" si="655"/>
        <v>4155827.5500000012</v>
      </c>
      <c r="R2565" s="44" t="str">
        <f>VLOOKUP(F2565,'Set up'!$A$2:$E$70,5,FALSE)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661"/>
        <v>1</v>
      </c>
      <c r="C2566" s="5">
        <f t="shared" si="662"/>
        <v>2024</v>
      </c>
      <c r="D2566" s="5" t="s">
        <v>2288</v>
      </c>
      <c r="E2566" s="5" t="str">
        <f>VLOOKUP(F2566,'Set up'!$A$2:$C$70,2,FALSE)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up'!$A$2:$C$70,3,FALSE)</f>
        <v>Cash</v>
      </c>
      <c r="J2566" s="5">
        <f>VLOOKUP(F2566,'Set up'!$A$2:$D$70,4,FALSE)</f>
        <v>0</v>
      </c>
      <c r="K2566" s="4">
        <f t="shared" si="663"/>
        <v>45311</v>
      </c>
      <c r="L2566" s="5">
        <f t="shared" si="664"/>
        <v>1</v>
      </c>
      <c r="M2566" s="5">
        <f t="shared" si="665"/>
        <v>2024</v>
      </c>
      <c r="N2566" s="6">
        <v>3132</v>
      </c>
      <c r="O2566" s="6">
        <f>-N2566</f>
        <v>-3132</v>
      </c>
      <c r="P2566" s="6">
        <f t="shared" si="654"/>
        <v>0</v>
      </c>
      <c r="Q2566" s="7">
        <f t="shared" si="655"/>
        <v>4158959.5500000012</v>
      </c>
      <c r="R2566" s="44" t="str">
        <f>VLOOKUP(F2566,'Set up'!$A$2:$E$70,5,FALSE)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661"/>
        <v>1</v>
      </c>
      <c r="C2567" s="5">
        <f t="shared" si="662"/>
        <v>2024</v>
      </c>
      <c r="D2567" s="5" t="s">
        <v>2288</v>
      </c>
      <c r="E2567" s="5" t="str">
        <f>VLOOKUP(F2567,'Set up'!$A$2:$C$70,2,FALSE)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up'!$A$2:$C$70,3,FALSE)</f>
        <v>Cash</v>
      </c>
      <c r="J2567" s="5">
        <f>VLOOKUP(F2567,'Set up'!$A$2:$D$70,4,FALSE)</f>
        <v>0</v>
      </c>
      <c r="K2567" s="4">
        <f t="shared" si="663"/>
        <v>45311</v>
      </c>
      <c r="L2567" s="5">
        <f t="shared" si="664"/>
        <v>1</v>
      </c>
      <c r="M2567" s="5">
        <f t="shared" si="665"/>
        <v>2024</v>
      </c>
      <c r="N2567" s="6">
        <v>1872</v>
      </c>
      <c r="O2567" s="6">
        <f>-N2567</f>
        <v>-1872</v>
      </c>
      <c r="P2567" s="6">
        <f t="shared" si="654"/>
        <v>0</v>
      </c>
      <c r="Q2567" s="7">
        <f t="shared" si="655"/>
        <v>4160831.5500000012</v>
      </c>
      <c r="R2567" s="44" t="str">
        <f>VLOOKUP(F2567,'Set up'!$A$2:$E$70,5,FALSE)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661"/>
        <v>1</v>
      </c>
      <c r="C2568" s="5">
        <f t="shared" si="662"/>
        <v>2024</v>
      </c>
      <c r="D2568" s="5" t="s">
        <v>2288</v>
      </c>
      <c r="E2568" s="5" t="str">
        <f>VLOOKUP(F2568,'Set up'!$A$2:$C$70,2,FALSE)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up'!$A$2:$C$70,3,FALSE)</f>
        <v>Cash</v>
      </c>
      <c r="J2568" s="5">
        <f>VLOOKUP(F2568,'Set up'!$A$2:$D$70,4,FALSE)</f>
        <v>0</v>
      </c>
      <c r="K2568" s="4">
        <f t="shared" si="663"/>
        <v>45311</v>
      </c>
      <c r="L2568" s="5">
        <f t="shared" si="664"/>
        <v>1</v>
      </c>
      <c r="M2568" s="5">
        <f t="shared" si="665"/>
        <v>2024</v>
      </c>
      <c r="N2568" s="6">
        <v>380</v>
      </c>
      <c r="O2568" s="6">
        <f>-N2568</f>
        <v>-380</v>
      </c>
      <c r="P2568" s="6">
        <f t="shared" si="654"/>
        <v>0</v>
      </c>
      <c r="Q2568" s="7">
        <f t="shared" si="655"/>
        <v>4161211.5500000012</v>
      </c>
      <c r="R2568" s="44" t="str">
        <f>VLOOKUP(F2568,'Set up'!$A$2:$E$70,5,FALSE)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si="661"/>
        <v>1</v>
      </c>
      <c r="C2569" s="5">
        <f t="shared" si="662"/>
        <v>2024</v>
      </c>
      <c r="D2569" s="5" t="s">
        <v>2289</v>
      </c>
      <c r="E2569" s="5" t="str">
        <f>VLOOKUP(F2569,'Set up'!$A$2:$C$70,2,FALSE)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up'!$A$2:$C$70,3,FALSE)</f>
        <v>Cash</v>
      </c>
      <c r="J2569" s="5">
        <f>VLOOKUP(F2569,'Set up'!$A$2:$D$70,4,FALSE)</f>
        <v>0</v>
      </c>
      <c r="K2569" s="4">
        <f t="shared" si="663"/>
        <v>45313</v>
      </c>
      <c r="L2569" s="5">
        <f t="shared" si="664"/>
        <v>1</v>
      </c>
      <c r="M2569" s="5">
        <f t="shared" si="665"/>
        <v>2024</v>
      </c>
      <c r="N2569" s="6">
        <v>180</v>
      </c>
      <c r="O2569" s="6">
        <f t="shared" ref="O2569" si="666">-N2569</f>
        <v>-180</v>
      </c>
      <c r="P2569" s="6">
        <f t="shared" si="654"/>
        <v>0</v>
      </c>
      <c r="Q2569" s="7">
        <f t="shared" si="655"/>
        <v>4161391.5500000012</v>
      </c>
      <c r="R2569" s="44" t="str">
        <f>VLOOKUP(F2569,'Set up'!$A$2:$E$70,5,FALSE)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661"/>
        <v>1</v>
      </c>
      <c r="C2570" s="5">
        <f t="shared" si="662"/>
        <v>2024</v>
      </c>
      <c r="D2570" s="5" t="s">
        <v>2290</v>
      </c>
      <c r="E2570" s="5" t="str">
        <f>VLOOKUP(F2570,'Set up'!$A$2:$C$70,2,FALSE)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up'!$A$2:$C$70,3,FALSE)</f>
        <v>Cash</v>
      </c>
      <c r="J2570" s="5">
        <f>VLOOKUP(F2570,'Set up'!$A$2:$D$70,4,FALSE)</f>
        <v>0</v>
      </c>
      <c r="K2570" s="4">
        <f t="shared" si="663"/>
        <v>45314</v>
      </c>
      <c r="L2570" s="5">
        <f t="shared" si="664"/>
        <v>1</v>
      </c>
      <c r="M2570" s="5">
        <f t="shared" si="665"/>
        <v>2024</v>
      </c>
      <c r="N2570" s="6">
        <v>1606</v>
      </c>
      <c r="O2570" s="6">
        <f t="shared" ref="O2570:O2580" si="667">-N2570</f>
        <v>-1606</v>
      </c>
      <c r="P2570" s="6">
        <f t="shared" si="654"/>
        <v>0</v>
      </c>
      <c r="Q2570" s="7">
        <f t="shared" si="655"/>
        <v>4162997.5500000012</v>
      </c>
      <c r="R2570" s="44" t="str">
        <f>VLOOKUP(F2570,'Set up'!$A$2:$E$70,5,FALSE)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661"/>
        <v>1</v>
      </c>
      <c r="C2571" s="5">
        <f t="shared" si="662"/>
        <v>2024</v>
      </c>
      <c r="D2571" s="5" t="s">
        <v>2290</v>
      </c>
      <c r="E2571" s="5" t="str">
        <f>VLOOKUP(F2571,'Set up'!$A$2:$C$70,2,FALSE)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up'!$A$2:$C$70,3,FALSE)</f>
        <v>Cash</v>
      </c>
      <c r="J2571" s="5">
        <f>VLOOKUP(F2571,'Set up'!$A$2:$D$70,4,FALSE)</f>
        <v>0</v>
      </c>
      <c r="K2571" s="4">
        <f t="shared" si="663"/>
        <v>45314</v>
      </c>
      <c r="L2571" s="5">
        <f t="shared" si="664"/>
        <v>1</v>
      </c>
      <c r="M2571" s="5">
        <f t="shared" si="665"/>
        <v>2024</v>
      </c>
      <c r="N2571" s="6">
        <v>420</v>
      </c>
      <c r="O2571" s="6">
        <f t="shared" si="667"/>
        <v>-420</v>
      </c>
      <c r="P2571" s="6">
        <f t="shared" si="654"/>
        <v>0</v>
      </c>
      <c r="Q2571" s="7">
        <f t="shared" si="655"/>
        <v>4163417.5500000012</v>
      </c>
      <c r="R2571" s="44" t="str">
        <f>VLOOKUP(F2571,'Set up'!$A$2:$E$70,5,FALSE)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661"/>
        <v>1</v>
      </c>
      <c r="C2572" s="5">
        <f t="shared" si="662"/>
        <v>2024</v>
      </c>
      <c r="D2572" s="5" t="s">
        <v>2290</v>
      </c>
      <c r="E2572" s="5" t="str">
        <f>VLOOKUP(F2572,'Set up'!$A$2:$C$70,2,FALSE)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up'!$A$2:$C$70,3,FALSE)</f>
        <v>Cash</v>
      </c>
      <c r="J2572" s="5">
        <f>VLOOKUP(F2572,'Set up'!$A$2:$D$70,4,FALSE)</f>
        <v>0</v>
      </c>
      <c r="K2572" s="4">
        <f t="shared" si="663"/>
        <v>45314</v>
      </c>
      <c r="L2572" s="5">
        <f t="shared" si="664"/>
        <v>1</v>
      </c>
      <c r="M2572" s="5">
        <f t="shared" si="665"/>
        <v>2024</v>
      </c>
      <c r="N2572" s="6">
        <v>280</v>
      </c>
      <c r="O2572" s="6">
        <f t="shared" si="667"/>
        <v>-280</v>
      </c>
      <c r="P2572" s="6">
        <f t="shared" si="654"/>
        <v>0</v>
      </c>
      <c r="Q2572" s="7">
        <f t="shared" si="655"/>
        <v>4163697.5500000012</v>
      </c>
      <c r="R2572" s="44" t="str">
        <f>VLOOKUP(F2572,'Set up'!$A$2:$E$70,5,FALSE)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661"/>
        <v>1</v>
      </c>
      <c r="C2573" s="5">
        <f t="shared" si="662"/>
        <v>2024</v>
      </c>
      <c r="D2573" s="5" t="s">
        <v>2290</v>
      </c>
      <c r="E2573" s="5" t="str">
        <f>VLOOKUP(F2573,'Set up'!$A$2:$C$70,2,FALSE)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up'!$A$2:$C$70,3,FALSE)</f>
        <v>Cash</v>
      </c>
      <c r="J2573" s="5">
        <f>VLOOKUP(F2573,'Set up'!$A$2:$D$70,4,FALSE)</f>
        <v>0</v>
      </c>
      <c r="K2573" s="4">
        <f t="shared" si="663"/>
        <v>45314</v>
      </c>
      <c r="L2573" s="5">
        <f t="shared" si="664"/>
        <v>1</v>
      </c>
      <c r="M2573" s="5">
        <f t="shared" si="665"/>
        <v>2024</v>
      </c>
      <c r="N2573" s="6">
        <v>62.5</v>
      </c>
      <c r="O2573" s="6">
        <f t="shared" si="667"/>
        <v>-62.5</v>
      </c>
      <c r="P2573" s="6">
        <f t="shared" si="654"/>
        <v>0</v>
      </c>
      <c r="Q2573" s="7">
        <f t="shared" si="655"/>
        <v>4163760.0500000012</v>
      </c>
      <c r="R2573" s="44" t="str">
        <f>VLOOKUP(F2573,'Set up'!$A$2:$E$70,5,FALSE)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661"/>
        <v>1</v>
      </c>
      <c r="C2574" s="5">
        <f t="shared" si="662"/>
        <v>2024</v>
      </c>
      <c r="D2574" s="5" t="s">
        <v>2290</v>
      </c>
      <c r="E2574" s="5" t="str">
        <f>VLOOKUP(F2574,'Set up'!$A$2:$C$70,2,FALSE)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up'!$A$2:$C$70,3,FALSE)</f>
        <v>Cash</v>
      </c>
      <c r="J2574" s="5">
        <f>VLOOKUP(F2574,'Set up'!$A$2:$D$70,4,FALSE)</f>
        <v>0</v>
      </c>
      <c r="K2574" s="4">
        <f t="shared" si="663"/>
        <v>45314</v>
      </c>
      <c r="L2574" s="5">
        <f t="shared" si="664"/>
        <v>1</v>
      </c>
      <c r="M2574" s="5">
        <f t="shared" si="665"/>
        <v>2024</v>
      </c>
      <c r="N2574" s="6">
        <v>700</v>
      </c>
      <c r="O2574" s="6">
        <f t="shared" si="667"/>
        <v>-700</v>
      </c>
      <c r="P2574" s="6">
        <f t="shared" si="654"/>
        <v>0</v>
      </c>
      <c r="Q2574" s="7">
        <f t="shared" si="655"/>
        <v>4164460.0500000012</v>
      </c>
      <c r="R2574" s="44" t="str">
        <f>VLOOKUP(F2574,'Set up'!$A$2:$E$70,5,FALSE)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661"/>
        <v>1</v>
      </c>
      <c r="C2575" s="5">
        <f t="shared" si="662"/>
        <v>2024</v>
      </c>
      <c r="D2575" s="5" t="s">
        <v>2290</v>
      </c>
      <c r="E2575" s="5" t="str">
        <f>VLOOKUP(F2575,'Set up'!$A$2:$C$70,2,FALSE)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up'!$A$2:$C$70,3,FALSE)</f>
        <v>Cash</v>
      </c>
      <c r="J2575" s="5">
        <f>VLOOKUP(F2575,'Set up'!$A$2:$D$70,4,FALSE)</f>
        <v>0</v>
      </c>
      <c r="K2575" s="4">
        <f t="shared" si="663"/>
        <v>45314</v>
      </c>
      <c r="L2575" s="5">
        <f t="shared" si="664"/>
        <v>1</v>
      </c>
      <c r="M2575" s="5">
        <f t="shared" si="665"/>
        <v>2024</v>
      </c>
      <c r="N2575" s="6">
        <v>290</v>
      </c>
      <c r="O2575" s="6">
        <f t="shared" si="667"/>
        <v>-290</v>
      </c>
      <c r="P2575" s="6">
        <f t="shared" si="654"/>
        <v>0</v>
      </c>
      <c r="Q2575" s="7">
        <f t="shared" si="655"/>
        <v>4164750.0500000012</v>
      </c>
      <c r="R2575" s="44" t="str">
        <f>VLOOKUP(F2575,'Set up'!$A$2:$E$70,5,FALSE)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661"/>
        <v>1</v>
      </c>
      <c r="C2576" s="5">
        <f t="shared" si="662"/>
        <v>2024</v>
      </c>
      <c r="D2576" s="5" t="s">
        <v>2290</v>
      </c>
      <c r="E2576" s="5" t="str">
        <f>VLOOKUP(F2576,'Set up'!$A$2:$C$70,2,FALSE)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up'!$A$2:$C$70,3,FALSE)</f>
        <v>Cash</v>
      </c>
      <c r="J2576" s="5">
        <f>VLOOKUP(F2576,'Set up'!$A$2:$D$70,4,FALSE)</f>
        <v>0</v>
      </c>
      <c r="K2576" s="4">
        <f t="shared" si="663"/>
        <v>45314</v>
      </c>
      <c r="L2576" s="5">
        <f t="shared" si="664"/>
        <v>1</v>
      </c>
      <c r="M2576" s="5">
        <f t="shared" si="665"/>
        <v>2024</v>
      </c>
      <c r="N2576" s="6">
        <v>283.8</v>
      </c>
      <c r="O2576" s="6">
        <f t="shared" si="667"/>
        <v>-283.8</v>
      </c>
      <c r="P2576" s="6">
        <f t="shared" si="654"/>
        <v>0</v>
      </c>
      <c r="Q2576" s="7">
        <f t="shared" si="655"/>
        <v>4165033.850000001</v>
      </c>
      <c r="R2576" s="44" t="str">
        <f>VLOOKUP(F2576,'Set up'!$A$2:$E$70,5,FALSE)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661"/>
        <v>1</v>
      </c>
      <c r="C2577" s="5">
        <f t="shared" si="662"/>
        <v>2024</v>
      </c>
      <c r="D2577" s="5" t="s">
        <v>2290</v>
      </c>
      <c r="E2577" s="5" t="str">
        <f>VLOOKUP(F2577,'Set up'!$A$2:$C$70,2,FALSE)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up'!$A$2:$C$70,3,FALSE)</f>
        <v>Cash</v>
      </c>
      <c r="J2577" s="5">
        <f>VLOOKUP(F2577,'Set up'!$A$2:$D$70,4,FALSE)</f>
        <v>0</v>
      </c>
      <c r="K2577" s="4">
        <f t="shared" si="663"/>
        <v>45314</v>
      </c>
      <c r="L2577" s="5">
        <f t="shared" si="664"/>
        <v>1</v>
      </c>
      <c r="M2577" s="5">
        <f t="shared" si="665"/>
        <v>2024</v>
      </c>
      <c r="N2577" s="6">
        <v>110</v>
      </c>
      <c r="O2577" s="6">
        <f t="shared" si="667"/>
        <v>-110</v>
      </c>
      <c r="P2577" s="6">
        <f t="shared" si="654"/>
        <v>0</v>
      </c>
      <c r="Q2577" s="7">
        <f t="shared" si="655"/>
        <v>4165143.850000001</v>
      </c>
      <c r="R2577" s="44" t="str">
        <f>VLOOKUP(F2577,'Set up'!$A$2:$E$70,5,FALSE)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661"/>
        <v>1</v>
      </c>
      <c r="C2578" s="5">
        <f t="shared" si="662"/>
        <v>2024</v>
      </c>
      <c r="D2578" s="5" t="s">
        <v>2297</v>
      </c>
      <c r="E2578" s="5" t="str">
        <f>VLOOKUP(F2578,'Set up'!$A$2:$C$70,2,FALSE)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up'!$A$2:$C$70,3,FALSE)</f>
        <v>Cash</v>
      </c>
      <c r="J2578" s="5">
        <f>VLOOKUP(F2578,'Set up'!$A$2:$D$70,4,FALSE)</f>
        <v>0</v>
      </c>
      <c r="K2578" s="4">
        <f t="shared" si="663"/>
        <v>45315</v>
      </c>
      <c r="L2578" s="5">
        <f t="shared" si="664"/>
        <v>1</v>
      </c>
      <c r="M2578" s="5">
        <f t="shared" si="665"/>
        <v>2024</v>
      </c>
      <c r="N2578" s="6">
        <v>1694</v>
      </c>
      <c r="O2578" s="6">
        <f t="shared" si="667"/>
        <v>-1694</v>
      </c>
      <c r="P2578" s="6">
        <f t="shared" si="654"/>
        <v>0</v>
      </c>
      <c r="Q2578" s="7">
        <f t="shared" si="655"/>
        <v>4166837.850000001</v>
      </c>
      <c r="R2578" s="44" t="str">
        <f>VLOOKUP(F2578,'Set up'!$A$2:$E$70,5,FALSE)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661"/>
        <v>1</v>
      </c>
      <c r="C2579" s="5">
        <f t="shared" si="662"/>
        <v>2024</v>
      </c>
      <c r="D2579" s="5" t="s">
        <v>2297</v>
      </c>
      <c r="E2579" s="5" t="str">
        <f>VLOOKUP(F2579,'Set up'!$A$2:$C$70,2,FALSE)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up'!$A$2:$C$70,3,FALSE)</f>
        <v>Cash</v>
      </c>
      <c r="J2579" s="5">
        <f>VLOOKUP(F2579,'Set up'!$A$2:$D$70,4,FALSE)</f>
        <v>0</v>
      </c>
      <c r="K2579" s="4">
        <f t="shared" si="663"/>
        <v>45315</v>
      </c>
      <c r="L2579" s="5">
        <f t="shared" si="664"/>
        <v>1</v>
      </c>
      <c r="M2579" s="5">
        <f t="shared" si="665"/>
        <v>2024</v>
      </c>
      <c r="N2579" s="6">
        <v>450</v>
      </c>
      <c r="O2579" s="6">
        <f t="shared" si="667"/>
        <v>-450</v>
      </c>
      <c r="P2579" s="6">
        <f t="shared" si="654"/>
        <v>0</v>
      </c>
      <c r="Q2579" s="7">
        <f t="shared" si="655"/>
        <v>4167287.850000001</v>
      </c>
      <c r="R2579" s="44" t="str">
        <f>VLOOKUP(F2579,'Set up'!$A$2:$E$70,5,FALSE)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661"/>
        <v>1</v>
      </c>
      <c r="C2580" s="5">
        <f t="shared" si="662"/>
        <v>2024</v>
      </c>
      <c r="D2580" s="5" t="s">
        <v>2297</v>
      </c>
      <c r="E2580" s="5" t="str">
        <f>VLOOKUP(F2580,'Set up'!$A$2:$C$70,2,FALSE)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up'!$A$2:$C$70,3,FALSE)</f>
        <v>Cash</v>
      </c>
      <c r="J2580" s="5">
        <f>VLOOKUP(F2580,'Set up'!$A$2:$D$70,4,FALSE)</f>
        <v>0</v>
      </c>
      <c r="K2580" s="4">
        <f t="shared" si="663"/>
        <v>45315</v>
      </c>
      <c r="L2580" s="5">
        <f t="shared" si="664"/>
        <v>1</v>
      </c>
      <c r="M2580" s="5">
        <f t="shared" si="665"/>
        <v>2024</v>
      </c>
      <c r="N2580" s="6">
        <v>280</v>
      </c>
      <c r="O2580" s="6">
        <f t="shared" si="667"/>
        <v>-280</v>
      </c>
      <c r="P2580" s="6">
        <f t="shared" si="654"/>
        <v>0</v>
      </c>
      <c r="Q2580" s="7">
        <f t="shared" si="655"/>
        <v>4167567.850000001</v>
      </c>
      <c r="R2580" s="44" t="str">
        <f>VLOOKUP(F2580,'Set up'!$A$2:$E$70,5,FALSE)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661"/>
        <v>1</v>
      </c>
      <c r="C2581" s="5">
        <f t="shared" si="662"/>
        <v>2024</v>
      </c>
      <c r="D2581" s="5" t="s">
        <v>2298</v>
      </c>
      <c r="E2581" s="5" t="str">
        <f>VLOOKUP(F2581,'Set up'!$A$2:$C$70,2,FALSE)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up'!$A$2:$C$70,3,FALSE)</f>
        <v>Cash</v>
      </c>
      <c r="J2581" s="5">
        <f>VLOOKUP(F2581,'Set up'!$A$2:$D$70,4,FALSE)</f>
        <v>0</v>
      </c>
      <c r="K2581" s="4">
        <f t="shared" si="663"/>
        <v>45320</v>
      </c>
      <c r="L2581" s="5">
        <f t="shared" si="664"/>
        <v>1</v>
      </c>
      <c r="M2581" s="5">
        <f t="shared" si="665"/>
        <v>2024</v>
      </c>
      <c r="N2581" s="6">
        <v>187.5</v>
      </c>
      <c r="O2581" s="6">
        <f>-N2581</f>
        <v>-187.5</v>
      </c>
      <c r="P2581" s="6">
        <f t="shared" ref="P2581:P2644" si="668">SUM(N2581+O2581)</f>
        <v>0</v>
      </c>
      <c r="Q2581" s="7">
        <f t="shared" si="655"/>
        <v>4167755.350000001</v>
      </c>
      <c r="R2581" s="44" t="str">
        <f>VLOOKUP(F2581,'Set up'!$A$2:$E$70,5,FALSE)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661"/>
        <v>1</v>
      </c>
      <c r="C2582" s="5">
        <f t="shared" si="662"/>
        <v>2024</v>
      </c>
      <c r="D2582" s="5" t="s">
        <v>2299</v>
      </c>
      <c r="E2582" s="5" t="str">
        <f>VLOOKUP(F2582,'Set up'!$A$2:$C$70,2,FALSE)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up'!$A$2:$C$70,3,FALSE)</f>
        <v>Cash</v>
      </c>
      <c r="J2582" s="5">
        <f>VLOOKUP(F2582,'Set up'!$A$2:$D$70,4,FALSE)</f>
        <v>0</v>
      </c>
      <c r="K2582" s="4">
        <f t="shared" si="663"/>
        <v>45320</v>
      </c>
      <c r="L2582" s="5">
        <f t="shared" si="664"/>
        <v>1</v>
      </c>
      <c r="M2582" s="5">
        <f t="shared" si="665"/>
        <v>2024</v>
      </c>
      <c r="N2582" s="6">
        <v>4818</v>
      </c>
      <c r="O2582" s="6">
        <f>-1267-3551</f>
        <v>-4818</v>
      </c>
      <c r="P2582" s="6">
        <f t="shared" si="668"/>
        <v>0</v>
      </c>
      <c r="Q2582" s="7">
        <f t="shared" si="655"/>
        <v>4172573.350000001</v>
      </c>
      <c r="R2582" s="44" t="str">
        <f>VLOOKUP(F2582,'Set up'!$A$2:$E$70,5,FALSE)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661"/>
        <v>1</v>
      </c>
      <c r="C2583" s="5">
        <f t="shared" si="662"/>
        <v>2024</v>
      </c>
      <c r="D2583" s="5" t="s">
        <v>2299</v>
      </c>
      <c r="E2583" s="5" t="str">
        <f>VLOOKUP(F2583,'Set up'!$A$2:$C$70,2,FALSE)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up'!$A$2:$C$70,3,FALSE)</f>
        <v>Cash</v>
      </c>
      <c r="J2583" s="5">
        <f>VLOOKUP(F2583,'Set up'!$A$2:$D$70,4,FALSE)</f>
        <v>0</v>
      </c>
      <c r="K2583" s="4">
        <f t="shared" si="663"/>
        <v>45320</v>
      </c>
      <c r="L2583" s="5">
        <f t="shared" si="664"/>
        <v>1</v>
      </c>
      <c r="M2583" s="5">
        <f t="shared" si="665"/>
        <v>2024</v>
      </c>
      <c r="N2583" s="6">
        <v>1044</v>
      </c>
      <c r="O2583" s="6">
        <f t="shared" ref="O2583:O2591" si="669">-N2583</f>
        <v>-1044</v>
      </c>
      <c r="P2583" s="6">
        <f t="shared" si="668"/>
        <v>0</v>
      </c>
      <c r="Q2583" s="7">
        <f t="shared" si="655"/>
        <v>4173617.350000001</v>
      </c>
      <c r="R2583" s="44" t="str">
        <f>VLOOKUP(F2583,'Set up'!$A$2:$E$70,5,FALSE)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661"/>
        <v>1</v>
      </c>
      <c r="C2584" s="5">
        <f t="shared" si="662"/>
        <v>2024</v>
      </c>
      <c r="D2584" s="5" t="s">
        <v>2299</v>
      </c>
      <c r="E2584" s="5" t="str">
        <f>VLOOKUP(F2584,'Set up'!$A$2:$C$70,2,FALSE)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up'!$A$2:$C$70,3,FALSE)</f>
        <v>Cash</v>
      </c>
      <c r="J2584" s="5">
        <f>VLOOKUP(F2584,'Set up'!$A$2:$D$70,4,FALSE)</f>
        <v>0</v>
      </c>
      <c r="K2584" s="4">
        <f t="shared" si="663"/>
        <v>45320</v>
      </c>
      <c r="L2584" s="5">
        <f t="shared" si="664"/>
        <v>1</v>
      </c>
      <c r="M2584" s="5">
        <f t="shared" si="665"/>
        <v>2024</v>
      </c>
      <c r="N2584" s="6">
        <v>702</v>
      </c>
      <c r="O2584" s="6">
        <f t="shared" si="669"/>
        <v>-702</v>
      </c>
      <c r="P2584" s="6">
        <f t="shared" si="668"/>
        <v>0</v>
      </c>
      <c r="Q2584" s="7">
        <f t="shared" si="655"/>
        <v>4174319.350000001</v>
      </c>
      <c r="R2584" s="44" t="str">
        <f>VLOOKUP(F2584,'Set up'!$A$2:$E$70,5,FALSE)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661"/>
        <v>1</v>
      </c>
      <c r="C2585" s="5">
        <f t="shared" si="662"/>
        <v>2024</v>
      </c>
      <c r="D2585" s="5" t="s">
        <v>2300</v>
      </c>
      <c r="E2585" s="5" t="str">
        <f>VLOOKUP(F2585,'Set up'!$A$2:$C$70,2,FALSE)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up'!$A$2:$C$70,3,FALSE)</f>
        <v>Cash</v>
      </c>
      <c r="J2585" s="5">
        <f>VLOOKUP(F2585,'Set up'!$A$2:$D$70,4,FALSE)</f>
        <v>0</v>
      </c>
      <c r="K2585" s="4">
        <f t="shared" si="663"/>
        <v>45322</v>
      </c>
      <c r="L2585" s="5">
        <f t="shared" si="664"/>
        <v>1</v>
      </c>
      <c r="M2585" s="5">
        <f t="shared" si="665"/>
        <v>2024</v>
      </c>
      <c r="N2585" s="6">
        <v>375</v>
      </c>
      <c r="O2585" s="6">
        <f t="shared" si="669"/>
        <v>-375</v>
      </c>
      <c r="P2585" s="6">
        <f t="shared" si="668"/>
        <v>0</v>
      </c>
      <c r="Q2585" s="7">
        <f t="shared" si="655"/>
        <v>4174694.350000001</v>
      </c>
      <c r="R2585" s="44" t="str">
        <f>VLOOKUP(F2585,'Set up'!$A$2:$E$70,5,FALSE)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661"/>
        <v>1</v>
      </c>
      <c r="C2586" s="5">
        <f t="shared" si="662"/>
        <v>2024</v>
      </c>
      <c r="D2586" s="5" t="s">
        <v>2301</v>
      </c>
      <c r="E2586" s="5" t="str">
        <f>VLOOKUP(F2586,'Set up'!$A$2:$C$70,2,FALSE)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up'!$A$2:$C$70,3,FALSE)</f>
        <v>Cash</v>
      </c>
      <c r="J2586" s="5">
        <f>VLOOKUP(F2586,'Set up'!$A$2:$D$70,4,FALSE)</f>
        <v>0</v>
      </c>
      <c r="K2586" s="4">
        <f t="shared" si="663"/>
        <v>45322</v>
      </c>
      <c r="L2586" s="5">
        <f t="shared" si="664"/>
        <v>1</v>
      </c>
      <c r="M2586" s="5">
        <f t="shared" si="665"/>
        <v>2024</v>
      </c>
      <c r="N2586" s="6">
        <v>9636</v>
      </c>
      <c r="O2586" s="6">
        <f t="shared" si="669"/>
        <v>-9636</v>
      </c>
      <c r="P2586" s="6">
        <f t="shared" si="668"/>
        <v>0</v>
      </c>
      <c r="Q2586" s="7">
        <f t="shared" si="655"/>
        <v>4184330.350000001</v>
      </c>
      <c r="R2586" s="44" t="str">
        <f>VLOOKUP(F2586,'Set up'!$A$2:$E$70,5,FALSE)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661"/>
        <v>1</v>
      </c>
      <c r="C2587" s="5">
        <f t="shared" si="662"/>
        <v>2024</v>
      </c>
      <c r="D2587" s="5" t="s">
        <v>2301</v>
      </c>
      <c r="E2587" s="5" t="str">
        <f>VLOOKUP(F2587,'Set up'!$A$2:$C$70,2,FALSE)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up'!$A$2:$C$70,3,FALSE)</f>
        <v>Cash</v>
      </c>
      <c r="J2587" s="5">
        <f>VLOOKUP(F2587,'Set up'!$A$2:$D$70,4,FALSE)</f>
        <v>0</v>
      </c>
      <c r="K2587" s="4">
        <f t="shared" si="663"/>
        <v>45322</v>
      </c>
      <c r="L2587" s="5">
        <f t="shared" si="664"/>
        <v>1</v>
      </c>
      <c r="M2587" s="5">
        <f t="shared" si="665"/>
        <v>2024</v>
      </c>
      <c r="N2587" s="6">
        <v>1740</v>
      </c>
      <c r="O2587" s="6">
        <f t="shared" si="669"/>
        <v>-1740</v>
      </c>
      <c r="P2587" s="6">
        <f t="shared" si="668"/>
        <v>0</v>
      </c>
      <c r="Q2587" s="7">
        <f t="shared" si="655"/>
        <v>4186070.350000001</v>
      </c>
      <c r="R2587" s="44" t="str">
        <f>VLOOKUP(F2587,'Set up'!$A$2:$E$70,5,FALSE)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661"/>
        <v>1</v>
      </c>
      <c r="C2588" s="5">
        <f t="shared" si="662"/>
        <v>2024</v>
      </c>
      <c r="D2588" s="5" t="s">
        <v>2301</v>
      </c>
      <c r="E2588" s="5" t="str">
        <f>VLOOKUP(F2588,'Set up'!$A$2:$C$70,2,FALSE)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up'!$A$2:$C$70,3,FALSE)</f>
        <v>Cash</v>
      </c>
      <c r="J2588" s="5">
        <f>VLOOKUP(F2588,'Set up'!$A$2:$D$70,4,FALSE)</f>
        <v>0</v>
      </c>
      <c r="K2588" s="4">
        <f t="shared" si="663"/>
        <v>45322</v>
      </c>
      <c r="L2588" s="5">
        <f t="shared" si="664"/>
        <v>1</v>
      </c>
      <c r="M2588" s="5">
        <f t="shared" si="665"/>
        <v>2024</v>
      </c>
      <c r="N2588" s="6">
        <v>1716.8</v>
      </c>
      <c r="O2588" s="6">
        <f t="shared" si="669"/>
        <v>-1716.8</v>
      </c>
      <c r="P2588" s="6">
        <f t="shared" si="668"/>
        <v>0</v>
      </c>
      <c r="Q2588" s="7">
        <f t="shared" si="655"/>
        <v>4187787.1500000008</v>
      </c>
      <c r="R2588" s="44" t="str">
        <f>VLOOKUP(F2588,'Set up'!$A$2:$E$70,5,FALSE)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661"/>
        <v>1</v>
      </c>
      <c r="C2589" s="5">
        <f t="shared" si="662"/>
        <v>2024</v>
      </c>
      <c r="D2589" s="5" t="s">
        <v>2301</v>
      </c>
      <c r="E2589" s="5" t="str">
        <f>VLOOKUP(F2589,'Set up'!$A$2:$C$70,2,FALSE)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up'!$A$2:$C$70,3,FALSE)</f>
        <v>Cash</v>
      </c>
      <c r="J2589" s="5">
        <f>VLOOKUP(F2589,'Set up'!$A$2:$D$70,4,FALSE)</f>
        <v>0</v>
      </c>
      <c r="K2589" s="4">
        <f t="shared" si="663"/>
        <v>45322</v>
      </c>
      <c r="L2589" s="5">
        <f t="shared" si="664"/>
        <v>1</v>
      </c>
      <c r="M2589" s="5">
        <f t="shared" si="665"/>
        <v>2024</v>
      </c>
      <c r="N2589" s="6">
        <v>1638</v>
      </c>
      <c r="O2589" s="6">
        <f t="shared" si="669"/>
        <v>-1638</v>
      </c>
      <c r="P2589" s="6">
        <f t="shared" si="668"/>
        <v>0</v>
      </c>
      <c r="Q2589" s="7">
        <f t="shared" si="655"/>
        <v>4189425.1500000008</v>
      </c>
      <c r="R2589" s="44" t="str">
        <f>VLOOKUP(F2589,'Set up'!$A$2:$E$70,5,FALSE)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661"/>
        <v>1</v>
      </c>
      <c r="C2590" s="5">
        <f t="shared" si="662"/>
        <v>2024</v>
      </c>
      <c r="D2590" s="5" t="s">
        <v>2301</v>
      </c>
      <c r="E2590" s="5" t="str">
        <f>VLOOKUP(F2590,'Set up'!$A$2:$C$70,2,FALSE)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up'!$A$2:$C$70,3,FALSE)</f>
        <v>Cash</v>
      </c>
      <c r="J2590" s="5">
        <f>VLOOKUP(F2590,'Set up'!$A$2:$D$70,4,FALSE)</f>
        <v>0</v>
      </c>
      <c r="K2590" s="4">
        <f t="shared" si="663"/>
        <v>45322</v>
      </c>
      <c r="L2590" s="5">
        <f t="shared" si="664"/>
        <v>1</v>
      </c>
      <c r="M2590" s="5">
        <f t="shared" si="665"/>
        <v>2024</v>
      </c>
      <c r="N2590" s="6">
        <v>416</v>
      </c>
      <c r="O2590" s="6">
        <f t="shared" si="669"/>
        <v>-416</v>
      </c>
      <c r="P2590" s="6">
        <f t="shared" si="668"/>
        <v>0</v>
      </c>
      <c r="Q2590" s="7">
        <f t="shared" si="655"/>
        <v>4189841.1500000008</v>
      </c>
      <c r="R2590" s="44" t="str">
        <f>VLOOKUP(F2590,'Set up'!$A$2:$E$70,5,FALSE)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661"/>
        <v>1</v>
      </c>
      <c r="C2591" s="5">
        <f t="shared" si="662"/>
        <v>2024</v>
      </c>
      <c r="D2591" s="5" t="s">
        <v>2301</v>
      </c>
      <c r="E2591" s="5" t="str">
        <f>VLOOKUP(F2591,'Set up'!$A$2:$C$70,2,FALSE)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up'!$A$2:$C$70,3,FALSE)</f>
        <v>Cash</v>
      </c>
      <c r="J2591" s="5">
        <f>VLOOKUP(F2591,'Set up'!$A$2:$D$70,4,FALSE)</f>
        <v>0</v>
      </c>
      <c r="K2591" s="4">
        <f t="shared" si="663"/>
        <v>45322</v>
      </c>
      <c r="L2591" s="5">
        <f t="shared" si="664"/>
        <v>1</v>
      </c>
      <c r="M2591" s="5">
        <f t="shared" si="665"/>
        <v>2024</v>
      </c>
      <c r="N2591" s="6">
        <v>1000</v>
      </c>
      <c r="O2591" s="6">
        <f t="shared" si="669"/>
        <v>-1000</v>
      </c>
      <c r="P2591" s="6">
        <f t="shared" si="668"/>
        <v>0</v>
      </c>
      <c r="Q2591" s="7">
        <f t="shared" si="655"/>
        <v>4190841.1500000008</v>
      </c>
      <c r="R2591" s="44" t="str">
        <f>VLOOKUP(F2591,'Set up'!$A$2:$E$70,5,FALSE)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si="661"/>
        <v>2</v>
      </c>
      <c r="C2592" s="5">
        <f t="shared" si="662"/>
        <v>2024</v>
      </c>
      <c r="D2592" s="5" t="s">
        <v>2342</v>
      </c>
      <c r="E2592" s="5" t="str">
        <f>VLOOKUP(F2592,'Set up'!$A$2:$C$70,2,FALSE)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up'!$A$2:$C$70,3,FALSE)</f>
        <v>Cash</v>
      </c>
      <c r="J2592" s="5">
        <f>VLOOKUP(F2592,'Set up'!$A$2:$D$70,4,FALSE)</f>
        <v>0</v>
      </c>
      <c r="K2592" s="4">
        <f t="shared" si="663"/>
        <v>45323</v>
      </c>
      <c r="L2592" s="5">
        <f t="shared" si="664"/>
        <v>2</v>
      </c>
      <c r="M2592" s="5">
        <f t="shared" si="665"/>
        <v>2024</v>
      </c>
      <c r="N2592" s="6">
        <v>1738</v>
      </c>
      <c r="O2592" s="6">
        <f>-588-1000-150</f>
        <v>-1738</v>
      </c>
      <c r="P2592" s="6">
        <f t="shared" si="668"/>
        <v>0</v>
      </c>
      <c r="Q2592" s="7">
        <v>4201587.1500000013</v>
      </c>
      <c r="R2592" s="44" t="str">
        <f>VLOOKUP(F2592,'Set up'!$A$2:$E$70,5,FALSE)</f>
        <v>Trsf</v>
      </c>
      <c r="S2592" s="1" t="s">
        <v>3587</v>
      </c>
    </row>
    <row r="2593" spans="1:19" ht="15" customHeight="1" x14ac:dyDescent="0.35">
      <c r="A2593" s="4">
        <v>45323</v>
      </c>
      <c r="B2593" s="5">
        <f t="shared" si="661"/>
        <v>2</v>
      </c>
      <c r="C2593" s="5">
        <f t="shared" si="662"/>
        <v>2024</v>
      </c>
      <c r="D2593" s="5" t="s">
        <v>2342</v>
      </c>
      <c r="E2593" s="5" t="str">
        <f>VLOOKUP(F2593,'Set up'!$A$2:$C$70,2,FALSE)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up'!$A$2:$C$70,3,FALSE)</f>
        <v>Cash</v>
      </c>
      <c r="J2593" s="5">
        <f>VLOOKUP(F2593,'Set up'!$A$2:$D$70,4,FALSE)</f>
        <v>0</v>
      </c>
      <c r="K2593" s="4">
        <f t="shared" si="663"/>
        <v>45323</v>
      </c>
      <c r="L2593" s="5">
        <f t="shared" si="664"/>
        <v>2</v>
      </c>
      <c r="M2593" s="5">
        <f t="shared" si="665"/>
        <v>2024</v>
      </c>
      <c r="N2593" s="6">
        <v>405</v>
      </c>
      <c r="O2593" s="6">
        <f t="shared" ref="O2593:O2594" si="670">-N2593</f>
        <v>-405</v>
      </c>
      <c r="P2593" s="6">
        <f t="shared" si="668"/>
        <v>0</v>
      </c>
      <c r="Q2593" s="7">
        <v>4201992.1500000013</v>
      </c>
      <c r="R2593" s="44" t="str">
        <f>VLOOKUP(F2593,'Set up'!$A$2:$E$70,5,FALSE)</f>
        <v>Trsf</v>
      </c>
      <c r="S2593" s="1" t="s">
        <v>3588</v>
      </c>
    </row>
    <row r="2594" spans="1:19" ht="15" customHeight="1" x14ac:dyDescent="0.35">
      <c r="A2594" s="4">
        <v>45323</v>
      </c>
      <c r="B2594" s="5">
        <f t="shared" si="661"/>
        <v>2</v>
      </c>
      <c r="C2594" s="5">
        <f t="shared" si="662"/>
        <v>2024</v>
      </c>
      <c r="D2594" s="5" t="s">
        <v>2342</v>
      </c>
      <c r="E2594" s="5" t="str">
        <f>VLOOKUP(F2594,'Set up'!$A$2:$C$70,2,FALSE)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up'!$A$2:$C$70,3,FALSE)</f>
        <v>Cash</v>
      </c>
      <c r="J2594" s="5">
        <f>VLOOKUP(F2594,'Set up'!$A$2:$D$70,4,FALSE)</f>
        <v>0</v>
      </c>
      <c r="K2594" s="4">
        <f t="shared" si="663"/>
        <v>45323</v>
      </c>
      <c r="L2594" s="5">
        <f t="shared" si="664"/>
        <v>2</v>
      </c>
      <c r="M2594" s="5">
        <f t="shared" si="665"/>
        <v>2024</v>
      </c>
      <c r="N2594" s="6">
        <v>110</v>
      </c>
      <c r="O2594" s="6">
        <f t="shared" si="670"/>
        <v>-110</v>
      </c>
      <c r="P2594" s="6">
        <f t="shared" si="668"/>
        <v>0</v>
      </c>
      <c r="Q2594" s="7">
        <v>4202102.1500000013</v>
      </c>
      <c r="R2594" s="44" t="str">
        <f>VLOOKUP(F2594,'Set up'!$A$2:$E$70,5,FALSE)</f>
        <v>Trsf</v>
      </c>
      <c r="S2594" s="1" t="s">
        <v>3589</v>
      </c>
    </row>
    <row r="2595" spans="1:19" ht="15" customHeight="1" x14ac:dyDescent="0.35">
      <c r="A2595" s="4">
        <v>45323</v>
      </c>
      <c r="B2595" s="5">
        <f t="shared" si="661"/>
        <v>2</v>
      </c>
      <c r="C2595" s="5">
        <f t="shared" si="662"/>
        <v>2024</v>
      </c>
      <c r="D2595" s="5" t="s">
        <v>2342</v>
      </c>
      <c r="E2595" s="5" t="str">
        <f>VLOOKUP(F2595,'Set up'!$A$2:$C$70,2,FALSE)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up'!$A$2:$C$70,3,FALSE)</f>
        <v>Cash</v>
      </c>
      <c r="J2595" s="5">
        <f>VLOOKUP(F2595,'Set up'!$A$2:$D$70,4,FALSE)</f>
        <v>0</v>
      </c>
      <c r="K2595" s="4">
        <f t="shared" si="663"/>
        <v>45323</v>
      </c>
      <c r="L2595" s="5">
        <f t="shared" si="664"/>
        <v>2</v>
      </c>
      <c r="M2595" s="5">
        <f t="shared" si="665"/>
        <v>2024</v>
      </c>
      <c r="N2595" s="6">
        <v>390</v>
      </c>
      <c r="O2595" s="6">
        <f>-335-55</f>
        <v>-390</v>
      </c>
      <c r="P2595" s="6">
        <f t="shared" si="668"/>
        <v>0</v>
      </c>
      <c r="Q2595" s="7">
        <v>4202492.1500000013</v>
      </c>
      <c r="R2595" s="44" t="str">
        <f>VLOOKUP(F2595,'Set up'!$A$2:$E$70,5,FALSE)</f>
        <v>Trsf</v>
      </c>
      <c r="S2595" s="1" t="s">
        <v>3590</v>
      </c>
    </row>
    <row r="2596" spans="1:19" ht="15" customHeight="1" x14ac:dyDescent="0.35">
      <c r="A2596" s="4">
        <v>45324</v>
      </c>
      <c r="B2596" s="5">
        <f t="shared" si="661"/>
        <v>2</v>
      </c>
      <c r="C2596" s="5">
        <f t="shared" si="662"/>
        <v>2024</v>
      </c>
      <c r="D2596" s="5" t="s">
        <v>2343</v>
      </c>
      <c r="E2596" s="5" t="str">
        <f>VLOOKUP(F2596,'Set up'!$A$2:$C$70,2,FALSE)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up'!$A$2:$C$70,3,FALSE)</f>
        <v>30</v>
      </c>
      <c r="J2596" s="5">
        <f>VLOOKUP(F2596,'Set up'!$A$2:$D$70,4,FALSE)</f>
        <v>30</v>
      </c>
      <c r="K2596" s="4">
        <f t="shared" si="663"/>
        <v>45354</v>
      </c>
      <c r="L2596" s="5">
        <f t="shared" si="664"/>
        <v>3</v>
      </c>
      <c r="M2596" s="5">
        <f t="shared" si="665"/>
        <v>2024</v>
      </c>
      <c r="N2596" s="6">
        <v>5214</v>
      </c>
      <c r="O2596" s="6">
        <f t="shared" ref="O2596:O2600" si="671">-N2596</f>
        <v>-5214</v>
      </c>
      <c r="P2596" s="6">
        <f t="shared" si="668"/>
        <v>0</v>
      </c>
      <c r="Q2596" s="7">
        <v>4207706.1500000013</v>
      </c>
      <c r="R2596" s="44" t="str">
        <f>VLOOKUP(F2596,'Set up'!$A$2:$E$70,5,FALSE)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661"/>
        <v>2</v>
      </c>
      <c r="C2597" s="5">
        <f t="shared" si="662"/>
        <v>2024</v>
      </c>
      <c r="D2597" s="5" t="s">
        <v>2343</v>
      </c>
      <c r="E2597" s="5" t="str">
        <f>VLOOKUP(F2597,'Set up'!$A$2:$C$70,2,FALSE)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up'!$A$2:$C$70,3,FALSE)</f>
        <v>30</v>
      </c>
      <c r="J2597" s="5">
        <f>VLOOKUP(F2597,'Set up'!$A$2:$D$70,4,FALSE)</f>
        <v>30</v>
      </c>
      <c r="K2597" s="4">
        <f t="shared" si="663"/>
        <v>45354</v>
      </c>
      <c r="L2597" s="5">
        <f t="shared" si="664"/>
        <v>3</v>
      </c>
      <c r="M2597" s="5">
        <f t="shared" si="665"/>
        <v>2024</v>
      </c>
      <c r="N2597" s="6">
        <v>2613</v>
      </c>
      <c r="O2597" s="6">
        <f t="shared" si="671"/>
        <v>-2613</v>
      </c>
      <c r="P2597" s="6">
        <f t="shared" si="668"/>
        <v>0</v>
      </c>
      <c r="Q2597" s="7">
        <v>4210319.1500000013</v>
      </c>
      <c r="R2597" s="44" t="str">
        <f>VLOOKUP(F2597,'Set up'!$A$2:$E$70,5,FALSE)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661"/>
        <v>2</v>
      </c>
      <c r="C2598" s="5">
        <f t="shared" si="662"/>
        <v>2024</v>
      </c>
      <c r="D2598" s="5" t="s">
        <v>2343</v>
      </c>
      <c r="E2598" s="5" t="str">
        <f>VLOOKUP(F2598,'Set up'!$A$2:$C$70,2,FALSE)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up'!$A$2:$C$70,3,FALSE)</f>
        <v>30</v>
      </c>
      <c r="J2598" s="5">
        <f>VLOOKUP(F2598,'Set up'!$A$2:$D$70,4,FALSE)</f>
        <v>30</v>
      </c>
      <c r="K2598" s="4">
        <f t="shared" si="663"/>
        <v>45354</v>
      </c>
      <c r="L2598" s="5">
        <f t="shared" si="664"/>
        <v>3</v>
      </c>
      <c r="M2598" s="5">
        <f t="shared" si="665"/>
        <v>2024</v>
      </c>
      <c r="N2598" s="6">
        <v>144</v>
      </c>
      <c r="O2598" s="6">
        <f t="shared" si="671"/>
        <v>-144</v>
      </c>
      <c r="P2598" s="6">
        <f t="shared" si="668"/>
        <v>0</v>
      </c>
      <c r="Q2598" s="7">
        <v>4210463.1500000013</v>
      </c>
      <c r="R2598" s="44" t="str">
        <f>VLOOKUP(F2598,'Set up'!$A$2:$E$70,5,FALSE)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661"/>
        <v>2</v>
      </c>
      <c r="C2599" s="5">
        <f t="shared" si="662"/>
        <v>2024</v>
      </c>
      <c r="D2599" s="5" t="s">
        <v>2343</v>
      </c>
      <c r="E2599" s="5" t="str">
        <f>VLOOKUP(F2599,'Set up'!$A$2:$C$70,2,FALSE)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up'!$A$2:$C$70,3,FALSE)</f>
        <v>30</v>
      </c>
      <c r="J2599" s="5">
        <f>VLOOKUP(F2599,'Set up'!$A$2:$D$70,4,FALSE)</f>
        <v>30</v>
      </c>
      <c r="K2599" s="4">
        <f t="shared" si="663"/>
        <v>45354</v>
      </c>
      <c r="L2599" s="5">
        <f t="shared" si="664"/>
        <v>3</v>
      </c>
      <c r="M2599" s="5">
        <f t="shared" si="665"/>
        <v>2024</v>
      </c>
      <c r="N2599" s="6">
        <v>187.5</v>
      </c>
      <c r="O2599" s="6">
        <f t="shared" si="671"/>
        <v>-187.5</v>
      </c>
      <c r="P2599" s="6">
        <f t="shared" si="668"/>
        <v>0</v>
      </c>
      <c r="Q2599" s="7">
        <v>4210650.6500000013</v>
      </c>
      <c r="R2599" s="44" t="str">
        <f>VLOOKUP(F2599,'Set up'!$A$2:$E$70,5,FALSE)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661"/>
        <v>2</v>
      </c>
      <c r="C2600" s="5">
        <f t="shared" si="662"/>
        <v>2024</v>
      </c>
      <c r="D2600" s="5" t="s">
        <v>2343</v>
      </c>
      <c r="E2600" s="5" t="str">
        <f>VLOOKUP(F2600,'Set up'!$A$2:$C$70,2,FALSE)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up'!$A$2:$C$70,3,FALSE)</f>
        <v>30</v>
      </c>
      <c r="J2600" s="5">
        <f>VLOOKUP(F2600,'Set up'!$A$2:$D$70,4,FALSE)</f>
        <v>30</v>
      </c>
      <c r="K2600" s="4">
        <f t="shared" si="663"/>
        <v>45354</v>
      </c>
      <c r="L2600" s="5">
        <f t="shared" si="664"/>
        <v>3</v>
      </c>
      <c r="M2600" s="5">
        <f t="shared" si="665"/>
        <v>2024</v>
      </c>
      <c r="N2600" s="6">
        <v>190</v>
      </c>
      <c r="O2600" s="6">
        <f t="shared" si="671"/>
        <v>-190</v>
      </c>
      <c r="P2600" s="6">
        <f t="shared" si="668"/>
        <v>0</v>
      </c>
      <c r="Q2600" s="7">
        <v>4210840.6500000013</v>
      </c>
      <c r="R2600" s="44" t="str">
        <f>VLOOKUP(F2600,'Set up'!$A$2:$E$70,5,FALSE)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661"/>
        <v>2</v>
      </c>
      <c r="C2601" s="5">
        <f t="shared" si="662"/>
        <v>2024</v>
      </c>
      <c r="D2601" s="5" t="s">
        <v>2344</v>
      </c>
      <c r="E2601" s="5" t="str">
        <f>VLOOKUP(F2601,'Set up'!$A$2:$C$70,2,FALSE)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up'!$A$2:$C$70,3,FALSE)</f>
        <v>Cash</v>
      </c>
      <c r="J2601" s="5">
        <f>VLOOKUP(F2601,'Set up'!$A$2:$D$70,4,FALSE)</f>
        <v>0</v>
      </c>
      <c r="K2601" s="4">
        <f t="shared" si="663"/>
        <v>45324</v>
      </c>
      <c r="L2601" s="5">
        <f t="shared" si="664"/>
        <v>2</v>
      </c>
      <c r="M2601" s="5">
        <f t="shared" si="665"/>
        <v>2024</v>
      </c>
      <c r="N2601" s="6">
        <v>555</v>
      </c>
      <c r="O2601" s="6">
        <f t="shared" ref="O2601" si="672">-N2601</f>
        <v>-555</v>
      </c>
      <c r="P2601" s="6">
        <f t="shared" si="668"/>
        <v>0</v>
      </c>
      <c r="Q2601" s="7">
        <v>4211395.6500000013</v>
      </c>
      <c r="R2601" s="44" t="str">
        <f>VLOOKUP(F2601,'Set up'!$A$2:$E$70,5,FALSE)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661"/>
        <v>2</v>
      </c>
      <c r="C2602" s="5">
        <f t="shared" si="662"/>
        <v>2024</v>
      </c>
      <c r="D2602" s="5" t="s">
        <v>2345</v>
      </c>
      <c r="E2602" s="5" t="str">
        <f>VLOOKUP(F2602,'Set up'!$A$2:$C$70,2,FALSE)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up'!$A$2:$C$70,3,FALSE)</f>
        <v>Cash</v>
      </c>
      <c r="J2602" s="5">
        <f>VLOOKUP(F2602,'Set up'!$A$2:$D$70,4,FALSE)</f>
        <v>0</v>
      </c>
      <c r="K2602" s="4">
        <f t="shared" si="663"/>
        <v>45325</v>
      </c>
      <c r="L2602" s="5">
        <f t="shared" si="664"/>
        <v>2</v>
      </c>
      <c r="M2602" s="5">
        <f t="shared" si="665"/>
        <v>2024</v>
      </c>
      <c r="N2602" s="6">
        <v>187.5</v>
      </c>
      <c r="O2602" s="6">
        <f>-N2602</f>
        <v>-187.5</v>
      </c>
      <c r="P2602" s="6">
        <f t="shared" si="668"/>
        <v>0</v>
      </c>
      <c r="Q2602" s="7">
        <v>4211583.1500000013</v>
      </c>
      <c r="R2602" s="44" t="str">
        <f>VLOOKUP(F2602,'Set up'!$A$2:$E$70,5,FALSE)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661"/>
        <v>2</v>
      </c>
      <c r="C2603" s="5">
        <f t="shared" si="662"/>
        <v>2024</v>
      </c>
      <c r="D2603" s="5" t="s">
        <v>2346</v>
      </c>
      <c r="E2603" s="5" t="str">
        <f>VLOOKUP(F2603,'Set up'!$A$2:$C$70,2,FALSE)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up'!$A$2:$C$70,3,FALSE)</f>
        <v>Cash</v>
      </c>
      <c r="J2603" s="5">
        <f>VLOOKUP(F2603,'Set up'!$A$2:$D$70,4,FALSE)</f>
        <v>0</v>
      </c>
      <c r="K2603" s="4">
        <f t="shared" si="663"/>
        <v>45325</v>
      </c>
      <c r="L2603" s="5">
        <f t="shared" si="664"/>
        <v>2</v>
      </c>
      <c r="M2603" s="5">
        <f t="shared" si="665"/>
        <v>2024</v>
      </c>
      <c r="N2603" s="6">
        <v>4818</v>
      </c>
      <c r="O2603" s="6">
        <f>-2993.7-1824.3</f>
        <v>-4818</v>
      </c>
      <c r="P2603" s="6">
        <f t="shared" si="668"/>
        <v>0</v>
      </c>
      <c r="Q2603" s="7">
        <v>4216401.1500000013</v>
      </c>
      <c r="R2603" s="44" t="str">
        <f>VLOOKUP(F2603,'Set up'!$A$2:$E$70,5,FALSE)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661"/>
        <v>2</v>
      </c>
      <c r="C2604" s="5">
        <f t="shared" si="662"/>
        <v>2024</v>
      </c>
      <c r="D2604" s="5" t="s">
        <v>2346</v>
      </c>
      <c r="E2604" s="5" t="str">
        <f>VLOOKUP(F2604,'Set up'!$A$2:$C$70,2,FALSE)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up'!$A$2:$C$70,3,FALSE)</f>
        <v>Cash</v>
      </c>
      <c r="J2604" s="5">
        <f>VLOOKUP(F2604,'Set up'!$A$2:$D$70,4,FALSE)</f>
        <v>0</v>
      </c>
      <c r="K2604" s="4">
        <f t="shared" si="663"/>
        <v>45325</v>
      </c>
      <c r="L2604" s="5">
        <f t="shared" si="664"/>
        <v>2</v>
      </c>
      <c r="M2604" s="5">
        <f t="shared" si="665"/>
        <v>2024</v>
      </c>
      <c r="N2604" s="6">
        <v>174</v>
      </c>
      <c r="O2604" s="6">
        <f t="shared" ref="O2604:O2609" si="673">-N2604</f>
        <v>-174</v>
      </c>
      <c r="P2604" s="6">
        <f t="shared" si="668"/>
        <v>0</v>
      </c>
      <c r="Q2604" s="7">
        <v>4216575.1500000013</v>
      </c>
      <c r="R2604" s="44" t="str">
        <f>VLOOKUP(F2604,'Set up'!$A$2:$E$70,5,FALSE)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661"/>
        <v>2</v>
      </c>
      <c r="C2605" s="5">
        <f t="shared" si="662"/>
        <v>2024</v>
      </c>
      <c r="D2605" s="5" t="s">
        <v>2346</v>
      </c>
      <c r="E2605" s="5" t="str">
        <f>VLOOKUP(F2605,'Set up'!$A$2:$C$70,2,FALSE)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up'!$A$2:$C$70,3,FALSE)</f>
        <v>Cash</v>
      </c>
      <c r="J2605" s="5">
        <f>VLOOKUP(F2605,'Set up'!$A$2:$D$70,4,FALSE)</f>
        <v>0</v>
      </c>
      <c r="K2605" s="4">
        <f t="shared" si="663"/>
        <v>45325</v>
      </c>
      <c r="L2605" s="5">
        <f t="shared" si="664"/>
        <v>2</v>
      </c>
      <c r="M2605" s="5">
        <f t="shared" si="665"/>
        <v>2024</v>
      </c>
      <c r="N2605" s="6">
        <v>1716.8</v>
      </c>
      <c r="O2605" s="6">
        <f t="shared" si="673"/>
        <v>-1716.8</v>
      </c>
      <c r="P2605" s="6">
        <f t="shared" si="668"/>
        <v>0</v>
      </c>
      <c r="Q2605" s="7">
        <v>4218291.9500000011</v>
      </c>
      <c r="R2605" s="44" t="str">
        <f>VLOOKUP(F2605,'Set up'!$A$2:$E$70,5,FALSE)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661"/>
        <v>2</v>
      </c>
      <c r="C2606" s="5">
        <f t="shared" si="662"/>
        <v>2024</v>
      </c>
      <c r="D2606" s="5" t="s">
        <v>2346</v>
      </c>
      <c r="E2606" s="5" t="str">
        <f>VLOOKUP(F2606,'Set up'!$A$2:$C$70,2,FALSE)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up'!$A$2:$C$70,3,FALSE)</f>
        <v>Cash</v>
      </c>
      <c r="J2606" s="5">
        <f>VLOOKUP(F2606,'Set up'!$A$2:$D$70,4,FALSE)</f>
        <v>0</v>
      </c>
      <c r="K2606" s="4">
        <f t="shared" si="663"/>
        <v>45325</v>
      </c>
      <c r="L2606" s="5">
        <f t="shared" si="664"/>
        <v>2</v>
      </c>
      <c r="M2606" s="5">
        <f t="shared" si="665"/>
        <v>2024</v>
      </c>
      <c r="N2606" s="6">
        <v>1040</v>
      </c>
      <c r="O2606" s="6">
        <f t="shared" si="673"/>
        <v>-1040</v>
      </c>
      <c r="P2606" s="6">
        <f t="shared" si="668"/>
        <v>0</v>
      </c>
      <c r="Q2606" s="7">
        <v>4219331.9500000011</v>
      </c>
      <c r="R2606" s="44" t="str">
        <f>VLOOKUP(F2606,'Set up'!$A$2:$E$70,5,FALSE)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661"/>
        <v>2</v>
      </c>
      <c r="C2607" s="5">
        <f t="shared" si="662"/>
        <v>2024</v>
      </c>
      <c r="D2607" s="5" t="s">
        <v>2346</v>
      </c>
      <c r="E2607" s="5" t="str">
        <f>VLOOKUP(F2607,'Set up'!$A$2:$C$70,2,FALSE)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up'!$A$2:$C$70,3,FALSE)</f>
        <v>Cash</v>
      </c>
      <c r="J2607" s="5">
        <f>VLOOKUP(F2607,'Set up'!$A$2:$D$70,4,FALSE)</f>
        <v>0</v>
      </c>
      <c r="K2607" s="4">
        <f t="shared" si="663"/>
        <v>45325</v>
      </c>
      <c r="L2607" s="5">
        <f t="shared" si="664"/>
        <v>2</v>
      </c>
      <c r="M2607" s="5">
        <f t="shared" si="665"/>
        <v>2024</v>
      </c>
      <c r="N2607" s="6">
        <v>1800</v>
      </c>
      <c r="O2607" s="6">
        <f t="shared" si="673"/>
        <v>-1800</v>
      </c>
      <c r="P2607" s="6">
        <f t="shared" si="668"/>
        <v>0</v>
      </c>
      <c r="Q2607" s="7">
        <v>4221131.9500000011</v>
      </c>
      <c r="R2607" s="44" t="str">
        <f>VLOOKUP(F2607,'Set up'!$A$2:$E$70,5,FALSE)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661"/>
        <v>2</v>
      </c>
      <c r="C2608" s="5">
        <f t="shared" si="662"/>
        <v>2024</v>
      </c>
      <c r="D2608" s="5" t="s">
        <v>2346</v>
      </c>
      <c r="E2608" s="5" t="str">
        <f>VLOOKUP(F2608,'Set up'!$A$2:$C$70,2,FALSE)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up'!$A$2:$C$70,3,FALSE)</f>
        <v>Cash</v>
      </c>
      <c r="J2608" s="5">
        <f>VLOOKUP(F2608,'Set up'!$A$2:$D$70,4,FALSE)</f>
        <v>0</v>
      </c>
      <c r="K2608" s="4">
        <f t="shared" si="663"/>
        <v>45325</v>
      </c>
      <c r="L2608" s="5">
        <f t="shared" si="664"/>
        <v>2</v>
      </c>
      <c r="M2608" s="5">
        <f t="shared" si="665"/>
        <v>2024</v>
      </c>
      <c r="N2608" s="6">
        <v>380</v>
      </c>
      <c r="O2608" s="6">
        <f t="shared" si="673"/>
        <v>-380</v>
      </c>
      <c r="P2608" s="6">
        <f t="shared" si="668"/>
        <v>0</v>
      </c>
      <c r="Q2608" s="7">
        <v>4221511.9500000011</v>
      </c>
      <c r="R2608" s="44" t="str">
        <f>VLOOKUP(F2608,'Set up'!$A$2:$E$70,5,FALSE)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661"/>
        <v>2</v>
      </c>
      <c r="C2609" s="5">
        <f t="shared" si="662"/>
        <v>2024</v>
      </c>
      <c r="D2609" s="5" t="s">
        <v>2347</v>
      </c>
      <c r="E2609" s="5" t="str">
        <f>VLOOKUP(F2609,'Set up'!$A$2:$C$70,2,FALSE)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up'!$A$2:$C$70,3,FALSE)</f>
        <v>Cash</v>
      </c>
      <c r="J2609" s="5">
        <f>VLOOKUP(F2609,'Set up'!$A$2:$D$70,4,FALSE)</f>
        <v>0</v>
      </c>
      <c r="K2609" s="4">
        <f t="shared" si="663"/>
        <v>45325</v>
      </c>
      <c r="L2609" s="5">
        <f t="shared" si="664"/>
        <v>2</v>
      </c>
      <c r="M2609" s="5">
        <f t="shared" si="665"/>
        <v>2024</v>
      </c>
      <c r="N2609" s="6">
        <v>1000</v>
      </c>
      <c r="O2609" s="6">
        <f t="shared" si="673"/>
        <v>-1000</v>
      </c>
      <c r="P2609" s="6">
        <f t="shared" si="668"/>
        <v>0</v>
      </c>
      <c r="Q2609" s="7">
        <v>4222511.9500000011</v>
      </c>
      <c r="R2609" s="44" t="str">
        <f>VLOOKUP(F2609,'Set up'!$A$2:$E$70,5,FALSE)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661"/>
        <v>2</v>
      </c>
      <c r="C2610" s="5">
        <f t="shared" si="662"/>
        <v>2024</v>
      </c>
      <c r="D2610" s="5" t="s">
        <v>2348</v>
      </c>
      <c r="E2610" s="5" t="str">
        <f>VLOOKUP(F2610,'Set up'!$A$2:$C$70,2,FALSE)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up'!$A$2:$C$70,3,FALSE)</f>
        <v>120</v>
      </c>
      <c r="J2610" s="5">
        <f>VLOOKUP(F2610,'Set up'!$A$2:$D$70,4,FALSE)</f>
        <v>120</v>
      </c>
      <c r="K2610" s="4">
        <f t="shared" si="663"/>
        <v>45447</v>
      </c>
      <c r="L2610" s="5">
        <f t="shared" si="664"/>
        <v>6</v>
      </c>
      <c r="M2610" s="5">
        <f t="shared" si="665"/>
        <v>2024</v>
      </c>
      <c r="N2610" s="6">
        <v>12848</v>
      </c>
      <c r="O2610" s="6">
        <f t="shared" ref="O2610:O2615" si="674">-N2610</f>
        <v>-12848</v>
      </c>
      <c r="P2610" s="6">
        <f t="shared" si="668"/>
        <v>0</v>
      </c>
      <c r="Q2610" s="7">
        <v>4235359.9500000011</v>
      </c>
      <c r="R2610" s="44" t="str">
        <f>VLOOKUP(F2610,'Set up'!$A$2:$E$70,5,FALSE)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661"/>
        <v>2</v>
      </c>
      <c r="C2611" s="5">
        <f t="shared" si="662"/>
        <v>2024</v>
      </c>
      <c r="D2611" s="5" t="s">
        <v>2348</v>
      </c>
      <c r="E2611" s="5" t="str">
        <f>VLOOKUP(F2611,'Set up'!$A$2:$C$70,2,FALSE)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up'!$A$2:$C$70,3,FALSE)</f>
        <v>120</v>
      </c>
      <c r="J2611" s="5">
        <f>VLOOKUP(F2611,'Set up'!$A$2:$D$70,4,FALSE)</f>
        <v>120</v>
      </c>
      <c r="K2611" s="4">
        <f t="shared" si="663"/>
        <v>45447</v>
      </c>
      <c r="L2611" s="5">
        <f t="shared" si="664"/>
        <v>6</v>
      </c>
      <c r="M2611" s="5">
        <f t="shared" si="665"/>
        <v>2024</v>
      </c>
      <c r="N2611" s="6">
        <v>1740</v>
      </c>
      <c r="O2611" s="6">
        <f t="shared" si="674"/>
        <v>-1740</v>
      </c>
      <c r="P2611" s="6">
        <f t="shared" si="668"/>
        <v>0</v>
      </c>
      <c r="Q2611" s="7">
        <v>4237099.9500000011</v>
      </c>
      <c r="R2611" s="44" t="str">
        <f>VLOOKUP(F2611,'Set up'!$A$2:$E$70,5,FALSE)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661"/>
        <v>2</v>
      </c>
      <c r="C2612" s="5">
        <f t="shared" si="662"/>
        <v>2024</v>
      </c>
      <c r="D2612" s="5" t="s">
        <v>2348</v>
      </c>
      <c r="E2612" s="5" t="str">
        <f>VLOOKUP(F2612,'Set up'!$A$2:$C$70,2,FALSE)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up'!$A$2:$C$70,3,FALSE)</f>
        <v>120</v>
      </c>
      <c r="J2612" s="5">
        <f>VLOOKUP(F2612,'Set up'!$A$2:$D$70,4,FALSE)</f>
        <v>120</v>
      </c>
      <c r="K2612" s="4">
        <f t="shared" si="663"/>
        <v>45447</v>
      </c>
      <c r="L2612" s="5">
        <f t="shared" si="664"/>
        <v>6</v>
      </c>
      <c r="M2612" s="5">
        <f t="shared" si="665"/>
        <v>2024</v>
      </c>
      <c r="N2612" s="6">
        <v>575</v>
      </c>
      <c r="O2612" s="6">
        <f t="shared" si="674"/>
        <v>-575</v>
      </c>
      <c r="P2612" s="6">
        <f t="shared" si="668"/>
        <v>0</v>
      </c>
      <c r="Q2612" s="7">
        <v>4237674.9500000011</v>
      </c>
      <c r="R2612" s="44" t="str">
        <f>VLOOKUP(F2612,'Set up'!$A$2:$E$70,5,FALSE)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661"/>
        <v>2</v>
      </c>
      <c r="C2613" s="5">
        <f t="shared" si="662"/>
        <v>2024</v>
      </c>
      <c r="D2613" s="5" t="s">
        <v>2348</v>
      </c>
      <c r="E2613" s="5" t="str">
        <f>VLOOKUP(F2613,'Set up'!$A$2:$C$70,2,FALSE)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up'!$A$2:$C$70,3,FALSE)</f>
        <v>120</v>
      </c>
      <c r="J2613" s="5">
        <f>VLOOKUP(F2613,'Set up'!$A$2:$D$70,4,FALSE)</f>
        <v>120</v>
      </c>
      <c r="K2613" s="4">
        <f t="shared" si="663"/>
        <v>45447</v>
      </c>
      <c r="L2613" s="5">
        <f t="shared" si="664"/>
        <v>6</v>
      </c>
      <c r="M2613" s="5">
        <f t="shared" si="665"/>
        <v>2024</v>
      </c>
      <c r="N2613" s="6">
        <v>880</v>
      </c>
      <c r="O2613" s="6">
        <f t="shared" si="674"/>
        <v>-880</v>
      </c>
      <c r="P2613" s="6">
        <f t="shared" si="668"/>
        <v>0</v>
      </c>
      <c r="Q2613" s="7">
        <v>4238554.9500000011</v>
      </c>
      <c r="R2613" s="44" t="str">
        <f>VLOOKUP(F2613,'Set up'!$A$2:$E$70,5,FALSE)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661"/>
        <v>2</v>
      </c>
      <c r="C2614" s="5">
        <f t="shared" si="662"/>
        <v>2024</v>
      </c>
      <c r="D2614" s="5" t="s">
        <v>2348</v>
      </c>
      <c r="E2614" s="5" t="str">
        <f>VLOOKUP(F2614,'Set up'!$A$2:$C$70,2,FALSE)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up'!$A$2:$C$70,3,FALSE)</f>
        <v>120</v>
      </c>
      <c r="J2614" s="5">
        <f>VLOOKUP(F2614,'Set up'!$A$2:$D$70,4,FALSE)</f>
        <v>120</v>
      </c>
      <c r="K2614" s="4">
        <f t="shared" si="663"/>
        <v>45447</v>
      </c>
      <c r="L2614" s="5">
        <f t="shared" si="664"/>
        <v>6</v>
      </c>
      <c r="M2614" s="5">
        <f t="shared" si="665"/>
        <v>2024</v>
      </c>
      <c r="N2614" s="6">
        <v>420</v>
      </c>
      <c r="O2614" s="6">
        <f t="shared" si="674"/>
        <v>-420</v>
      </c>
      <c r="P2614" s="6">
        <f t="shared" si="668"/>
        <v>0</v>
      </c>
      <c r="Q2614" s="7">
        <v>4238974.9500000011</v>
      </c>
      <c r="R2614" s="44" t="str">
        <f>VLOOKUP(F2614,'Set up'!$A$2:$E$70,5,FALSE)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661"/>
        <v>2</v>
      </c>
      <c r="C2615" s="5">
        <f t="shared" si="662"/>
        <v>2024</v>
      </c>
      <c r="D2615" s="5" t="s">
        <v>2348</v>
      </c>
      <c r="E2615" s="5" t="str">
        <f>VLOOKUP(F2615,'Set up'!$A$2:$C$70,2,FALSE)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up'!$A$2:$C$70,3,FALSE)</f>
        <v>120</v>
      </c>
      <c r="J2615" s="5">
        <f>VLOOKUP(F2615,'Set up'!$A$2:$D$70,4,FALSE)</f>
        <v>120</v>
      </c>
      <c r="K2615" s="4">
        <f t="shared" si="663"/>
        <v>45447</v>
      </c>
      <c r="L2615" s="5">
        <f t="shared" si="664"/>
        <v>6</v>
      </c>
      <c r="M2615" s="5">
        <f t="shared" si="665"/>
        <v>2024</v>
      </c>
      <c r="N2615" s="6">
        <v>395</v>
      </c>
      <c r="O2615" s="6">
        <f t="shared" si="674"/>
        <v>-395</v>
      </c>
      <c r="P2615" s="6">
        <f t="shared" si="668"/>
        <v>0</v>
      </c>
      <c r="Q2615" s="7">
        <v>4239369.9500000011</v>
      </c>
      <c r="R2615" s="44" t="str">
        <f>VLOOKUP(F2615,'Set up'!$A$2:$E$70,5,FALSE)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661"/>
        <v>2</v>
      </c>
      <c r="C2616" s="5">
        <f t="shared" si="662"/>
        <v>2024</v>
      </c>
      <c r="D2616" s="5" t="s">
        <v>2349</v>
      </c>
      <c r="E2616" s="5" t="str">
        <f>VLOOKUP(F2616,'Set up'!$A$2:$C$70,2,FALSE)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up'!$A$2:$C$70,3,FALSE)</f>
        <v>Cash</v>
      </c>
      <c r="J2616" s="5">
        <f>VLOOKUP(F2616,'Set up'!$A$2:$D$70,4,FALSE)</f>
        <v>0</v>
      </c>
      <c r="K2616" s="4">
        <f t="shared" si="663"/>
        <v>45328</v>
      </c>
      <c r="L2616" s="5">
        <f t="shared" si="664"/>
        <v>2</v>
      </c>
      <c r="M2616" s="5">
        <f t="shared" si="665"/>
        <v>2024</v>
      </c>
      <c r="N2616" s="6">
        <v>812.5</v>
      </c>
      <c r="O2616" s="6">
        <f>-N2616</f>
        <v>-812.5</v>
      </c>
      <c r="P2616" s="6">
        <f t="shared" si="668"/>
        <v>0</v>
      </c>
      <c r="Q2616" s="7">
        <v>4240182.4500000011</v>
      </c>
      <c r="R2616" s="44" t="str">
        <f>VLOOKUP(F2616,'Set up'!$A$2:$E$70,5,FALSE)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661"/>
        <v>2</v>
      </c>
      <c r="C2617" s="5">
        <f t="shared" si="662"/>
        <v>2024</v>
      </c>
      <c r="D2617" s="5" t="s">
        <v>2350</v>
      </c>
      <c r="E2617" s="5" t="str">
        <f>VLOOKUP(F2617,'Set up'!$A$2:$C$70,2,FALSE)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up'!$A$2:$C$70,3,FALSE)</f>
        <v>Cash</v>
      </c>
      <c r="J2617" s="5">
        <f>VLOOKUP(F2617,'Set up'!$A$2:$D$70,4,FALSE)</f>
        <v>0</v>
      </c>
      <c r="K2617" s="4">
        <f t="shared" si="663"/>
        <v>45328</v>
      </c>
      <c r="L2617" s="5">
        <f t="shared" si="664"/>
        <v>2</v>
      </c>
      <c r="M2617" s="5">
        <f t="shared" si="665"/>
        <v>2024</v>
      </c>
      <c r="N2617" s="6">
        <v>19272</v>
      </c>
      <c r="O2617" s="6">
        <f>-1252.4-7000-10000-1019.6</f>
        <v>-19272</v>
      </c>
      <c r="P2617" s="6">
        <f t="shared" si="668"/>
        <v>0</v>
      </c>
      <c r="Q2617" s="7">
        <v>4259454.4500000011</v>
      </c>
      <c r="R2617" s="44" t="str">
        <f>VLOOKUP(F2617,'Set up'!$A$2:$E$70,5,FALSE)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661"/>
        <v>2</v>
      </c>
      <c r="C2618" s="5">
        <f t="shared" si="662"/>
        <v>2024</v>
      </c>
      <c r="D2618" s="5" t="s">
        <v>2350</v>
      </c>
      <c r="E2618" s="5" t="str">
        <f>VLOOKUP(F2618,'Set up'!$A$2:$C$70,2,FALSE)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up'!$A$2:$C$70,3,FALSE)</f>
        <v>Cash</v>
      </c>
      <c r="J2618" s="5">
        <f>VLOOKUP(F2618,'Set up'!$A$2:$D$70,4,FALSE)</f>
        <v>0</v>
      </c>
      <c r="K2618" s="4">
        <f t="shared" si="663"/>
        <v>45328</v>
      </c>
      <c r="L2618" s="5">
        <f t="shared" si="664"/>
        <v>2</v>
      </c>
      <c r="M2618" s="5">
        <f t="shared" si="665"/>
        <v>2024</v>
      </c>
      <c r="N2618" s="6">
        <v>5742</v>
      </c>
      <c r="O2618" s="6">
        <f>-N2618</f>
        <v>-5742</v>
      </c>
      <c r="P2618" s="6">
        <f t="shared" si="668"/>
        <v>0</v>
      </c>
      <c r="Q2618" s="7">
        <v>4265196.4500000011</v>
      </c>
      <c r="R2618" s="44" t="str">
        <f>VLOOKUP(F2618,'Set up'!$A$2:$E$70,5,FALSE)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661"/>
        <v>2</v>
      </c>
      <c r="C2619" s="5">
        <f t="shared" si="662"/>
        <v>2024</v>
      </c>
      <c r="D2619" s="5" t="s">
        <v>2350</v>
      </c>
      <c r="E2619" s="5" t="str">
        <f>VLOOKUP(F2619,'Set up'!$A$2:$C$70,2,FALSE)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up'!$A$2:$C$70,3,FALSE)</f>
        <v>Cash</v>
      </c>
      <c r="J2619" s="5">
        <f>VLOOKUP(F2619,'Set up'!$A$2:$D$70,4,FALSE)</f>
        <v>0</v>
      </c>
      <c r="K2619" s="4">
        <f t="shared" si="663"/>
        <v>45328</v>
      </c>
      <c r="L2619" s="5">
        <f t="shared" si="664"/>
        <v>2</v>
      </c>
      <c r="M2619" s="5">
        <f t="shared" si="665"/>
        <v>2024</v>
      </c>
      <c r="N2619" s="6">
        <v>4914</v>
      </c>
      <c r="O2619" s="6">
        <f>-3438.4-1475.6</f>
        <v>-4914</v>
      </c>
      <c r="P2619" s="6">
        <f t="shared" si="668"/>
        <v>0</v>
      </c>
      <c r="Q2619" s="7">
        <v>4270110.4500000011</v>
      </c>
      <c r="R2619" s="44" t="str">
        <f>VLOOKUP(F2619,'Set up'!$A$2:$E$70,5,FALSE)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661"/>
        <v>2</v>
      </c>
      <c r="C2620" s="5">
        <f t="shared" si="662"/>
        <v>2024</v>
      </c>
      <c r="D2620" s="5" t="s">
        <v>2350</v>
      </c>
      <c r="E2620" s="5" t="str">
        <f>VLOOKUP(F2620,'Set up'!$A$2:$C$70,2,FALSE)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up'!$A$2:$C$70,3,FALSE)</f>
        <v>Cash</v>
      </c>
      <c r="J2620" s="5">
        <f>VLOOKUP(F2620,'Set up'!$A$2:$D$70,4,FALSE)</f>
        <v>0</v>
      </c>
      <c r="K2620" s="4">
        <f t="shared" si="663"/>
        <v>45328</v>
      </c>
      <c r="L2620" s="5">
        <f t="shared" si="664"/>
        <v>2</v>
      </c>
      <c r="M2620" s="5">
        <f t="shared" si="665"/>
        <v>2024</v>
      </c>
      <c r="N2620" s="6">
        <v>380</v>
      </c>
      <c r="O2620" s="6">
        <f>-N2620</f>
        <v>-380</v>
      </c>
      <c r="P2620" s="6">
        <f t="shared" si="668"/>
        <v>0</v>
      </c>
      <c r="Q2620" s="7">
        <v>4270490.4500000011</v>
      </c>
      <c r="R2620" s="44" t="str">
        <f>VLOOKUP(F2620,'Set up'!$A$2:$E$70,5,FALSE)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661"/>
        <v>2</v>
      </c>
      <c r="C2621" s="5">
        <f t="shared" si="662"/>
        <v>2024</v>
      </c>
      <c r="D2621" s="5" t="s">
        <v>2351</v>
      </c>
      <c r="E2621" s="5" t="str">
        <f>VLOOKUP(F2621,'Set up'!$A$2:$C$70,2,FALSE)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up'!$A$2:$C$70,3,FALSE)</f>
        <v>Cash</v>
      </c>
      <c r="J2621" s="5">
        <f>VLOOKUP(F2621,'Set up'!$A$2:$D$70,4,FALSE)</f>
        <v>0</v>
      </c>
      <c r="K2621" s="4">
        <f t="shared" si="663"/>
        <v>45328</v>
      </c>
      <c r="L2621" s="5">
        <f t="shared" si="664"/>
        <v>2</v>
      </c>
      <c r="M2621" s="5">
        <f t="shared" si="665"/>
        <v>2024</v>
      </c>
      <c r="N2621" s="6">
        <v>1738</v>
      </c>
      <c r="O2621" s="6">
        <f t="shared" ref="O2621:O2627" si="675">-N2621</f>
        <v>-1738</v>
      </c>
      <c r="P2621" s="6">
        <f t="shared" si="668"/>
        <v>0</v>
      </c>
      <c r="Q2621" s="7">
        <v>4272228.4500000011</v>
      </c>
      <c r="R2621" s="44" t="str">
        <f>VLOOKUP(F2621,'Set up'!$A$2:$E$70,5,FALSE)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661"/>
        <v>2</v>
      </c>
      <c r="C2622" s="5">
        <f t="shared" si="662"/>
        <v>2024</v>
      </c>
      <c r="D2622" s="5" t="s">
        <v>2351</v>
      </c>
      <c r="E2622" s="5" t="str">
        <f>VLOOKUP(F2622,'Set up'!$A$2:$C$70,2,FALSE)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up'!$A$2:$C$70,3,FALSE)</f>
        <v>Cash</v>
      </c>
      <c r="J2622" s="5">
        <f>VLOOKUP(F2622,'Set up'!$A$2:$D$70,4,FALSE)</f>
        <v>0</v>
      </c>
      <c r="K2622" s="4">
        <f t="shared" si="663"/>
        <v>45328</v>
      </c>
      <c r="L2622" s="5">
        <f t="shared" si="664"/>
        <v>2</v>
      </c>
      <c r="M2622" s="5">
        <f t="shared" si="665"/>
        <v>2024</v>
      </c>
      <c r="N2622" s="6">
        <v>250</v>
      </c>
      <c r="O2622" s="6">
        <f t="shared" si="675"/>
        <v>-250</v>
      </c>
      <c r="P2622" s="6">
        <f t="shared" si="668"/>
        <v>0</v>
      </c>
      <c r="Q2622" s="7">
        <v>4272478.4500000011</v>
      </c>
      <c r="R2622" s="44" t="str">
        <f>VLOOKUP(F2622,'Set up'!$A$2:$E$70,5,FALSE)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661"/>
        <v>2</v>
      </c>
      <c r="C2623" s="5">
        <f t="shared" si="662"/>
        <v>2024</v>
      </c>
      <c r="D2623" s="5" t="s">
        <v>2351</v>
      </c>
      <c r="E2623" s="5" t="str">
        <f>VLOOKUP(F2623,'Set up'!$A$2:$C$70,2,FALSE)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up'!$A$2:$C$70,3,FALSE)</f>
        <v>Cash</v>
      </c>
      <c r="J2623" s="5">
        <f>VLOOKUP(F2623,'Set up'!$A$2:$D$70,4,FALSE)</f>
        <v>0</v>
      </c>
      <c r="K2623" s="4">
        <f t="shared" si="663"/>
        <v>45328</v>
      </c>
      <c r="L2623" s="5">
        <f t="shared" si="664"/>
        <v>2</v>
      </c>
      <c r="M2623" s="5">
        <f t="shared" si="665"/>
        <v>2024</v>
      </c>
      <c r="N2623" s="6">
        <v>283.8</v>
      </c>
      <c r="O2623" s="6">
        <f t="shared" si="675"/>
        <v>-283.8</v>
      </c>
      <c r="P2623" s="6">
        <f t="shared" si="668"/>
        <v>0</v>
      </c>
      <c r="Q2623" s="7">
        <v>4272762.2500000009</v>
      </c>
      <c r="R2623" s="44" t="str">
        <f>VLOOKUP(F2623,'Set up'!$A$2:$E$70,5,FALSE)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661"/>
        <v>2</v>
      </c>
      <c r="C2624" s="5">
        <f t="shared" si="662"/>
        <v>2024</v>
      </c>
      <c r="D2624" s="5" t="s">
        <v>2351</v>
      </c>
      <c r="E2624" s="5" t="str">
        <f>VLOOKUP(F2624,'Set up'!$A$2:$C$70,2,FALSE)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up'!$A$2:$C$70,3,FALSE)</f>
        <v>Cash</v>
      </c>
      <c r="J2624" s="5">
        <f>VLOOKUP(F2624,'Set up'!$A$2:$D$70,4,FALSE)</f>
        <v>0</v>
      </c>
      <c r="K2624" s="4">
        <f t="shared" si="663"/>
        <v>45328</v>
      </c>
      <c r="L2624" s="5">
        <f t="shared" si="664"/>
        <v>2</v>
      </c>
      <c r="M2624" s="5">
        <f t="shared" si="665"/>
        <v>2024</v>
      </c>
      <c r="N2624" s="6">
        <v>55.2</v>
      </c>
      <c r="O2624" s="6">
        <f t="shared" si="675"/>
        <v>-55.2</v>
      </c>
      <c r="P2624" s="6">
        <f t="shared" si="668"/>
        <v>0</v>
      </c>
      <c r="Q2624" s="7">
        <v>4272817.4500000011</v>
      </c>
      <c r="R2624" s="44" t="str">
        <f>VLOOKUP(F2624,'Set up'!$A$2:$E$70,5,FALSE)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661"/>
        <v>2</v>
      </c>
      <c r="C2625" s="5">
        <f t="shared" si="662"/>
        <v>2024</v>
      </c>
      <c r="D2625" s="5" t="s">
        <v>2351</v>
      </c>
      <c r="E2625" s="5" t="str">
        <f>VLOOKUP(F2625,'Set up'!$A$2:$C$70,2,FALSE)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up'!$A$2:$C$70,3,FALSE)</f>
        <v>Cash</v>
      </c>
      <c r="J2625" s="5">
        <f>VLOOKUP(F2625,'Set up'!$A$2:$D$70,4,FALSE)</f>
        <v>0</v>
      </c>
      <c r="K2625" s="4">
        <f t="shared" si="663"/>
        <v>45328</v>
      </c>
      <c r="L2625" s="5">
        <f t="shared" si="664"/>
        <v>2</v>
      </c>
      <c r="M2625" s="5">
        <f t="shared" si="665"/>
        <v>2024</v>
      </c>
      <c r="N2625" s="6">
        <v>160</v>
      </c>
      <c r="O2625" s="6">
        <f t="shared" si="675"/>
        <v>-160</v>
      </c>
      <c r="P2625" s="6">
        <f t="shared" si="668"/>
        <v>0</v>
      </c>
      <c r="Q2625" s="7">
        <v>4272977.4500000011</v>
      </c>
      <c r="R2625" s="44" t="str">
        <f>VLOOKUP(F2625,'Set up'!$A$2:$E$70,5,FALSE)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661"/>
        <v>2</v>
      </c>
      <c r="C2626" s="5">
        <f t="shared" si="662"/>
        <v>2024</v>
      </c>
      <c r="D2626" s="5" t="s">
        <v>2351</v>
      </c>
      <c r="E2626" s="5" t="str">
        <f>VLOOKUP(F2626,'Set up'!$A$2:$C$70,2,FALSE)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up'!$A$2:$C$70,3,FALSE)</f>
        <v>Cash</v>
      </c>
      <c r="J2626" s="5">
        <f>VLOOKUP(F2626,'Set up'!$A$2:$D$70,4,FALSE)</f>
        <v>0</v>
      </c>
      <c r="K2626" s="4">
        <f t="shared" si="663"/>
        <v>45328</v>
      </c>
      <c r="L2626" s="5">
        <f t="shared" si="664"/>
        <v>2</v>
      </c>
      <c r="M2626" s="5">
        <f t="shared" si="665"/>
        <v>2024</v>
      </c>
      <c r="N2626" s="6">
        <v>120</v>
      </c>
      <c r="O2626" s="6">
        <f t="shared" si="675"/>
        <v>-120</v>
      </c>
      <c r="P2626" s="6">
        <f t="shared" si="668"/>
        <v>0</v>
      </c>
      <c r="Q2626" s="7">
        <v>4273097.4500000011</v>
      </c>
      <c r="R2626" s="44" t="str">
        <f>VLOOKUP(F2626,'Set up'!$A$2:$E$70,5,FALSE)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ref="B2627:B2690" si="676">MONTH(A2627)</f>
        <v>2</v>
      </c>
      <c r="C2627" s="5">
        <f t="shared" ref="C2627:C2690" si="677">YEAR(A2627)</f>
        <v>2024</v>
      </c>
      <c r="D2627" s="5" t="s">
        <v>2352</v>
      </c>
      <c r="E2627" s="5" t="str">
        <f>VLOOKUP(F2627,'Set up'!$A$2:$C$70,2,FALSE)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up'!$A$2:$C$70,3,FALSE)</f>
        <v>Cash</v>
      </c>
      <c r="J2627" s="5">
        <f>VLOOKUP(F2627,'Set up'!$A$2:$D$70,4,FALSE)</f>
        <v>0</v>
      </c>
      <c r="K2627" s="4">
        <f t="shared" ref="K2627:K2690" si="678">A2627+J2627</f>
        <v>45330</v>
      </c>
      <c r="L2627" s="5">
        <f t="shared" ref="L2627:L2690" si="679">MONTH(K2627)</f>
        <v>2</v>
      </c>
      <c r="M2627" s="5">
        <f t="shared" ref="M2627:M2690" si="680">YEAR(K2627)</f>
        <v>2024</v>
      </c>
      <c r="N2627" s="6">
        <v>1694</v>
      </c>
      <c r="O2627" s="6">
        <f t="shared" si="675"/>
        <v>-1694</v>
      </c>
      <c r="P2627" s="6">
        <f t="shared" si="668"/>
        <v>0</v>
      </c>
      <c r="Q2627" s="7">
        <v>4274791.4500000011</v>
      </c>
      <c r="R2627" s="44" t="str">
        <f>VLOOKUP(F2627,'Set up'!$A$2:$E$70,5,FALSE)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676"/>
        <v>2</v>
      </c>
      <c r="C2628" s="5">
        <f t="shared" si="677"/>
        <v>2024</v>
      </c>
      <c r="D2628" s="5" t="s">
        <v>2353</v>
      </c>
      <c r="E2628" s="5" t="str">
        <f>VLOOKUP(F2628,'Set up'!$A$2:$C$70,2,FALSE)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up'!$A$2:$C$70,3,FALSE)</f>
        <v>120</v>
      </c>
      <c r="J2628" s="5">
        <f>VLOOKUP(F2628,'Set up'!$A$2:$D$70,4,FALSE)</f>
        <v>120</v>
      </c>
      <c r="K2628" s="4">
        <f t="shared" si="678"/>
        <v>45450</v>
      </c>
      <c r="L2628" s="5">
        <f t="shared" si="679"/>
        <v>6</v>
      </c>
      <c r="M2628" s="5">
        <f t="shared" si="680"/>
        <v>2024</v>
      </c>
      <c r="N2628" s="6">
        <v>9636</v>
      </c>
      <c r="O2628" s="6">
        <f t="shared" ref="O2628:O2633" si="681">-N2628</f>
        <v>-9636</v>
      </c>
      <c r="P2628" s="6">
        <f t="shared" si="668"/>
        <v>0</v>
      </c>
      <c r="Q2628" s="7">
        <v>4284427.4500000011</v>
      </c>
      <c r="R2628" s="44" t="str">
        <f>VLOOKUP(F2628,'Set up'!$A$2:$E$70,5,FALSE)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676"/>
        <v>2</v>
      </c>
      <c r="C2629" s="5">
        <f t="shared" si="677"/>
        <v>2024</v>
      </c>
      <c r="D2629" s="5" t="s">
        <v>2353</v>
      </c>
      <c r="E2629" s="5" t="str">
        <f>VLOOKUP(F2629,'Set up'!$A$2:$C$70,2,FALSE)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up'!$A$2:$C$70,3,FALSE)</f>
        <v>120</v>
      </c>
      <c r="J2629" s="5">
        <f>VLOOKUP(F2629,'Set up'!$A$2:$D$70,4,FALSE)</f>
        <v>120</v>
      </c>
      <c r="K2629" s="4">
        <f t="shared" si="678"/>
        <v>45450</v>
      </c>
      <c r="L2629" s="5">
        <f t="shared" si="679"/>
        <v>6</v>
      </c>
      <c r="M2629" s="5">
        <f t="shared" si="680"/>
        <v>2024</v>
      </c>
      <c r="N2629" s="6">
        <v>1740</v>
      </c>
      <c r="O2629" s="6">
        <f t="shared" si="681"/>
        <v>-1740</v>
      </c>
      <c r="P2629" s="6">
        <f t="shared" si="668"/>
        <v>0</v>
      </c>
      <c r="Q2629" s="7">
        <v>4286167.4500000011</v>
      </c>
      <c r="R2629" s="44" t="str">
        <f>VLOOKUP(F2629,'Set up'!$A$2:$E$70,5,FALSE)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676"/>
        <v>2</v>
      </c>
      <c r="C2630" s="5">
        <f t="shared" si="677"/>
        <v>2024</v>
      </c>
      <c r="D2630" s="5" t="s">
        <v>2353</v>
      </c>
      <c r="E2630" s="5" t="str">
        <f>VLOOKUP(F2630,'Set up'!$A$2:$C$70,2,FALSE)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up'!$A$2:$C$70,3,FALSE)</f>
        <v>120</v>
      </c>
      <c r="J2630" s="5">
        <f>VLOOKUP(F2630,'Set up'!$A$2:$D$70,4,FALSE)</f>
        <v>120</v>
      </c>
      <c r="K2630" s="4">
        <f t="shared" si="678"/>
        <v>45450</v>
      </c>
      <c r="L2630" s="5">
        <f t="shared" si="679"/>
        <v>6</v>
      </c>
      <c r="M2630" s="5">
        <f t="shared" si="680"/>
        <v>2024</v>
      </c>
      <c r="N2630" s="6">
        <v>287.5</v>
      </c>
      <c r="O2630" s="6">
        <f t="shared" si="681"/>
        <v>-287.5</v>
      </c>
      <c r="P2630" s="6">
        <f t="shared" si="668"/>
        <v>0</v>
      </c>
      <c r="Q2630" s="7">
        <v>4286454.9500000011</v>
      </c>
      <c r="R2630" s="44" t="str">
        <f>VLOOKUP(F2630,'Set up'!$A$2:$E$70,5,FALSE)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676"/>
        <v>2</v>
      </c>
      <c r="C2631" s="5">
        <f t="shared" si="677"/>
        <v>2024</v>
      </c>
      <c r="D2631" s="5" t="s">
        <v>2353</v>
      </c>
      <c r="E2631" s="5" t="str">
        <f>VLOOKUP(F2631,'Set up'!$A$2:$C$70,2,FALSE)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up'!$A$2:$C$70,3,FALSE)</f>
        <v>120</v>
      </c>
      <c r="J2631" s="5">
        <f>VLOOKUP(F2631,'Set up'!$A$2:$D$70,4,FALSE)</f>
        <v>120</v>
      </c>
      <c r="K2631" s="4">
        <f t="shared" si="678"/>
        <v>45450</v>
      </c>
      <c r="L2631" s="5">
        <f t="shared" si="679"/>
        <v>6</v>
      </c>
      <c r="M2631" s="5">
        <f t="shared" si="680"/>
        <v>2024</v>
      </c>
      <c r="N2631" s="6">
        <v>440</v>
      </c>
      <c r="O2631" s="6">
        <f t="shared" si="681"/>
        <v>-440</v>
      </c>
      <c r="P2631" s="6">
        <f t="shared" si="668"/>
        <v>0</v>
      </c>
      <c r="Q2631" s="7">
        <v>4286894.9500000011</v>
      </c>
      <c r="R2631" s="44" t="str">
        <f>VLOOKUP(F2631,'Set up'!$A$2:$E$70,5,FALSE)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676"/>
        <v>2</v>
      </c>
      <c r="C2632" s="5">
        <f t="shared" si="677"/>
        <v>2024</v>
      </c>
      <c r="D2632" s="5" t="s">
        <v>2353</v>
      </c>
      <c r="E2632" s="5" t="str">
        <f>VLOOKUP(F2632,'Set up'!$A$2:$C$70,2,FALSE)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up'!$A$2:$C$70,3,FALSE)</f>
        <v>120</v>
      </c>
      <c r="J2632" s="5">
        <f>VLOOKUP(F2632,'Set up'!$A$2:$D$70,4,FALSE)</f>
        <v>120</v>
      </c>
      <c r="K2632" s="4">
        <f t="shared" si="678"/>
        <v>45450</v>
      </c>
      <c r="L2632" s="5">
        <f t="shared" si="679"/>
        <v>6</v>
      </c>
      <c r="M2632" s="5">
        <f t="shared" si="680"/>
        <v>2024</v>
      </c>
      <c r="N2632" s="6">
        <v>420</v>
      </c>
      <c r="O2632" s="6">
        <f t="shared" si="681"/>
        <v>-420</v>
      </c>
      <c r="P2632" s="6">
        <f t="shared" si="668"/>
        <v>0</v>
      </c>
      <c r="Q2632" s="7">
        <v>4287314.9500000011</v>
      </c>
      <c r="R2632" s="44" t="str">
        <f>VLOOKUP(F2632,'Set up'!$A$2:$E$70,5,FALSE)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676"/>
        <v>2</v>
      </c>
      <c r="C2633" s="5">
        <f t="shared" si="677"/>
        <v>2024</v>
      </c>
      <c r="D2633" s="5" t="s">
        <v>2353</v>
      </c>
      <c r="E2633" s="5" t="str">
        <f>VLOOKUP(F2633,'Set up'!$A$2:$C$70,2,FALSE)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up'!$A$2:$C$70,3,FALSE)</f>
        <v>120</v>
      </c>
      <c r="J2633" s="5">
        <f>VLOOKUP(F2633,'Set up'!$A$2:$D$70,4,FALSE)</f>
        <v>120</v>
      </c>
      <c r="K2633" s="4">
        <f t="shared" si="678"/>
        <v>45450</v>
      </c>
      <c r="L2633" s="5">
        <f t="shared" si="679"/>
        <v>6</v>
      </c>
      <c r="M2633" s="5">
        <f t="shared" si="680"/>
        <v>2024</v>
      </c>
      <c r="N2633" s="6">
        <v>220</v>
      </c>
      <c r="O2633" s="6">
        <f t="shared" si="681"/>
        <v>-220</v>
      </c>
      <c r="P2633" s="6">
        <f t="shared" si="668"/>
        <v>0</v>
      </c>
      <c r="Q2633" s="7">
        <v>4287534.9500000011</v>
      </c>
      <c r="R2633" s="44" t="str">
        <f>VLOOKUP(F2633,'Set up'!$A$2:$E$70,5,FALSE)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676"/>
        <v>2</v>
      </c>
      <c r="C2634" s="5">
        <f t="shared" si="677"/>
        <v>2024</v>
      </c>
      <c r="D2634" s="5" t="s">
        <v>2354</v>
      </c>
      <c r="E2634" s="5" t="str">
        <f>VLOOKUP(F2634,'Set up'!$A$2:$C$70,2,FALSE)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up'!$A$2:$C$70,3,FALSE)</f>
        <v>Cash</v>
      </c>
      <c r="J2634" s="5">
        <f>VLOOKUP(F2634,'Set up'!$A$2:$D$70,4,FALSE)</f>
        <v>0</v>
      </c>
      <c r="K2634" s="4">
        <f t="shared" si="678"/>
        <v>45337</v>
      </c>
      <c r="L2634" s="5">
        <f t="shared" si="679"/>
        <v>2</v>
      </c>
      <c r="M2634" s="5">
        <f t="shared" si="680"/>
        <v>2024</v>
      </c>
      <c r="N2634" s="6">
        <v>1738</v>
      </c>
      <c r="O2634" s="6">
        <f>-1245-493</f>
        <v>-1738</v>
      </c>
      <c r="P2634" s="6">
        <f t="shared" si="668"/>
        <v>0</v>
      </c>
      <c r="Q2634" s="7">
        <v>4289272.9500000011</v>
      </c>
      <c r="R2634" s="44" t="str">
        <f>VLOOKUP(F2634,'Set up'!$A$2:$E$70,5,FALSE)</f>
        <v>Trsf</v>
      </c>
      <c r="S2634" s="1" t="s">
        <v>3591</v>
      </c>
    </row>
    <row r="2635" spans="1:19" ht="15" customHeight="1" x14ac:dyDescent="0.35">
      <c r="A2635" s="4">
        <v>45337</v>
      </c>
      <c r="B2635" s="5">
        <f t="shared" si="676"/>
        <v>2</v>
      </c>
      <c r="C2635" s="5">
        <f t="shared" si="677"/>
        <v>2024</v>
      </c>
      <c r="D2635" s="5" t="s">
        <v>2354</v>
      </c>
      <c r="E2635" s="5" t="str">
        <f>VLOOKUP(F2635,'Set up'!$A$2:$C$70,2,FALSE)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up'!$A$2:$C$70,3,FALSE)</f>
        <v>Cash</v>
      </c>
      <c r="J2635" s="5">
        <f>VLOOKUP(F2635,'Set up'!$A$2:$D$70,4,FALSE)</f>
        <v>0</v>
      </c>
      <c r="K2635" s="4">
        <f t="shared" si="678"/>
        <v>45337</v>
      </c>
      <c r="L2635" s="5">
        <f t="shared" si="679"/>
        <v>2</v>
      </c>
      <c r="M2635" s="5">
        <f t="shared" si="680"/>
        <v>2024</v>
      </c>
      <c r="N2635" s="6">
        <v>405</v>
      </c>
      <c r="O2635" s="6">
        <f t="shared" ref="O2635:O2637" si="682">-N2635</f>
        <v>-405</v>
      </c>
      <c r="P2635" s="6">
        <f t="shared" si="668"/>
        <v>0</v>
      </c>
      <c r="Q2635" s="7">
        <v>4289677.9500000011</v>
      </c>
      <c r="R2635" s="44" t="str">
        <f>VLOOKUP(F2635,'Set up'!$A$2:$E$70,5,FALSE)</f>
        <v>Trsf</v>
      </c>
      <c r="S2635" s="1" t="s">
        <v>3592</v>
      </c>
    </row>
    <row r="2636" spans="1:19" ht="15" customHeight="1" x14ac:dyDescent="0.35">
      <c r="A2636" s="4">
        <v>45337</v>
      </c>
      <c r="B2636" s="5">
        <f t="shared" si="676"/>
        <v>2</v>
      </c>
      <c r="C2636" s="5">
        <f t="shared" si="677"/>
        <v>2024</v>
      </c>
      <c r="D2636" s="5" t="s">
        <v>2354</v>
      </c>
      <c r="E2636" s="5" t="str">
        <f>VLOOKUP(F2636,'Set up'!$A$2:$C$70,2,FALSE)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up'!$A$2:$C$70,3,FALSE)</f>
        <v>Cash</v>
      </c>
      <c r="J2636" s="5">
        <f>VLOOKUP(F2636,'Set up'!$A$2:$D$70,4,FALSE)</f>
        <v>0</v>
      </c>
      <c r="K2636" s="4">
        <f t="shared" si="678"/>
        <v>45337</v>
      </c>
      <c r="L2636" s="5">
        <f t="shared" si="679"/>
        <v>2</v>
      </c>
      <c r="M2636" s="5">
        <f t="shared" si="680"/>
        <v>2024</v>
      </c>
      <c r="N2636" s="6">
        <v>187.5</v>
      </c>
      <c r="O2636" s="6">
        <f t="shared" si="682"/>
        <v>-187.5</v>
      </c>
      <c r="P2636" s="6">
        <f t="shared" si="668"/>
        <v>0</v>
      </c>
      <c r="Q2636" s="7">
        <v>4289865.4500000011</v>
      </c>
      <c r="R2636" s="44" t="str">
        <f>VLOOKUP(F2636,'Set up'!$A$2:$E$70,5,FALSE)</f>
        <v>Trsf</v>
      </c>
      <c r="S2636" s="1" t="s">
        <v>3594</v>
      </c>
    </row>
    <row r="2637" spans="1:19" ht="15" customHeight="1" x14ac:dyDescent="0.35">
      <c r="A2637" s="4">
        <v>45337</v>
      </c>
      <c r="B2637" s="5">
        <f t="shared" si="676"/>
        <v>2</v>
      </c>
      <c r="C2637" s="5">
        <f t="shared" si="677"/>
        <v>2024</v>
      </c>
      <c r="D2637" s="5" t="s">
        <v>2354</v>
      </c>
      <c r="E2637" s="5" t="str">
        <f>VLOOKUP(F2637,'Set up'!$A$2:$C$70,2,FALSE)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up'!$A$2:$C$70,3,FALSE)</f>
        <v>Cash</v>
      </c>
      <c r="J2637" s="5">
        <f>VLOOKUP(F2637,'Set up'!$A$2:$D$70,4,FALSE)</f>
        <v>0</v>
      </c>
      <c r="K2637" s="4">
        <f t="shared" si="678"/>
        <v>45337</v>
      </c>
      <c r="L2637" s="5">
        <f t="shared" si="679"/>
        <v>2</v>
      </c>
      <c r="M2637" s="5">
        <f t="shared" si="680"/>
        <v>2024</v>
      </c>
      <c r="N2637" s="6">
        <v>390</v>
      </c>
      <c r="O2637" s="6">
        <f t="shared" si="682"/>
        <v>-390</v>
      </c>
      <c r="P2637" s="6">
        <f t="shared" si="668"/>
        <v>0</v>
      </c>
      <c r="Q2637" s="7">
        <v>4290255.4500000011</v>
      </c>
      <c r="R2637" s="44" t="str">
        <f>VLOOKUP(F2637,'Set up'!$A$2:$E$70,5,FALSE)</f>
        <v>Trsf</v>
      </c>
      <c r="S2637" s="1" t="s">
        <v>3593</v>
      </c>
    </row>
    <row r="2638" spans="1:19" ht="15" customHeight="1" x14ac:dyDescent="0.35">
      <c r="A2638" s="4">
        <v>45337</v>
      </c>
      <c r="B2638" s="5">
        <f t="shared" si="676"/>
        <v>2</v>
      </c>
      <c r="C2638" s="5">
        <f t="shared" si="677"/>
        <v>2024</v>
      </c>
      <c r="D2638" s="5" t="s">
        <v>2355</v>
      </c>
      <c r="E2638" s="5" t="str">
        <f>VLOOKUP(F2638,'Set up'!$A$2:$C$70,2,FALSE)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up'!$A$2:$C$70,3,FALSE)</f>
        <v>120</v>
      </c>
      <c r="J2638" s="5">
        <f>VLOOKUP(F2638,'Set up'!$A$2:$D$70,4,FALSE)</f>
        <v>120</v>
      </c>
      <c r="K2638" s="4">
        <f t="shared" si="678"/>
        <v>45457</v>
      </c>
      <c r="L2638" s="5">
        <f t="shared" si="679"/>
        <v>6</v>
      </c>
      <c r="M2638" s="5">
        <f t="shared" si="680"/>
        <v>2024</v>
      </c>
      <c r="N2638" s="6">
        <v>287.5</v>
      </c>
      <c r="O2638" s="6">
        <f>-N2638</f>
        <v>-287.5</v>
      </c>
      <c r="P2638" s="6">
        <f t="shared" si="668"/>
        <v>0</v>
      </c>
      <c r="Q2638" s="7">
        <v>4290542.9500000011</v>
      </c>
      <c r="R2638" s="44" t="str">
        <f>VLOOKUP(F2638,'Set up'!$A$2:$E$70,5,FALSE)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676"/>
        <v>2</v>
      </c>
      <c r="C2639" s="5">
        <f t="shared" si="677"/>
        <v>2024</v>
      </c>
      <c r="D2639" s="5" t="s">
        <v>2355</v>
      </c>
      <c r="E2639" s="5" t="str">
        <f>VLOOKUP(F2639,'Set up'!$A$2:$C$70,2,FALSE)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up'!$A$2:$C$70,3,FALSE)</f>
        <v>120</v>
      </c>
      <c r="J2639" s="5">
        <f>VLOOKUP(F2639,'Set up'!$A$2:$D$70,4,FALSE)</f>
        <v>120</v>
      </c>
      <c r="K2639" s="4">
        <f t="shared" si="678"/>
        <v>45457</v>
      </c>
      <c r="L2639" s="5">
        <f t="shared" si="679"/>
        <v>6</v>
      </c>
      <c r="M2639" s="5">
        <f t="shared" si="680"/>
        <v>2024</v>
      </c>
      <c r="N2639" s="6">
        <v>420</v>
      </c>
      <c r="O2639" s="6">
        <f>-N2639</f>
        <v>-420</v>
      </c>
      <c r="P2639" s="6">
        <f t="shared" si="668"/>
        <v>0</v>
      </c>
      <c r="Q2639" s="7">
        <v>4290962.9500000011</v>
      </c>
      <c r="R2639" s="44" t="str">
        <f>VLOOKUP(F2639,'Set up'!$A$2:$E$70,5,FALSE)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676"/>
        <v>2</v>
      </c>
      <c r="C2640" s="5">
        <f t="shared" si="677"/>
        <v>2024</v>
      </c>
      <c r="D2640" s="5" t="s">
        <v>2356</v>
      </c>
      <c r="E2640" s="5" t="str">
        <f>VLOOKUP(F2640,'Set up'!$A$2:$C$70,2,FALSE)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up'!$A$2:$C$70,3,FALSE)</f>
        <v>Cash</v>
      </c>
      <c r="J2640" s="5">
        <f>VLOOKUP(F2640,'Set up'!$A$2:$D$70,4,FALSE)</f>
        <v>0</v>
      </c>
      <c r="K2640" s="4">
        <f t="shared" si="678"/>
        <v>45338</v>
      </c>
      <c r="L2640" s="5">
        <f t="shared" si="679"/>
        <v>2</v>
      </c>
      <c r="M2640" s="5">
        <f t="shared" si="680"/>
        <v>2024</v>
      </c>
      <c r="N2640" s="6">
        <v>1738</v>
      </c>
      <c r="P2640" s="6">
        <f t="shared" si="668"/>
        <v>1738</v>
      </c>
      <c r="Q2640" s="7">
        <v>4292700.9500000011</v>
      </c>
      <c r="R2640" s="44" t="str">
        <f>VLOOKUP(F2640,'Set up'!$A$2:$E$70,5,FALSE)</f>
        <v>PD Chq</v>
      </c>
    </row>
    <row r="2641" spans="1:19" ht="15" customHeight="1" x14ac:dyDescent="0.35">
      <c r="A2641" s="4">
        <v>45338</v>
      </c>
      <c r="B2641" s="5">
        <f t="shared" si="676"/>
        <v>2</v>
      </c>
      <c r="C2641" s="5">
        <f t="shared" si="677"/>
        <v>2024</v>
      </c>
      <c r="D2641" s="5" t="s">
        <v>2356</v>
      </c>
      <c r="E2641" s="5" t="str">
        <f>VLOOKUP(F2641,'Set up'!$A$2:$C$70,2,FALSE)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up'!$A$2:$C$70,3,FALSE)</f>
        <v>Cash</v>
      </c>
      <c r="J2641" s="5">
        <f>VLOOKUP(F2641,'Set up'!$A$2:$D$70,4,FALSE)</f>
        <v>0</v>
      </c>
      <c r="K2641" s="4">
        <f t="shared" si="678"/>
        <v>45338</v>
      </c>
      <c r="L2641" s="5">
        <f t="shared" si="679"/>
        <v>2</v>
      </c>
      <c r="M2641" s="5">
        <f t="shared" si="680"/>
        <v>2024</v>
      </c>
      <c r="N2641" s="6">
        <v>259.60000000000002</v>
      </c>
      <c r="P2641" s="6">
        <f t="shared" si="668"/>
        <v>259.60000000000002</v>
      </c>
      <c r="Q2641" s="7">
        <v>4292960.5500000007</v>
      </c>
      <c r="R2641" s="44" t="str">
        <f>VLOOKUP(F2641,'Set up'!$A$2:$E$70,5,FALSE)</f>
        <v>PD Chq</v>
      </c>
    </row>
    <row r="2642" spans="1:19" ht="15" customHeight="1" x14ac:dyDescent="0.35">
      <c r="A2642" s="4">
        <v>45338</v>
      </c>
      <c r="B2642" s="5">
        <f t="shared" si="676"/>
        <v>2</v>
      </c>
      <c r="C2642" s="5">
        <f t="shared" si="677"/>
        <v>2024</v>
      </c>
      <c r="D2642" s="5" t="s">
        <v>2356</v>
      </c>
      <c r="E2642" s="5" t="str">
        <f>VLOOKUP(F2642,'Set up'!$A$2:$C$70,2,FALSE)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up'!$A$2:$C$70,3,FALSE)</f>
        <v>Cash</v>
      </c>
      <c r="J2642" s="5">
        <f>VLOOKUP(F2642,'Set up'!$A$2:$D$70,4,FALSE)</f>
        <v>0</v>
      </c>
      <c r="K2642" s="4">
        <f t="shared" si="678"/>
        <v>45338</v>
      </c>
      <c r="L2642" s="5">
        <f t="shared" si="679"/>
        <v>2</v>
      </c>
      <c r="M2642" s="5">
        <f t="shared" si="680"/>
        <v>2024</v>
      </c>
      <c r="N2642" s="6">
        <v>95</v>
      </c>
      <c r="P2642" s="6">
        <f t="shared" si="668"/>
        <v>95</v>
      </c>
      <c r="Q2642" s="7">
        <v>4293055.5500000007</v>
      </c>
      <c r="R2642" s="44" t="str">
        <f>VLOOKUP(F2642,'Set up'!$A$2:$E$70,5,FALSE)</f>
        <v>PD Chq</v>
      </c>
    </row>
    <row r="2643" spans="1:19" ht="15" customHeight="1" x14ac:dyDescent="0.35">
      <c r="A2643" s="4">
        <v>45338</v>
      </c>
      <c r="B2643" s="5">
        <f t="shared" si="676"/>
        <v>2</v>
      </c>
      <c r="C2643" s="5">
        <f t="shared" si="677"/>
        <v>2024</v>
      </c>
      <c r="D2643" s="5" t="s">
        <v>2356</v>
      </c>
      <c r="E2643" s="5" t="str">
        <f>VLOOKUP(F2643,'Set up'!$A$2:$C$70,2,FALSE)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up'!$A$2:$C$70,3,FALSE)</f>
        <v>Cash</v>
      </c>
      <c r="J2643" s="5">
        <f>VLOOKUP(F2643,'Set up'!$A$2:$D$70,4,FALSE)</f>
        <v>0</v>
      </c>
      <c r="K2643" s="4">
        <f t="shared" si="678"/>
        <v>45338</v>
      </c>
      <c r="L2643" s="5">
        <f t="shared" si="679"/>
        <v>2</v>
      </c>
      <c r="M2643" s="5">
        <f t="shared" si="680"/>
        <v>2024</v>
      </c>
      <c r="N2643" s="6">
        <v>312.5</v>
      </c>
      <c r="P2643" s="6">
        <f t="shared" si="668"/>
        <v>312.5</v>
      </c>
      <c r="Q2643" s="7">
        <v>4293368.0500000007</v>
      </c>
      <c r="R2643" s="44" t="str">
        <f>VLOOKUP(F2643,'Set up'!$A$2:$E$70,5,FALSE)</f>
        <v>PD Chq</v>
      </c>
    </row>
    <row r="2644" spans="1:19" ht="15" customHeight="1" x14ac:dyDescent="0.35">
      <c r="A2644" s="4">
        <v>45341</v>
      </c>
      <c r="B2644" s="5">
        <f t="shared" si="676"/>
        <v>2</v>
      </c>
      <c r="C2644" s="5">
        <f t="shared" si="677"/>
        <v>2024</v>
      </c>
      <c r="D2644" s="5" t="s">
        <v>2357</v>
      </c>
      <c r="E2644" s="5" t="str">
        <f>VLOOKUP(F2644,'Set up'!$A$2:$C$70,2,FALSE)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up'!$A$2:$C$70,3,FALSE)</f>
        <v>Cash</v>
      </c>
      <c r="J2644" s="5">
        <f>VLOOKUP(F2644,'Set up'!$A$2:$D$70,4,FALSE)</f>
        <v>0</v>
      </c>
      <c r="K2644" s="4">
        <f t="shared" si="678"/>
        <v>45341</v>
      </c>
      <c r="L2644" s="5">
        <f t="shared" si="679"/>
        <v>2</v>
      </c>
      <c r="M2644" s="5">
        <f t="shared" si="680"/>
        <v>2024</v>
      </c>
      <c r="N2644" s="6">
        <v>125</v>
      </c>
      <c r="O2644" s="6">
        <f t="shared" ref="O2644:O2650" si="683">-N2644</f>
        <v>-125</v>
      </c>
      <c r="P2644" s="6">
        <f t="shared" si="668"/>
        <v>0</v>
      </c>
      <c r="Q2644" s="7">
        <v>4293493.0500000007</v>
      </c>
      <c r="R2644" s="44" t="str">
        <f>VLOOKUP(F2644,'Set up'!$A$2:$E$70,5,FALSE)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676"/>
        <v>2</v>
      </c>
      <c r="C2645" s="5">
        <f t="shared" si="677"/>
        <v>2024</v>
      </c>
      <c r="D2645" s="5" t="s">
        <v>2358</v>
      </c>
      <c r="E2645" s="5" t="str">
        <f>VLOOKUP(F2645,'Set up'!$A$2:$C$70,2,FALSE)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up'!$A$2:$C$70,3,FALSE)</f>
        <v>Cash</v>
      </c>
      <c r="J2645" s="5">
        <f>VLOOKUP(F2645,'Set up'!$A$2:$D$70,4,FALSE)</f>
        <v>0</v>
      </c>
      <c r="K2645" s="4">
        <f t="shared" si="678"/>
        <v>45342</v>
      </c>
      <c r="L2645" s="5">
        <f t="shared" si="679"/>
        <v>2</v>
      </c>
      <c r="M2645" s="5">
        <f t="shared" si="680"/>
        <v>2024</v>
      </c>
      <c r="N2645" s="6">
        <v>3212</v>
      </c>
      <c r="O2645" s="6">
        <f t="shared" si="683"/>
        <v>-3212</v>
      </c>
      <c r="P2645" s="6">
        <f t="shared" ref="P2645:P2708" si="684">SUM(N2645+O2645)</f>
        <v>0</v>
      </c>
      <c r="Q2645" s="7">
        <v>4296705.0500000007</v>
      </c>
      <c r="R2645" s="44" t="str">
        <f>VLOOKUP(F2645,'Set up'!$A$2:$E$70,5,FALSE)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676"/>
        <v>2</v>
      </c>
      <c r="C2646" s="5">
        <f t="shared" si="677"/>
        <v>2024</v>
      </c>
      <c r="D2646" s="5" t="s">
        <v>2358</v>
      </c>
      <c r="E2646" s="5" t="str">
        <f>VLOOKUP(F2646,'Set up'!$A$2:$C$70,2,FALSE)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up'!$A$2:$C$70,3,FALSE)</f>
        <v>Cash</v>
      </c>
      <c r="J2646" s="5">
        <f>VLOOKUP(F2646,'Set up'!$A$2:$D$70,4,FALSE)</f>
        <v>0</v>
      </c>
      <c r="K2646" s="4">
        <f t="shared" si="678"/>
        <v>45342</v>
      </c>
      <c r="L2646" s="5">
        <f t="shared" si="679"/>
        <v>2</v>
      </c>
      <c r="M2646" s="5">
        <f t="shared" si="680"/>
        <v>2024</v>
      </c>
      <c r="N2646" s="6">
        <v>2610</v>
      </c>
      <c r="O2646" s="6">
        <f t="shared" si="683"/>
        <v>-2610</v>
      </c>
      <c r="P2646" s="6">
        <f t="shared" si="684"/>
        <v>0</v>
      </c>
      <c r="Q2646" s="7">
        <v>4299315.0500000007</v>
      </c>
      <c r="R2646" s="44" t="str">
        <f>VLOOKUP(F2646,'Set up'!$A$2:$E$70,5,FALSE)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676"/>
        <v>2</v>
      </c>
      <c r="C2647" s="5">
        <f t="shared" si="677"/>
        <v>2024</v>
      </c>
      <c r="D2647" s="5" t="s">
        <v>2358</v>
      </c>
      <c r="E2647" s="5" t="str">
        <f>VLOOKUP(F2647,'Set up'!$A$2:$C$70,2,FALSE)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up'!$A$2:$C$70,3,FALSE)</f>
        <v>Cash</v>
      </c>
      <c r="J2647" s="5">
        <f>VLOOKUP(F2647,'Set up'!$A$2:$D$70,4,FALSE)</f>
        <v>0</v>
      </c>
      <c r="K2647" s="4">
        <f t="shared" si="678"/>
        <v>45342</v>
      </c>
      <c r="L2647" s="5">
        <f t="shared" si="679"/>
        <v>2</v>
      </c>
      <c r="M2647" s="5">
        <f t="shared" si="680"/>
        <v>2024</v>
      </c>
      <c r="N2647" s="6">
        <v>468</v>
      </c>
      <c r="O2647" s="6">
        <f t="shared" si="683"/>
        <v>-468</v>
      </c>
      <c r="P2647" s="6">
        <f t="shared" si="684"/>
        <v>0</v>
      </c>
      <c r="Q2647" s="7">
        <v>4299783.0500000007</v>
      </c>
      <c r="R2647" s="44" t="str">
        <f>VLOOKUP(F2647,'Set up'!$A$2:$E$70,5,FALSE)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676"/>
        <v>2</v>
      </c>
      <c r="C2648" s="5">
        <f t="shared" si="677"/>
        <v>2024</v>
      </c>
      <c r="D2648" s="5" t="s">
        <v>2358</v>
      </c>
      <c r="E2648" s="5" t="str">
        <f>VLOOKUP(F2648,'Set up'!$A$2:$C$70,2,FALSE)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up'!$A$2:$C$70,3,FALSE)</f>
        <v>Cash</v>
      </c>
      <c r="J2648" s="5">
        <f>VLOOKUP(F2648,'Set up'!$A$2:$D$70,4,FALSE)</f>
        <v>0</v>
      </c>
      <c r="K2648" s="4">
        <f t="shared" si="678"/>
        <v>45342</v>
      </c>
      <c r="L2648" s="5">
        <f t="shared" si="679"/>
        <v>2</v>
      </c>
      <c r="M2648" s="5">
        <f t="shared" si="680"/>
        <v>2024</v>
      </c>
      <c r="N2648" s="6">
        <v>380</v>
      </c>
      <c r="O2648" s="6">
        <f t="shared" si="683"/>
        <v>-380</v>
      </c>
      <c r="P2648" s="6">
        <f t="shared" si="684"/>
        <v>0</v>
      </c>
      <c r="Q2648" s="7">
        <v>4300163.0500000007</v>
      </c>
      <c r="R2648" s="44" t="str">
        <f>VLOOKUP(F2648,'Set up'!$A$2:$E$70,5,FALSE)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676"/>
        <v>2</v>
      </c>
      <c r="C2649" s="5">
        <f t="shared" si="677"/>
        <v>2024</v>
      </c>
      <c r="D2649" s="5" t="s">
        <v>2358</v>
      </c>
      <c r="E2649" s="5" t="str">
        <f>VLOOKUP(F2649,'Set up'!$A$2:$C$70,2,FALSE)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up'!$A$2:$C$70,3,FALSE)</f>
        <v>Cash</v>
      </c>
      <c r="J2649" s="5">
        <f>VLOOKUP(F2649,'Set up'!$A$2:$D$70,4,FALSE)</f>
        <v>0</v>
      </c>
      <c r="K2649" s="4">
        <f t="shared" si="678"/>
        <v>45342</v>
      </c>
      <c r="L2649" s="5">
        <f t="shared" si="679"/>
        <v>2</v>
      </c>
      <c r="M2649" s="5">
        <f t="shared" si="680"/>
        <v>2024</v>
      </c>
      <c r="N2649" s="6">
        <v>900</v>
      </c>
      <c r="O2649" s="6">
        <f t="shared" si="683"/>
        <v>-900</v>
      </c>
      <c r="P2649" s="6">
        <f t="shared" si="684"/>
        <v>0</v>
      </c>
      <c r="Q2649" s="7">
        <v>4301063.0500000007</v>
      </c>
      <c r="R2649" s="44" t="str">
        <f>VLOOKUP(F2649,'Set up'!$A$2:$E$70,5,FALSE)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676"/>
        <v>2</v>
      </c>
      <c r="C2650" s="5">
        <f t="shared" si="677"/>
        <v>2024</v>
      </c>
      <c r="D2650" s="5" t="s">
        <v>2358</v>
      </c>
      <c r="E2650" s="5" t="str">
        <f>VLOOKUP(F2650,'Set up'!$A$2:$C$70,2,FALSE)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up'!$A$2:$C$70,3,FALSE)</f>
        <v>Cash</v>
      </c>
      <c r="J2650" s="5">
        <f>VLOOKUP(F2650,'Set up'!$A$2:$D$70,4,FALSE)</f>
        <v>0</v>
      </c>
      <c r="K2650" s="4">
        <f t="shared" si="678"/>
        <v>45342</v>
      </c>
      <c r="L2650" s="5">
        <f t="shared" si="679"/>
        <v>2</v>
      </c>
      <c r="M2650" s="5">
        <f t="shared" si="680"/>
        <v>2024</v>
      </c>
      <c r="N2650" s="6">
        <v>110</v>
      </c>
      <c r="O2650" s="6">
        <f t="shared" si="683"/>
        <v>-110</v>
      </c>
      <c r="P2650" s="6">
        <f t="shared" si="684"/>
        <v>0</v>
      </c>
      <c r="Q2650" s="7">
        <v>4301173.0500000007</v>
      </c>
      <c r="R2650" s="44" t="str">
        <f>VLOOKUP(F2650,'Set up'!$A$2:$E$70,5,FALSE)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676"/>
        <v>2</v>
      </c>
      <c r="C2651" s="5">
        <f t="shared" si="677"/>
        <v>2024</v>
      </c>
      <c r="D2651" s="5" t="s">
        <v>2359</v>
      </c>
      <c r="E2651" s="5" t="str">
        <f>VLOOKUP(F2651,'Set up'!$A$2:$C$70,2,FALSE)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up'!$A$2:$C$70,3,FALSE)</f>
        <v>Cash</v>
      </c>
      <c r="J2651" s="5">
        <f>VLOOKUP(F2651,'Set up'!$A$2:$D$70,4,FALSE)</f>
        <v>0</v>
      </c>
      <c r="K2651" s="4">
        <f t="shared" si="678"/>
        <v>45342</v>
      </c>
      <c r="L2651" s="5">
        <f t="shared" si="679"/>
        <v>2</v>
      </c>
      <c r="M2651" s="5">
        <f t="shared" si="680"/>
        <v>2024</v>
      </c>
      <c r="N2651" s="6">
        <v>350</v>
      </c>
      <c r="O2651" s="6">
        <f t="shared" ref="O2651:O2654" si="685">-N2651</f>
        <v>-350</v>
      </c>
      <c r="P2651" s="6">
        <f t="shared" si="684"/>
        <v>0</v>
      </c>
      <c r="Q2651" s="7">
        <v>4301523.0500000007</v>
      </c>
      <c r="R2651" s="44" t="str">
        <f>VLOOKUP(F2651,'Set up'!$A$2:$E$70,5,FALSE)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676"/>
        <v>2</v>
      </c>
      <c r="C2652" s="5">
        <f t="shared" si="677"/>
        <v>2024</v>
      </c>
      <c r="D2652" s="5" t="s">
        <v>2359</v>
      </c>
      <c r="E2652" s="5" t="str">
        <f>VLOOKUP(F2652,'Set up'!$A$2:$C$70,2,FALSE)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up'!$A$2:$C$70,3,FALSE)</f>
        <v>Cash</v>
      </c>
      <c r="J2652" s="5">
        <f>VLOOKUP(F2652,'Set up'!$A$2:$D$70,4,FALSE)</f>
        <v>0</v>
      </c>
      <c r="K2652" s="4">
        <f t="shared" si="678"/>
        <v>45342</v>
      </c>
      <c r="L2652" s="5">
        <f t="shared" si="679"/>
        <v>2</v>
      </c>
      <c r="M2652" s="5">
        <f t="shared" si="680"/>
        <v>2024</v>
      </c>
      <c r="N2652" s="6">
        <v>50</v>
      </c>
      <c r="O2652" s="6">
        <f t="shared" si="685"/>
        <v>-50</v>
      </c>
      <c r="P2652" s="6">
        <f t="shared" si="684"/>
        <v>0</v>
      </c>
      <c r="Q2652" s="7">
        <v>4301573.0500000007</v>
      </c>
      <c r="R2652" s="44" t="str">
        <f>VLOOKUP(F2652,'Set up'!$A$2:$E$70,5,FALSE)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676"/>
        <v>2</v>
      </c>
      <c r="C2653" s="5">
        <f t="shared" si="677"/>
        <v>2024</v>
      </c>
      <c r="D2653" s="5" t="s">
        <v>2360</v>
      </c>
      <c r="E2653" s="5" t="str">
        <f>VLOOKUP(F2653,'Set up'!$A$2:$C$70,2,FALSE)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up'!$A$2:$C$70,3,FALSE)</f>
        <v>Cash</v>
      </c>
      <c r="J2653" s="5">
        <f>VLOOKUP(F2653,'Set up'!$A$2:$D$70,4,FALSE)</f>
        <v>0</v>
      </c>
      <c r="K2653" s="4">
        <f t="shared" si="678"/>
        <v>45342</v>
      </c>
      <c r="L2653" s="5">
        <f t="shared" si="679"/>
        <v>2</v>
      </c>
      <c r="M2653" s="5">
        <f t="shared" si="680"/>
        <v>2024</v>
      </c>
      <c r="N2653" s="6">
        <v>575</v>
      </c>
      <c r="O2653" s="6">
        <f t="shared" si="685"/>
        <v>-575</v>
      </c>
      <c r="P2653" s="6">
        <f t="shared" si="684"/>
        <v>0</v>
      </c>
      <c r="Q2653" s="7">
        <v>4302148.0500000007</v>
      </c>
      <c r="R2653" s="44" t="str">
        <f>VLOOKUP(F2653,'Set up'!$A$2:$E$70,5,FALSE)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676"/>
        <v>2</v>
      </c>
      <c r="C2654" s="5">
        <f t="shared" si="677"/>
        <v>2024</v>
      </c>
      <c r="D2654" s="5" t="s">
        <v>2360</v>
      </c>
      <c r="E2654" s="5" t="str">
        <f>VLOOKUP(F2654,'Set up'!$A$2:$C$70,2,FALSE)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up'!$A$2:$C$70,3,FALSE)</f>
        <v>Cash</v>
      </c>
      <c r="J2654" s="5">
        <f>VLOOKUP(F2654,'Set up'!$A$2:$D$70,4,FALSE)</f>
        <v>0</v>
      </c>
      <c r="K2654" s="4">
        <f t="shared" si="678"/>
        <v>45342</v>
      </c>
      <c r="L2654" s="5">
        <f t="shared" si="679"/>
        <v>2</v>
      </c>
      <c r="M2654" s="5">
        <f t="shared" si="680"/>
        <v>2024</v>
      </c>
      <c r="N2654" s="6">
        <v>48</v>
      </c>
      <c r="O2654" s="6">
        <f t="shared" si="685"/>
        <v>-48</v>
      </c>
      <c r="P2654" s="6">
        <f t="shared" si="684"/>
        <v>0</v>
      </c>
      <c r="Q2654" s="7">
        <v>4302196.0500000007</v>
      </c>
      <c r="R2654" s="44" t="str">
        <f>VLOOKUP(F2654,'Set up'!$A$2:$E$70,5,FALSE)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676"/>
        <v>2</v>
      </c>
      <c r="C2655" s="5">
        <f t="shared" si="677"/>
        <v>2024</v>
      </c>
      <c r="D2655" s="5" t="s">
        <v>2364</v>
      </c>
      <c r="E2655" s="5" t="str">
        <f>VLOOKUP(F2655,'Set up'!$A$2:$C$70,2,FALSE)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up'!$A$2:$C$70,3,FALSE)</f>
        <v>Cash</v>
      </c>
      <c r="J2655" s="5">
        <f>VLOOKUP(F2655,'Set up'!$A$2:$D$70,4,FALSE)</f>
        <v>0</v>
      </c>
      <c r="K2655" s="4">
        <f t="shared" si="678"/>
        <v>45343</v>
      </c>
      <c r="L2655" s="5">
        <f t="shared" si="679"/>
        <v>2</v>
      </c>
      <c r="M2655" s="5">
        <f t="shared" si="680"/>
        <v>2024</v>
      </c>
      <c r="N2655" s="6">
        <v>1606</v>
      </c>
      <c r="O2655" s="6">
        <f t="shared" ref="O2655:O2660" si="686">-N2655</f>
        <v>-1606</v>
      </c>
      <c r="P2655" s="6">
        <f t="shared" si="684"/>
        <v>0</v>
      </c>
      <c r="Q2655" s="7">
        <v>4303802.0500000007</v>
      </c>
      <c r="R2655" s="44" t="str">
        <f>VLOOKUP(F2655,'Set up'!$A$2:$E$70,5,FALSE)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si="676"/>
        <v>2</v>
      </c>
      <c r="C2656" s="5">
        <f t="shared" si="677"/>
        <v>2024</v>
      </c>
      <c r="D2656" s="5" t="s">
        <v>2364</v>
      </c>
      <c r="E2656" s="5" t="str">
        <f>VLOOKUP(F2656,'Set up'!$A$2:$C$70,2,FALSE)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up'!$A$2:$C$70,3,FALSE)</f>
        <v>Cash</v>
      </c>
      <c r="J2656" s="5">
        <f>VLOOKUP(F2656,'Set up'!$A$2:$D$70,4,FALSE)</f>
        <v>0</v>
      </c>
      <c r="K2656" s="4">
        <f t="shared" si="678"/>
        <v>45343</v>
      </c>
      <c r="L2656" s="5">
        <f t="shared" si="679"/>
        <v>2</v>
      </c>
      <c r="M2656" s="5">
        <f t="shared" si="680"/>
        <v>2024</v>
      </c>
      <c r="N2656" s="6">
        <v>630</v>
      </c>
      <c r="O2656" s="6">
        <f t="shared" si="686"/>
        <v>-630</v>
      </c>
      <c r="P2656" s="6">
        <f t="shared" si="684"/>
        <v>0</v>
      </c>
      <c r="Q2656" s="7">
        <v>4304432.0500000007</v>
      </c>
      <c r="R2656" s="44" t="str">
        <f>VLOOKUP(F2656,'Set up'!$A$2:$E$70,5,FALSE)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676"/>
        <v>2</v>
      </c>
      <c r="C2657" s="5">
        <f t="shared" si="677"/>
        <v>2024</v>
      </c>
      <c r="D2657" s="5" t="s">
        <v>2365</v>
      </c>
      <c r="E2657" s="5" t="str">
        <f>VLOOKUP(F2657,'Set up'!$A$2:$C$70,2,FALSE)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up'!$A$2:$C$70,3,FALSE)</f>
        <v>60</v>
      </c>
      <c r="J2657" s="5">
        <f>VLOOKUP(F2657,'Set up'!$A$2:$D$70,4,FALSE)</f>
        <v>60</v>
      </c>
      <c r="K2657" s="4">
        <f t="shared" si="678"/>
        <v>45404</v>
      </c>
      <c r="L2657" s="5">
        <f t="shared" si="679"/>
        <v>4</v>
      </c>
      <c r="M2657" s="5">
        <f t="shared" si="680"/>
        <v>2024</v>
      </c>
      <c r="N2657" s="6">
        <v>3212</v>
      </c>
      <c r="O2657" s="6">
        <f t="shared" si="686"/>
        <v>-3212</v>
      </c>
      <c r="P2657" s="6">
        <f t="shared" si="684"/>
        <v>0</v>
      </c>
      <c r="Q2657" s="7">
        <v>4307644.0500000007</v>
      </c>
      <c r="R2657" s="44" t="str">
        <f>VLOOKUP(F2657,'Set up'!$A$2:$E$70,5,FALSE)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676"/>
        <v>2</v>
      </c>
      <c r="C2658" s="5">
        <f t="shared" si="677"/>
        <v>2024</v>
      </c>
      <c r="D2658" s="5" t="s">
        <v>2365</v>
      </c>
      <c r="E2658" s="5" t="str">
        <f>VLOOKUP(F2658,'Set up'!$A$2:$C$70,2,FALSE)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up'!$A$2:$C$70,3,FALSE)</f>
        <v>60</v>
      </c>
      <c r="J2658" s="5">
        <f>VLOOKUP(F2658,'Set up'!$A$2:$D$70,4,FALSE)</f>
        <v>60</v>
      </c>
      <c r="K2658" s="4">
        <f t="shared" si="678"/>
        <v>45404</v>
      </c>
      <c r="L2658" s="5">
        <f t="shared" si="679"/>
        <v>4</v>
      </c>
      <c r="M2658" s="5">
        <f t="shared" si="680"/>
        <v>2024</v>
      </c>
      <c r="N2658" s="6">
        <v>1606</v>
      </c>
      <c r="O2658" s="6">
        <f t="shared" si="686"/>
        <v>-1606</v>
      </c>
      <c r="P2658" s="6">
        <f t="shared" si="684"/>
        <v>0</v>
      </c>
      <c r="Q2658" s="7">
        <v>4309250.0500000007</v>
      </c>
      <c r="R2658" s="44" t="str">
        <f>VLOOKUP(F2658,'Set up'!$A$2:$E$70,5,FALSE)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676"/>
        <v>2</v>
      </c>
      <c r="C2659" s="5">
        <f t="shared" si="677"/>
        <v>2024</v>
      </c>
      <c r="D2659" s="5" t="s">
        <v>2365</v>
      </c>
      <c r="E2659" s="5" t="str">
        <f>VLOOKUP(F2659,'Set up'!$A$2:$C$70,2,FALSE)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up'!$A$2:$C$70,3,FALSE)</f>
        <v>60</v>
      </c>
      <c r="J2659" s="5">
        <f>VLOOKUP(F2659,'Set up'!$A$2:$D$70,4,FALSE)</f>
        <v>60</v>
      </c>
      <c r="K2659" s="4">
        <f t="shared" si="678"/>
        <v>45404</v>
      </c>
      <c r="L2659" s="5">
        <f t="shared" si="679"/>
        <v>4</v>
      </c>
      <c r="M2659" s="5">
        <f t="shared" si="680"/>
        <v>2024</v>
      </c>
      <c r="N2659" s="6">
        <v>626.4</v>
      </c>
      <c r="O2659" s="6">
        <f t="shared" si="686"/>
        <v>-626.4</v>
      </c>
      <c r="P2659" s="6">
        <f t="shared" si="684"/>
        <v>0</v>
      </c>
      <c r="Q2659" s="7">
        <v>4309876.4500000011</v>
      </c>
      <c r="R2659" s="44" t="str">
        <f>VLOOKUP(F2659,'Set up'!$A$2:$E$70,5,FALSE)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676"/>
        <v>2</v>
      </c>
      <c r="C2660" s="5">
        <f t="shared" si="677"/>
        <v>2024</v>
      </c>
      <c r="D2660" s="5" t="s">
        <v>2365</v>
      </c>
      <c r="E2660" s="5" t="str">
        <f>VLOOKUP(F2660,'Set up'!$A$2:$C$70,2,FALSE)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up'!$A$2:$C$70,3,FALSE)</f>
        <v>60</v>
      </c>
      <c r="J2660" s="5">
        <f>VLOOKUP(F2660,'Set up'!$A$2:$D$70,4,FALSE)</f>
        <v>60</v>
      </c>
      <c r="K2660" s="4">
        <f t="shared" si="678"/>
        <v>45404</v>
      </c>
      <c r="L2660" s="5">
        <f t="shared" si="679"/>
        <v>4</v>
      </c>
      <c r="M2660" s="5">
        <f t="shared" si="680"/>
        <v>2024</v>
      </c>
      <c r="N2660" s="6">
        <v>440</v>
      </c>
      <c r="O2660" s="6">
        <f t="shared" si="686"/>
        <v>-440</v>
      </c>
      <c r="P2660" s="6">
        <f t="shared" si="684"/>
        <v>0</v>
      </c>
      <c r="Q2660" s="7">
        <v>4310316.4500000011</v>
      </c>
      <c r="R2660" s="44" t="str">
        <f>VLOOKUP(F2660,'Set up'!$A$2:$E$70,5,FALSE)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676"/>
        <v>2</v>
      </c>
      <c r="C2661" s="5">
        <f t="shared" si="677"/>
        <v>2024</v>
      </c>
      <c r="D2661" s="5" t="s">
        <v>2366</v>
      </c>
      <c r="E2661" s="5" t="str">
        <f>VLOOKUP(F2661,'Set up'!$A$2:$C$70,2,FALSE)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up'!$A$2:$C$70,3,FALSE)</f>
        <v>Cash</v>
      </c>
      <c r="J2661" s="5">
        <f>VLOOKUP(F2661,'Set up'!$A$2:$D$70,4,FALSE)</f>
        <v>0</v>
      </c>
      <c r="K2661" s="4">
        <f t="shared" si="678"/>
        <v>45345</v>
      </c>
      <c r="L2661" s="5">
        <f t="shared" si="679"/>
        <v>2</v>
      </c>
      <c r="M2661" s="5">
        <f t="shared" si="680"/>
        <v>2024</v>
      </c>
      <c r="N2661" s="6">
        <v>1738</v>
      </c>
      <c r="O2661" s="6">
        <f>-24.5-1500-213.5</f>
        <v>-1738</v>
      </c>
      <c r="P2661" s="6">
        <f t="shared" si="684"/>
        <v>0</v>
      </c>
      <c r="Q2661" s="7">
        <v>4312054.4500000011</v>
      </c>
      <c r="R2661" s="44" t="str">
        <f>VLOOKUP(F2661,'Set up'!$A$2:$E$70,5,FALSE)</f>
        <v>Trsf</v>
      </c>
      <c r="S2661" s="1" t="s">
        <v>3660</v>
      </c>
    </row>
    <row r="2662" spans="1:19" ht="15" customHeight="1" x14ac:dyDescent="0.35">
      <c r="A2662" s="4">
        <v>45345</v>
      </c>
      <c r="B2662" s="5">
        <f t="shared" si="676"/>
        <v>2</v>
      </c>
      <c r="C2662" s="5">
        <f t="shared" si="677"/>
        <v>2024</v>
      </c>
      <c r="D2662" s="5" t="s">
        <v>2366</v>
      </c>
      <c r="E2662" s="5" t="str">
        <f>VLOOKUP(F2662,'Set up'!$A$2:$C$70,2,FALSE)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up'!$A$2:$C$70,3,FALSE)</f>
        <v>Cash</v>
      </c>
      <c r="J2662" s="5">
        <f>VLOOKUP(F2662,'Set up'!$A$2:$D$70,4,FALSE)</f>
        <v>0</v>
      </c>
      <c r="K2662" s="4">
        <f t="shared" si="678"/>
        <v>45345</v>
      </c>
      <c r="L2662" s="5">
        <f t="shared" si="679"/>
        <v>2</v>
      </c>
      <c r="M2662" s="5">
        <f t="shared" si="680"/>
        <v>2024</v>
      </c>
      <c r="N2662" s="6">
        <v>405</v>
      </c>
      <c r="O2662" s="6">
        <f t="shared" ref="O2662:O2663" si="687">-N2662</f>
        <v>-405</v>
      </c>
      <c r="P2662" s="6">
        <f t="shared" si="684"/>
        <v>0</v>
      </c>
      <c r="Q2662" s="7">
        <v>4312459.4500000011</v>
      </c>
      <c r="R2662" s="44" t="str">
        <f>VLOOKUP(F2662,'Set up'!$A$2:$E$70,5,FALSE)</f>
        <v>Trsf</v>
      </c>
      <c r="S2662" s="1" t="s">
        <v>3661</v>
      </c>
    </row>
    <row r="2663" spans="1:19" ht="15" customHeight="1" x14ac:dyDescent="0.35">
      <c r="A2663" s="4">
        <v>45345</v>
      </c>
      <c r="B2663" s="5">
        <f t="shared" si="676"/>
        <v>2</v>
      </c>
      <c r="C2663" s="5">
        <f t="shared" si="677"/>
        <v>2024</v>
      </c>
      <c r="D2663" s="5" t="s">
        <v>2366</v>
      </c>
      <c r="E2663" s="5" t="str">
        <f>VLOOKUP(F2663,'Set up'!$A$2:$C$70,2,FALSE)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up'!$A$2:$C$70,3,FALSE)</f>
        <v>Cash</v>
      </c>
      <c r="J2663" s="5">
        <f>VLOOKUP(F2663,'Set up'!$A$2:$D$70,4,FALSE)</f>
        <v>0</v>
      </c>
      <c r="K2663" s="4">
        <f t="shared" si="678"/>
        <v>45345</v>
      </c>
      <c r="L2663" s="5">
        <f t="shared" si="679"/>
        <v>2</v>
      </c>
      <c r="M2663" s="5">
        <f t="shared" si="680"/>
        <v>2024</v>
      </c>
      <c r="N2663" s="6">
        <v>187.5</v>
      </c>
      <c r="O2663" s="6">
        <f t="shared" si="687"/>
        <v>-187.5</v>
      </c>
      <c r="P2663" s="6">
        <f t="shared" si="684"/>
        <v>0</v>
      </c>
      <c r="Q2663" s="7">
        <v>4312646.9500000011</v>
      </c>
      <c r="R2663" s="44" t="str">
        <f>VLOOKUP(F2663,'Set up'!$A$2:$E$70,5,FALSE)</f>
        <v>Trsf</v>
      </c>
      <c r="S2663" s="1" t="s">
        <v>3662</v>
      </c>
    </row>
    <row r="2664" spans="1:19" ht="15" customHeight="1" x14ac:dyDescent="0.35">
      <c r="A2664" s="4">
        <v>45345</v>
      </c>
      <c r="B2664" s="5">
        <f t="shared" si="676"/>
        <v>2</v>
      </c>
      <c r="C2664" s="5">
        <f t="shared" si="677"/>
        <v>2024</v>
      </c>
      <c r="D2664" s="5" t="s">
        <v>2366</v>
      </c>
      <c r="E2664" s="5" t="str">
        <f>VLOOKUP(F2664,'Set up'!$A$2:$C$70,2,FALSE)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up'!$A$2:$C$70,3,FALSE)</f>
        <v>Cash</v>
      </c>
      <c r="J2664" s="5">
        <f>VLOOKUP(F2664,'Set up'!$A$2:$D$70,4,FALSE)</f>
        <v>0</v>
      </c>
      <c r="K2664" s="4">
        <f t="shared" si="678"/>
        <v>45345</v>
      </c>
      <c r="L2664" s="5">
        <f t="shared" si="679"/>
        <v>2</v>
      </c>
      <c r="M2664" s="5">
        <f t="shared" si="680"/>
        <v>2024</v>
      </c>
      <c r="N2664" s="6">
        <v>420</v>
      </c>
      <c r="O2664" s="6">
        <f>-394-26</f>
        <v>-420</v>
      </c>
      <c r="P2664" s="6">
        <f t="shared" si="684"/>
        <v>0</v>
      </c>
      <c r="Q2664" s="7">
        <v>4313066.9500000011</v>
      </c>
      <c r="R2664" s="44" t="str">
        <f>VLOOKUP(F2664,'Set up'!$A$2:$E$70,5,FALSE)</f>
        <v>Trsf</v>
      </c>
      <c r="S2664" s="1" t="s">
        <v>3663</v>
      </c>
    </row>
    <row r="2665" spans="1:19" ht="15" customHeight="1" x14ac:dyDescent="0.35">
      <c r="A2665" s="4">
        <v>45345</v>
      </c>
      <c r="B2665" s="5">
        <f t="shared" si="676"/>
        <v>2</v>
      </c>
      <c r="C2665" s="5">
        <f t="shared" si="677"/>
        <v>2024</v>
      </c>
      <c r="D2665" s="5" t="s">
        <v>2366</v>
      </c>
      <c r="E2665" s="5" t="str">
        <f>VLOOKUP(F2665,'Set up'!$A$2:$C$70,2,FALSE)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up'!$A$2:$C$70,3,FALSE)</f>
        <v>Cash</v>
      </c>
      <c r="J2665" s="5">
        <f>VLOOKUP(F2665,'Set up'!$A$2:$D$70,4,FALSE)</f>
        <v>0</v>
      </c>
      <c r="K2665" s="4">
        <f t="shared" si="678"/>
        <v>45345</v>
      </c>
      <c r="L2665" s="5">
        <f t="shared" si="679"/>
        <v>2</v>
      </c>
      <c r="M2665" s="5">
        <f t="shared" si="680"/>
        <v>2024</v>
      </c>
      <c r="N2665" s="6">
        <v>150</v>
      </c>
      <c r="O2665" s="6">
        <f t="shared" ref="O2665:O2666" si="688">-N2665</f>
        <v>-150</v>
      </c>
      <c r="P2665" s="6">
        <f t="shared" si="684"/>
        <v>0</v>
      </c>
      <c r="Q2665" s="7">
        <v>4313216.9500000011</v>
      </c>
      <c r="R2665" s="44" t="str">
        <f>VLOOKUP(F2665,'Set up'!$A$2:$E$70,5,FALSE)</f>
        <v>Trsf</v>
      </c>
      <c r="S2665" s="1" t="s">
        <v>3664</v>
      </c>
    </row>
    <row r="2666" spans="1:19" ht="15" customHeight="1" x14ac:dyDescent="0.35">
      <c r="A2666" s="4">
        <v>45345</v>
      </c>
      <c r="B2666" s="5">
        <f t="shared" si="676"/>
        <v>2</v>
      </c>
      <c r="C2666" s="5">
        <f t="shared" si="677"/>
        <v>2024</v>
      </c>
      <c r="D2666" s="5" t="s">
        <v>2366</v>
      </c>
      <c r="E2666" s="5" t="str">
        <f>VLOOKUP(F2666,'Set up'!$A$2:$C$70,2,FALSE)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up'!$A$2:$C$70,3,FALSE)</f>
        <v>Cash</v>
      </c>
      <c r="J2666" s="5">
        <f>VLOOKUP(F2666,'Set up'!$A$2:$D$70,4,FALSE)</f>
        <v>0</v>
      </c>
      <c r="K2666" s="4">
        <f t="shared" si="678"/>
        <v>45345</v>
      </c>
      <c r="L2666" s="5">
        <f t="shared" si="679"/>
        <v>2</v>
      </c>
      <c r="M2666" s="5">
        <f t="shared" si="680"/>
        <v>2024</v>
      </c>
      <c r="N2666" s="6">
        <v>160</v>
      </c>
      <c r="O2666" s="6">
        <f t="shared" si="688"/>
        <v>-160</v>
      </c>
      <c r="P2666" s="6">
        <f t="shared" si="684"/>
        <v>0</v>
      </c>
      <c r="Q2666" s="7">
        <v>4313376.9500000011</v>
      </c>
      <c r="R2666" s="44" t="str">
        <f>VLOOKUP(F2666,'Set up'!$A$2:$E$70,5,FALSE)</f>
        <v>Trsf</v>
      </c>
      <c r="S2666" s="1" t="s">
        <v>3665</v>
      </c>
    </row>
    <row r="2667" spans="1:19" ht="15" customHeight="1" x14ac:dyDescent="0.35">
      <c r="A2667" s="4">
        <v>45348</v>
      </c>
      <c r="B2667" s="5">
        <f t="shared" si="676"/>
        <v>2</v>
      </c>
      <c r="C2667" s="5">
        <f t="shared" si="677"/>
        <v>2024</v>
      </c>
      <c r="D2667" s="5" t="s">
        <v>2368</v>
      </c>
      <c r="E2667" s="5" t="str">
        <f>VLOOKUP(F2667,'Set up'!$A$2:$C$70,2,FALSE)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up'!$A$2:$C$70,3,FALSE)</f>
        <v>Cash</v>
      </c>
      <c r="J2667" s="5">
        <f>VLOOKUP(F2667,'Set up'!$A$2:$D$70,4,FALSE)</f>
        <v>0</v>
      </c>
      <c r="K2667" s="4">
        <f t="shared" si="678"/>
        <v>45348</v>
      </c>
      <c r="L2667" s="5">
        <f t="shared" si="679"/>
        <v>2</v>
      </c>
      <c r="M2667" s="5">
        <f t="shared" si="680"/>
        <v>2024</v>
      </c>
      <c r="N2667" s="6">
        <v>437.5</v>
      </c>
      <c r="O2667" s="6">
        <f>-N2667</f>
        <v>-437.5</v>
      </c>
      <c r="P2667" s="6">
        <f t="shared" si="684"/>
        <v>0</v>
      </c>
      <c r="Q2667" s="7">
        <v>4313814.4500000011</v>
      </c>
      <c r="R2667" s="44" t="str">
        <f>VLOOKUP(F2667,'Set up'!$A$2:$E$70,5,FALSE)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676"/>
        <v>2</v>
      </c>
      <c r="C2668" s="5">
        <f t="shared" si="677"/>
        <v>2024</v>
      </c>
      <c r="D2668" s="5" t="s">
        <v>2369</v>
      </c>
      <c r="E2668" s="5" t="str">
        <f>VLOOKUP(F2668,'Set up'!$A$2:$C$70,2,FALSE)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up'!$A$2:$C$70,3,FALSE)</f>
        <v>Cash</v>
      </c>
      <c r="J2668" s="5">
        <f>VLOOKUP(F2668,'Set up'!$A$2:$D$70,4,FALSE)</f>
        <v>0</v>
      </c>
      <c r="K2668" s="4">
        <f t="shared" si="678"/>
        <v>45348</v>
      </c>
      <c r="L2668" s="5">
        <f t="shared" si="679"/>
        <v>2</v>
      </c>
      <c r="M2668" s="5">
        <f t="shared" si="680"/>
        <v>2024</v>
      </c>
      <c r="N2668" s="6">
        <v>11121</v>
      </c>
      <c r="O2668" s="6">
        <f>-1901.9-9219.1</f>
        <v>-11121</v>
      </c>
      <c r="P2668" s="6">
        <f t="shared" si="684"/>
        <v>0</v>
      </c>
      <c r="Q2668" s="7">
        <v>4324935.4500000011</v>
      </c>
      <c r="R2668" s="44" t="str">
        <f>VLOOKUP(F2668,'Set up'!$A$2:$E$70,5,FALSE)</f>
        <v>Trsf</v>
      </c>
      <c r="S2668" s="1" t="s">
        <v>2992</v>
      </c>
    </row>
    <row r="2669" spans="1:19" ht="15" customHeight="1" x14ac:dyDescent="0.35">
      <c r="A2669" s="4">
        <v>45348</v>
      </c>
      <c r="B2669" s="5">
        <f t="shared" si="676"/>
        <v>2</v>
      </c>
      <c r="C2669" s="5">
        <f t="shared" si="677"/>
        <v>2024</v>
      </c>
      <c r="D2669" s="5" t="s">
        <v>2369</v>
      </c>
      <c r="E2669" s="5" t="str">
        <f>VLOOKUP(F2669,'Set up'!$A$2:$C$70,2,FALSE)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up'!$A$2:$C$70,3,FALSE)</f>
        <v>Cash</v>
      </c>
      <c r="J2669" s="5">
        <f>VLOOKUP(F2669,'Set up'!$A$2:$D$70,4,FALSE)</f>
        <v>0</v>
      </c>
      <c r="K2669" s="4">
        <f t="shared" si="678"/>
        <v>45348</v>
      </c>
      <c r="L2669" s="5">
        <f t="shared" si="679"/>
        <v>2</v>
      </c>
      <c r="M2669" s="5">
        <f t="shared" si="680"/>
        <v>2024</v>
      </c>
      <c r="N2669" s="6">
        <v>4077.4</v>
      </c>
      <c r="O2669" s="6">
        <f>-N2669</f>
        <v>-4077.4</v>
      </c>
      <c r="P2669" s="6">
        <f t="shared" si="684"/>
        <v>0</v>
      </c>
      <c r="Q2669" s="7">
        <v>4329012.8500000015</v>
      </c>
      <c r="R2669" s="44" t="str">
        <f>VLOOKUP(F2669,'Set up'!$A$2:$E$70,5,FALSE)</f>
        <v>Trsf</v>
      </c>
      <c r="S2669" s="1" t="s">
        <v>2993</v>
      </c>
    </row>
    <row r="2670" spans="1:19" ht="15" customHeight="1" x14ac:dyDescent="0.35">
      <c r="A2670" s="4">
        <v>45348</v>
      </c>
      <c r="B2670" s="5">
        <f t="shared" si="676"/>
        <v>2</v>
      </c>
      <c r="C2670" s="5">
        <f t="shared" si="677"/>
        <v>2024</v>
      </c>
      <c r="D2670" s="5" t="s">
        <v>2369</v>
      </c>
      <c r="E2670" s="5" t="str">
        <f>VLOOKUP(F2670,'Set up'!$A$2:$C$70,2,FALSE)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up'!$A$2:$C$70,3,FALSE)</f>
        <v>Cash</v>
      </c>
      <c r="J2670" s="5">
        <f>VLOOKUP(F2670,'Set up'!$A$2:$D$70,4,FALSE)</f>
        <v>0</v>
      </c>
      <c r="K2670" s="4">
        <f t="shared" si="678"/>
        <v>45348</v>
      </c>
      <c r="L2670" s="5">
        <f t="shared" si="679"/>
        <v>2</v>
      </c>
      <c r="M2670" s="5">
        <f t="shared" si="680"/>
        <v>2024</v>
      </c>
      <c r="N2670" s="6">
        <v>2340</v>
      </c>
      <c r="O2670" s="6">
        <f>-N2670</f>
        <v>-2340</v>
      </c>
      <c r="P2670" s="6">
        <f t="shared" si="684"/>
        <v>0</v>
      </c>
      <c r="Q2670" s="7">
        <v>4331352.8500000015</v>
      </c>
      <c r="R2670" s="44" t="str">
        <f>VLOOKUP(F2670,'Set up'!$A$2:$E$70,5,FALSE)</f>
        <v>Trsf</v>
      </c>
      <c r="S2670" s="1" t="s">
        <v>2994</v>
      </c>
    </row>
    <row r="2671" spans="1:19" ht="15" customHeight="1" x14ac:dyDescent="0.35">
      <c r="A2671" s="4">
        <v>45348</v>
      </c>
      <c r="B2671" s="5">
        <f t="shared" si="676"/>
        <v>2</v>
      </c>
      <c r="C2671" s="5">
        <f t="shared" si="677"/>
        <v>2024</v>
      </c>
      <c r="D2671" s="5" t="s">
        <v>2369</v>
      </c>
      <c r="E2671" s="5" t="str">
        <f>VLOOKUP(F2671,'Set up'!$A$2:$C$70,2,FALSE)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up'!$A$2:$C$70,3,FALSE)</f>
        <v>Cash</v>
      </c>
      <c r="J2671" s="5">
        <f>VLOOKUP(F2671,'Set up'!$A$2:$D$70,4,FALSE)</f>
        <v>0</v>
      </c>
      <c r="K2671" s="4">
        <f t="shared" si="678"/>
        <v>45348</v>
      </c>
      <c r="L2671" s="5">
        <f t="shared" si="679"/>
        <v>2</v>
      </c>
      <c r="M2671" s="5">
        <f t="shared" si="680"/>
        <v>2024</v>
      </c>
      <c r="N2671" s="6">
        <v>380</v>
      </c>
      <c r="O2671" s="6">
        <f>-N2671</f>
        <v>-380</v>
      </c>
      <c r="P2671" s="6">
        <f t="shared" si="684"/>
        <v>0</v>
      </c>
      <c r="Q2671" s="7">
        <v>4331732.8500000015</v>
      </c>
      <c r="R2671" s="44" t="str">
        <f>VLOOKUP(F2671,'Set up'!$A$2:$E$70,5,FALSE)</f>
        <v>Trsf</v>
      </c>
      <c r="S2671" s="1" t="s">
        <v>2995</v>
      </c>
    </row>
    <row r="2672" spans="1:19" ht="15" customHeight="1" x14ac:dyDescent="0.35">
      <c r="A2672" s="4">
        <v>45348</v>
      </c>
      <c r="B2672" s="5">
        <f t="shared" si="676"/>
        <v>2</v>
      </c>
      <c r="C2672" s="5">
        <f t="shared" si="677"/>
        <v>2024</v>
      </c>
      <c r="D2672" s="5" t="s">
        <v>2369</v>
      </c>
      <c r="E2672" s="5" t="str">
        <f>VLOOKUP(F2672,'Set up'!$A$2:$C$70,2,FALSE)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up'!$A$2:$C$70,3,FALSE)</f>
        <v>Cash</v>
      </c>
      <c r="J2672" s="5">
        <f>VLOOKUP(F2672,'Set up'!$A$2:$D$70,4,FALSE)</f>
        <v>0</v>
      </c>
      <c r="K2672" s="4">
        <f t="shared" si="678"/>
        <v>45348</v>
      </c>
      <c r="L2672" s="5">
        <f t="shared" si="679"/>
        <v>2</v>
      </c>
      <c r="M2672" s="5">
        <f t="shared" si="680"/>
        <v>2024</v>
      </c>
      <c r="N2672" s="6">
        <v>900</v>
      </c>
      <c r="O2672" s="6">
        <f>-N2672</f>
        <v>-900</v>
      </c>
      <c r="P2672" s="6">
        <f t="shared" si="684"/>
        <v>0</v>
      </c>
      <c r="Q2672" s="7">
        <v>4332632.8500000015</v>
      </c>
      <c r="R2672" s="44" t="str">
        <f>VLOOKUP(F2672,'Set up'!$A$2:$E$70,5,FALSE)</f>
        <v>Trsf</v>
      </c>
      <c r="S2672" s="1" t="s">
        <v>2996</v>
      </c>
    </row>
    <row r="2673" spans="1:19" ht="15" customHeight="1" x14ac:dyDescent="0.35">
      <c r="A2673" s="4">
        <v>45349</v>
      </c>
      <c r="B2673" s="5">
        <f t="shared" si="676"/>
        <v>2</v>
      </c>
      <c r="C2673" s="5">
        <f t="shared" si="677"/>
        <v>2024</v>
      </c>
      <c r="D2673" s="5" t="s">
        <v>2371</v>
      </c>
      <c r="E2673" s="5" t="str">
        <f>VLOOKUP(F2673,'Set up'!$A$2:$C$70,2,FALSE)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up'!$A$2:$C$70,3,FALSE)</f>
        <v>Cash</v>
      </c>
      <c r="J2673" s="5">
        <f>VLOOKUP(F2673,'Set up'!$A$2:$D$70,4,FALSE)</f>
        <v>0</v>
      </c>
      <c r="K2673" s="4">
        <f t="shared" si="678"/>
        <v>45349</v>
      </c>
      <c r="L2673" s="5">
        <f t="shared" si="679"/>
        <v>2</v>
      </c>
      <c r="M2673" s="5">
        <f t="shared" si="680"/>
        <v>2024</v>
      </c>
      <c r="N2673" s="6">
        <v>567.6</v>
      </c>
      <c r="O2673" s="6">
        <f t="shared" ref="O2673" si="689">-N2673</f>
        <v>-567.6</v>
      </c>
      <c r="P2673" s="6">
        <f t="shared" si="684"/>
        <v>0</v>
      </c>
      <c r="Q2673" s="7">
        <v>4333200.4500000011</v>
      </c>
      <c r="R2673" s="44" t="str">
        <f>VLOOKUP(F2673,'Set up'!$A$2:$E$70,5,FALSE)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676"/>
        <v>2</v>
      </c>
      <c r="C2674" s="5">
        <f t="shared" si="677"/>
        <v>2024</v>
      </c>
      <c r="D2674" s="5" t="s">
        <v>2372</v>
      </c>
      <c r="E2674" s="5" t="str">
        <f>VLOOKUP(F2674,'Set up'!$A$2:$C$70,2,FALSE)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up'!$A$2:$C$70,3,FALSE)</f>
        <v>Cash</v>
      </c>
      <c r="J2674" s="5">
        <f>VLOOKUP(F2674,'Set up'!$A$2:$D$70,4,FALSE)</f>
        <v>0</v>
      </c>
      <c r="K2674" s="4">
        <f t="shared" si="678"/>
        <v>45350</v>
      </c>
      <c r="L2674" s="5">
        <f t="shared" si="679"/>
        <v>2</v>
      </c>
      <c r="M2674" s="5">
        <f t="shared" si="680"/>
        <v>2024</v>
      </c>
      <c r="N2674" s="6">
        <v>1000</v>
      </c>
      <c r="O2674" s="6">
        <f>-N2674</f>
        <v>-1000</v>
      </c>
      <c r="P2674" s="6">
        <f t="shared" si="684"/>
        <v>0</v>
      </c>
      <c r="Q2674" s="7">
        <v>4334200.4500000011</v>
      </c>
      <c r="R2674" s="44" t="str">
        <f>VLOOKUP(F2674,'Set up'!$A$2:$E$70,5,FALSE)</f>
        <v>Trsf</v>
      </c>
      <c r="S2674" s="1" t="s">
        <v>2997</v>
      </c>
    </row>
    <row r="2675" spans="1:19" ht="15" customHeight="1" x14ac:dyDescent="0.35">
      <c r="A2675" s="4">
        <v>45352</v>
      </c>
      <c r="B2675" s="5">
        <f t="shared" si="676"/>
        <v>3</v>
      </c>
      <c r="C2675" s="5">
        <f t="shared" si="677"/>
        <v>2024</v>
      </c>
      <c r="D2675" s="5" t="s">
        <v>2423</v>
      </c>
      <c r="E2675" s="5" t="str">
        <f>VLOOKUP(F2675,'Set up'!$A$2:$C$70,2,FALSE)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up'!$A$2:$C$70,3,FALSE)</f>
        <v>Cash</v>
      </c>
      <c r="J2675" s="5">
        <f>VLOOKUP(F2675,'Set up'!$A$2:$D$70,4,FALSE)</f>
        <v>0</v>
      </c>
      <c r="K2675" s="4">
        <f t="shared" si="678"/>
        <v>45352</v>
      </c>
      <c r="L2675" s="5">
        <f t="shared" si="679"/>
        <v>3</v>
      </c>
      <c r="M2675" s="5">
        <f t="shared" si="680"/>
        <v>2024</v>
      </c>
      <c r="N2675" s="12">
        <v>1738</v>
      </c>
      <c r="O2675" s="12"/>
      <c r="P2675" s="6">
        <f t="shared" si="684"/>
        <v>1738</v>
      </c>
      <c r="Q2675" s="7">
        <f t="shared" ref="Q2675:Q2728" si="690">SUM(Q2674+N2675)</f>
        <v>4335938.4500000011</v>
      </c>
      <c r="R2675" s="44" t="str">
        <f>VLOOKUP(F2675,'Set up'!$A$2:$E$70,5,FALSE)</f>
        <v>PD Chq</v>
      </c>
    </row>
    <row r="2676" spans="1:19" ht="15" customHeight="1" x14ac:dyDescent="0.35">
      <c r="A2676" s="4">
        <v>45352</v>
      </c>
      <c r="B2676" s="5">
        <f t="shared" si="676"/>
        <v>3</v>
      </c>
      <c r="C2676" s="5">
        <f t="shared" si="677"/>
        <v>2024</v>
      </c>
      <c r="D2676" s="5" t="s">
        <v>2423</v>
      </c>
      <c r="E2676" s="5" t="str">
        <f>VLOOKUP(F2676,'Set up'!$A$2:$C$70,2,FALSE)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up'!$A$2:$C$70,3,FALSE)</f>
        <v>Cash</v>
      </c>
      <c r="J2676" s="5">
        <f>VLOOKUP(F2676,'Set up'!$A$2:$D$70,4,FALSE)</f>
        <v>0</v>
      </c>
      <c r="K2676" s="4">
        <f t="shared" si="678"/>
        <v>45352</v>
      </c>
      <c r="L2676" s="5">
        <f t="shared" si="679"/>
        <v>3</v>
      </c>
      <c r="M2676" s="5">
        <f t="shared" si="680"/>
        <v>2024</v>
      </c>
      <c r="N2676" s="12">
        <v>555</v>
      </c>
      <c r="O2676" s="12"/>
      <c r="P2676" s="6">
        <f t="shared" si="684"/>
        <v>555</v>
      </c>
      <c r="Q2676" s="7">
        <f t="shared" si="690"/>
        <v>4336493.4500000011</v>
      </c>
      <c r="R2676" s="44" t="str">
        <f>VLOOKUP(F2676,'Set up'!$A$2:$E$70,5,FALSE)</f>
        <v>PD Chq</v>
      </c>
    </row>
    <row r="2677" spans="1:19" ht="15" customHeight="1" x14ac:dyDescent="0.35">
      <c r="A2677" s="4">
        <v>45352</v>
      </c>
      <c r="B2677" s="5">
        <f t="shared" si="676"/>
        <v>3</v>
      </c>
      <c r="C2677" s="5">
        <f t="shared" si="677"/>
        <v>2024</v>
      </c>
      <c r="D2677" s="5" t="s">
        <v>2423</v>
      </c>
      <c r="E2677" s="5" t="str">
        <f>VLOOKUP(F2677,'Set up'!$A$2:$C$70,2,FALSE)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up'!$A$2:$C$70,3,FALSE)</f>
        <v>Cash</v>
      </c>
      <c r="J2677" s="5">
        <f>VLOOKUP(F2677,'Set up'!$A$2:$D$70,4,FALSE)</f>
        <v>0</v>
      </c>
      <c r="K2677" s="4">
        <f t="shared" si="678"/>
        <v>45352</v>
      </c>
      <c r="L2677" s="5">
        <f t="shared" si="679"/>
        <v>3</v>
      </c>
      <c r="M2677" s="5">
        <f t="shared" si="680"/>
        <v>2024</v>
      </c>
      <c r="N2677" s="12">
        <v>95</v>
      </c>
      <c r="O2677" s="12"/>
      <c r="P2677" s="6">
        <f t="shared" si="684"/>
        <v>95</v>
      </c>
      <c r="Q2677" s="7">
        <f t="shared" si="690"/>
        <v>4336588.4500000011</v>
      </c>
      <c r="R2677" s="44" t="str">
        <f>VLOOKUP(F2677,'Set up'!$A$2:$E$70,5,FALSE)</f>
        <v>PD Chq</v>
      </c>
    </row>
    <row r="2678" spans="1:19" ht="15" customHeight="1" x14ac:dyDescent="0.35">
      <c r="A2678" s="4">
        <v>45352</v>
      </c>
      <c r="B2678" s="5">
        <f t="shared" si="676"/>
        <v>3</v>
      </c>
      <c r="C2678" s="5">
        <f t="shared" si="677"/>
        <v>2024</v>
      </c>
      <c r="D2678" s="5" t="s">
        <v>2423</v>
      </c>
      <c r="E2678" s="5" t="str">
        <f>VLOOKUP(F2678,'Set up'!$A$2:$C$70,2,FALSE)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up'!$A$2:$C$70,3,FALSE)</f>
        <v>Cash</v>
      </c>
      <c r="J2678" s="5">
        <f>VLOOKUP(F2678,'Set up'!$A$2:$D$70,4,FALSE)</f>
        <v>0</v>
      </c>
      <c r="K2678" s="4">
        <f t="shared" si="678"/>
        <v>45352</v>
      </c>
      <c r="L2678" s="5">
        <f t="shared" si="679"/>
        <v>3</v>
      </c>
      <c r="M2678" s="5">
        <f t="shared" si="680"/>
        <v>2024</v>
      </c>
      <c r="N2678" s="12">
        <v>225</v>
      </c>
      <c r="O2678" s="12"/>
      <c r="P2678" s="6">
        <f t="shared" si="684"/>
        <v>225</v>
      </c>
      <c r="Q2678" s="7">
        <f t="shared" si="690"/>
        <v>4336813.4500000011</v>
      </c>
      <c r="R2678" s="44" t="str">
        <f>VLOOKUP(F2678,'Set up'!$A$2:$E$70,5,FALSE)</f>
        <v>PD Chq</v>
      </c>
    </row>
    <row r="2679" spans="1:19" ht="15" customHeight="1" x14ac:dyDescent="0.35">
      <c r="A2679" s="4">
        <v>45353</v>
      </c>
      <c r="B2679" s="5">
        <f t="shared" si="676"/>
        <v>3</v>
      </c>
      <c r="C2679" s="5">
        <f t="shared" si="677"/>
        <v>2024</v>
      </c>
      <c r="D2679" s="5" t="s">
        <v>2424</v>
      </c>
      <c r="E2679" s="5" t="str">
        <f>VLOOKUP(F2679,'Set up'!$A$2:$C$70,2,FALSE)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up'!$A$2:$C$70,3,FALSE)</f>
        <v>120</v>
      </c>
      <c r="J2679" s="5">
        <f>VLOOKUP(F2679,'Set up'!$A$2:$D$70,4,FALSE)</f>
        <v>120</v>
      </c>
      <c r="K2679" s="4">
        <f t="shared" si="678"/>
        <v>45473</v>
      </c>
      <c r="L2679" s="5">
        <f t="shared" si="679"/>
        <v>6</v>
      </c>
      <c r="M2679" s="5">
        <f t="shared" si="680"/>
        <v>2024</v>
      </c>
      <c r="N2679" s="12">
        <v>12848</v>
      </c>
      <c r="O2679" s="6">
        <f t="shared" ref="O2679:O2684" si="691">-N2679</f>
        <v>-12848</v>
      </c>
      <c r="P2679" s="6">
        <f t="shared" si="684"/>
        <v>0</v>
      </c>
      <c r="Q2679" s="7">
        <f t="shared" si="690"/>
        <v>4349661.4500000011</v>
      </c>
      <c r="R2679" s="44" t="str">
        <f>VLOOKUP(F2679,'Set up'!$A$2:$E$70,5,FALSE)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676"/>
        <v>3</v>
      </c>
      <c r="C2680" s="5">
        <f t="shared" si="677"/>
        <v>2024</v>
      </c>
      <c r="D2680" s="5" t="s">
        <v>2424</v>
      </c>
      <c r="E2680" s="5" t="str">
        <f>VLOOKUP(F2680,'Set up'!$A$2:$C$70,2,FALSE)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up'!$A$2:$C$70,3,FALSE)</f>
        <v>120</v>
      </c>
      <c r="J2680" s="5">
        <f>VLOOKUP(F2680,'Set up'!$A$2:$D$70,4,FALSE)</f>
        <v>120</v>
      </c>
      <c r="K2680" s="4">
        <f t="shared" si="678"/>
        <v>45473</v>
      </c>
      <c r="L2680" s="5">
        <f t="shared" si="679"/>
        <v>6</v>
      </c>
      <c r="M2680" s="5">
        <f t="shared" si="680"/>
        <v>2024</v>
      </c>
      <c r="N2680" s="12">
        <v>870</v>
      </c>
      <c r="O2680" s="6">
        <f t="shared" si="691"/>
        <v>-870</v>
      </c>
      <c r="P2680" s="6">
        <f t="shared" si="684"/>
        <v>0</v>
      </c>
      <c r="Q2680" s="7">
        <f t="shared" si="690"/>
        <v>4350531.4500000011</v>
      </c>
      <c r="R2680" s="44" t="str">
        <f>VLOOKUP(F2680,'Set up'!$A$2:$E$70,5,FALSE)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676"/>
        <v>3</v>
      </c>
      <c r="C2681" s="5">
        <f t="shared" si="677"/>
        <v>2024</v>
      </c>
      <c r="D2681" s="5" t="s">
        <v>2424</v>
      </c>
      <c r="E2681" s="5" t="str">
        <f>VLOOKUP(F2681,'Set up'!$A$2:$C$70,2,FALSE)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up'!$A$2:$C$70,3,FALSE)</f>
        <v>120</v>
      </c>
      <c r="J2681" s="5">
        <f>VLOOKUP(F2681,'Set up'!$A$2:$D$70,4,FALSE)</f>
        <v>120</v>
      </c>
      <c r="K2681" s="4">
        <f t="shared" si="678"/>
        <v>45473</v>
      </c>
      <c r="L2681" s="5">
        <f t="shared" si="679"/>
        <v>6</v>
      </c>
      <c r="M2681" s="5">
        <f t="shared" si="680"/>
        <v>2024</v>
      </c>
      <c r="N2681" s="12">
        <v>575</v>
      </c>
      <c r="O2681" s="6">
        <f t="shared" si="691"/>
        <v>-575</v>
      </c>
      <c r="P2681" s="6">
        <f t="shared" si="684"/>
        <v>0</v>
      </c>
      <c r="Q2681" s="7">
        <f t="shared" si="690"/>
        <v>4351106.4500000011</v>
      </c>
      <c r="R2681" s="44" t="str">
        <f>VLOOKUP(F2681,'Set up'!$A$2:$E$70,5,FALSE)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676"/>
        <v>3</v>
      </c>
      <c r="C2682" s="5">
        <f t="shared" si="677"/>
        <v>2024</v>
      </c>
      <c r="D2682" s="5" t="s">
        <v>2424</v>
      </c>
      <c r="E2682" s="5" t="str">
        <f>VLOOKUP(F2682,'Set up'!$A$2:$C$70,2,FALSE)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up'!$A$2:$C$70,3,FALSE)</f>
        <v>120</v>
      </c>
      <c r="J2682" s="5">
        <f>VLOOKUP(F2682,'Set up'!$A$2:$D$70,4,FALSE)</f>
        <v>120</v>
      </c>
      <c r="K2682" s="4">
        <f t="shared" si="678"/>
        <v>45473</v>
      </c>
      <c r="L2682" s="5">
        <f t="shared" si="679"/>
        <v>6</v>
      </c>
      <c r="M2682" s="5">
        <f t="shared" si="680"/>
        <v>2024</v>
      </c>
      <c r="N2682" s="12">
        <v>440</v>
      </c>
      <c r="O2682" s="6">
        <f t="shared" si="691"/>
        <v>-440</v>
      </c>
      <c r="P2682" s="6">
        <f t="shared" si="684"/>
        <v>0</v>
      </c>
      <c r="Q2682" s="7">
        <f t="shared" si="690"/>
        <v>4351546.4500000011</v>
      </c>
      <c r="R2682" s="44" t="str">
        <f>VLOOKUP(F2682,'Set up'!$A$2:$E$70,5,FALSE)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676"/>
        <v>3</v>
      </c>
      <c r="C2683" s="5">
        <f t="shared" si="677"/>
        <v>2024</v>
      </c>
      <c r="D2683" s="5" t="s">
        <v>2424</v>
      </c>
      <c r="E2683" s="5" t="str">
        <f>VLOOKUP(F2683,'Set up'!$A$2:$C$70,2,FALSE)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up'!$A$2:$C$70,3,FALSE)</f>
        <v>120</v>
      </c>
      <c r="J2683" s="5">
        <f>VLOOKUP(F2683,'Set up'!$A$2:$D$70,4,FALSE)</f>
        <v>120</v>
      </c>
      <c r="K2683" s="4">
        <f t="shared" si="678"/>
        <v>45473</v>
      </c>
      <c r="L2683" s="5">
        <f t="shared" si="679"/>
        <v>6</v>
      </c>
      <c r="M2683" s="5">
        <f t="shared" si="680"/>
        <v>2024</v>
      </c>
      <c r="N2683" s="12">
        <v>420</v>
      </c>
      <c r="O2683" s="6">
        <f t="shared" si="691"/>
        <v>-420</v>
      </c>
      <c r="P2683" s="6">
        <f t="shared" si="684"/>
        <v>0</v>
      </c>
      <c r="Q2683" s="7">
        <f t="shared" si="690"/>
        <v>4351966.4500000011</v>
      </c>
      <c r="R2683" s="44" t="str">
        <f>VLOOKUP(F2683,'Set up'!$A$2:$E$70,5,FALSE)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676"/>
        <v>3</v>
      </c>
      <c r="C2684" s="5">
        <f t="shared" si="677"/>
        <v>2024</v>
      </c>
      <c r="D2684" s="5" t="s">
        <v>2424</v>
      </c>
      <c r="E2684" s="5" t="str">
        <f>VLOOKUP(F2684,'Set up'!$A$2:$C$70,2,FALSE)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up'!$A$2:$C$70,3,FALSE)</f>
        <v>120</v>
      </c>
      <c r="J2684" s="5">
        <f>VLOOKUP(F2684,'Set up'!$A$2:$D$70,4,FALSE)</f>
        <v>120</v>
      </c>
      <c r="K2684" s="4">
        <f t="shared" si="678"/>
        <v>45473</v>
      </c>
      <c r="L2684" s="5">
        <f t="shared" si="679"/>
        <v>6</v>
      </c>
      <c r="M2684" s="5">
        <f t="shared" si="680"/>
        <v>2024</v>
      </c>
      <c r="N2684" s="12">
        <v>395</v>
      </c>
      <c r="O2684" s="6">
        <f t="shared" si="691"/>
        <v>-395</v>
      </c>
      <c r="P2684" s="6">
        <f t="shared" si="684"/>
        <v>0</v>
      </c>
      <c r="Q2684" s="7">
        <f t="shared" si="690"/>
        <v>4352361.4500000011</v>
      </c>
      <c r="R2684" s="44" t="str">
        <f>VLOOKUP(F2684,'Set up'!$A$2:$E$70,5,FALSE)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676"/>
        <v>3</v>
      </c>
      <c r="C2685" s="5">
        <f t="shared" si="677"/>
        <v>2024</v>
      </c>
      <c r="D2685" s="5" t="s">
        <v>2425</v>
      </c>
      <c r="E2685" s="5" t="str">
        <f>VLOOKUP(F2685,'Set up'!$A$2:$C$70,2,FALSE)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up'!$A$2:$C$70,3,FALSE)</f>
        <v>Cash</v>
      </c>
      <c r="J2685" s="5">
        <f>VLOOKUP(F2685,'Set up'!$A$2:$D$70,4,FALSE)</f>
        <v>0</v>
      </c>
      <c r="K2685" s="4">
        <f t="shared" si="678"/>
        <v>45353</v>
      </c>
      <c r="L2685" s="5">
        <f t="shared" si="679"/>
        <v>3</v>
      </c>
      <c r="M2685" s="5">
        <f t="shared" si="680"/>
        <v>2024</v>
      </c>
      <c r="N2685" s="12">
        <v>1279.8</v>
      </c>
      <c r="O2685" s="6">
        <f t="shared" ref="O2685" si="692">-N2685</f>
        <v>-1279.8</v>
      </c>
      <c r="P2685" s="6">
        <f t="shared" si="684"/>
        <v>0</v>
      </c>
      <c r="Q2685" s="7">
        <f t="shared" si="690"/>
        <v>4353641.2500000009</v>
      </c>
      <c r="R2685" s="44" t="str">
        <f>VLOOKUP(F2685,'Set up'!$A$2:$E$70,5,FALSE)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676"/>
        <v>3</v>
      </c>
      <c r="C2686" s="5">
        <f t="shared" si="677"/>
        <v>2024</v>
      </c>
      <c r="D2686" s="5" t="s">
        <v>2426</v>
      </c>
      <c r="E2686" s="5" t="str">
        <f>VLOOKUP(F2686,'Set up'!$A$2:$C$70,2,FALSE)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up'!$A$2:$C$70,3,FALSE)</f>
        <v>Cash</v>
      </c>
      <c r="J2686" s="5">
        <f>VLOOKUP(F2686,'Set up'!$A$2:$D$70,4,FALSE)</f>
        <v>0</v>
      </c>
      <c r="K2686" s="4">
        <f t="shared" si="678"/>
        <v>45356</v>
      </c>
      <c r="L2686" s="5">
        <f t="shared" si="679"/>
        <v>3</v>
      </c>
      <c r="M2686" s="5">
        <f t="shared" si="680"/>
        <v>2024</v>
      </c>
      <c r="N2686" s="12">
        <v>625</v>
      </c>
      <c r="O2686" s="6">
        <f>-N2686</f>
        <v>-625</v>
      </c>
      <c r="P2686" s="6">
        <f t="shared" si="684"/>
        <v>0</v>
      </c>
      <c r="Q2686" s="7">
        <f t="shared" si="690"/>
        <v>4354266.2500000009</v>
      </c>
      <c r="R2686" s="44" t="str">
        <f>VLOOKUP(F2686,'Set up'!$A$2:$E$70,5,FALSE)</f>
        <v>Trsf</v>
      </c>
      <c r="S2686" s="1" t="s">
        <v>2998</v>
      </c>
    </row>
    <row r="2687" spans="1:19" ht="15" customHeight="1" x14ac:dyDescent="0.35">
      <c r="A2687" s="4">
        <v>45356</v>
      </c>
      <c r="B2687" s="5">
        <f t="shared" si="676"/>
        <v>3</v>
      </c>
      <c r="C2687" s="5">
        <f t="shared" si="677"/>
        <v>2024</v>
      </c>
      <c r="D2687" s="5" t="s">
        <v>2427</v>
      </c>
      <c r="E2687" s="5" t="str">
        <f>VLOOKUP(F2687,'Set up'!$A$2:$C$70,2,FALSE)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up'!$A$2:$C$70,3,FALSE)</f>
        <v>Cash</v>
      </c>
      <c r="J2687" s="5">
        <f>VLOOKUP(F2687,'Set up'!$A$2:$D$70,4,FALSE)</f>
        <v>0</v>
      </c>
      <c r="K2687" s="4">
        <f t="shared" si="678"/>
        <v>45356</v>
      </c>
      <c r="L2687" s="5">
        <f t="shared" si="679"/>
        <v>3</v>
      </c>
      <c r="M2687" s="5">
        <f t="shared" si="680"/>
        <v>2024</v>
      </c>
      <c r="N2687" s="12">
        <v>16060</v>
      </c>
      <c r="O2687" s="6">
        <f>-6958.5-8000-1101.5</f>
        <v>-16060</v>
      </c>
      <c r="P2687" s="6">
        <f t="shared" si="684"/>
        <v>0</v>
      </c>
      <c r="Q2687" s="7">
        <f t="shared" si="690"/>
        <v>4370326.2500000009</v>
      </c>
      <c r="R2687" s="44" t="str">
        <f>VLOOKUP(F2687,'Set up'!$A$2:$E$70,5,FALSE)</f>
        <v>Trsf</v>
      </c>
      <c r="S2687" s="1" t="s">
        <v>2999</v>
      </c>
    </row>
    <row r="2688" spans="1:19" ht="15" customHeight="1" x14ac:dyDescent="0.35">
      <c r="A2688" s="4">
        <v>45356</v>
      </c>
      <c r="B2688" s="5">
        <f t="shared" si="676"/>
        <v>3</v>
      </c>
      <c r="C2688" s="5">
        <f t="shared" si="677"/>
        <v>2024</v>
      </c>
      <c r="D2688" s="5" t="s">
        <v>2427</v>
      </c>
      <c r="E2688" s="5" t="str">
        <f>VLOOKUP(F2688,'Set up'!$A$2:$C$70,2,FALSE)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up'!$A$2:$C$70,3,FALSE)</f>
        <v>Cash</v>
      </c>
      <c r="J2688" s="5">
        <f>VLOOKUP(F2688,'Set up'!$A$2:$D$70,4,FALSE)</f>
        <v>0</v>
      </c>
      <c r="K2688" s="4">
        <f t="shared" si="678"/>
        <v>45356</v>
      </c>
      <c r="L2688" s="5">
        <f t="shared" si="679"/>
        <v>3</v>
      </c>
      <c r="M2688" s="5">
        <f t="shared" si="680"/>
        <v>2024</v>
      </c>
      <c r="N2688" s="12">
        <v>3480</v>
      </c>
      <c r="O2688" s="6">
        <f>-N2688</f>
        <v>-3480</v>
      </c>
      <c r="P2688" s="6">
        <f t="shared" si="684"/>
        <v>0</v>
      </c>
      <c r="Q2688" s="7">
        <f t="shared" si="690"/>
        <v>4373806.2500000009</v>
      </c>
      <c r="R2688" s="44" t="str">
        <f>VLOOKUP(F2688,'Set up'!$A$2:$E$70,5,FALSE)</f>
        <v>Trsf</v>
      </c>
      <c r="S2688" s="1" t="s">
        <v>3000</v>
      </c>
    </row>
    <row r="2689" spans="1:21" ht="15" customHeight="1" x14ac:dyDescent="0.35">
      <c r="A2689" s="4">
        <v>45356</v>
      </c>
      <c r="B2689" s="5">
        <f t="shared" si="676"/>
        <v>3</v>
      </c>
      <c r="C2689" s="5">
        <f t="shared" si="677"/>
        <v>2024</v>
      </c>
      <c r="D2689" s="5" t="s">
        <v>2427</v>
      </c>
      <c r="E2689" s="5" t="str">
        <f>VLOOKUP(F2689,'Set up'!$A$2:$C$70,2,FALSE)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up'!$A$2:$C$70,3,FALSE)</f>
        <v>Cash</v>
      </c>
      <c r="J2689" s="5">
        <f>VLOOKUP(F2689,'Set up'!$A$2:$D$70,4,FALSE)</f>
        <v>0</v>
      </c>
      <c r="K2689" s="4">
        <f t="shared" si="678"/>
        <v>45356</v>
      </c>
      <c r="L2689" s="5">
        <f t="shared" si="679"/>
        <v>3</v>
      </c>
      <c r="M2689" s="5">
        <f t="shared" si="680"/>
        <v>2024</v>
      </c>
      <c r="N2689" s="12">
        <v>2146</v>
      </c>
      <c r="O2689" s="6">
        <f>-118.5-2027.5</f>
        <v>-2146</v>
      </c>
      <c r="P2689" s="6">
        <f t="shared" si="684"/>
        <v>0</v>
      </c>
      <c r="Q2689" s="7">
        <f t="shared" si="690"/>
        <v>4375952.2500000009</v>
      </c>
      <c r="R2689" s="44" t="str">
        <f>VLOOKUP(F2689,'Set up'!$A$2:$E$70,5,FALSE)</f>
        <v>Trsf</v>
      </c>
      <c r="S2689" s="1" t="s">
        <v>3001</v>
      </c>
    </row>
    <row r="2690" spans="1:21" ht="15" customHeight="1" x14ac:dyDescent="0.35">
      <c r="A2690" s="4">
        <v>45356</v>
      </c>
      <c r="B2690" s="5">
        <f t="shared" si="676"/>
        <v>3</v>
      </c>
      <c r="C2690" s="5">
        <f t="shared" si="677"/>
        <v>2024</v>
      </c>
      <c r="D2690" s="5" t="s">
        <v>2427</v>
      </c>
      <c r="E2690" s="5" t="str">
        <f>VLOOKUP(F2690,'Set up'!$A$2:$C$70,2,FALSE)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up'!$A$2:$C$70,3,FALSE)</f>
        <v>Cash</v>
      </c>
      <c r="J2690" s="5">
        <f>VLOOKUP(F2690,'Set up'!$A$2:$D$70,4,FALSE)</f>
        <v>0</v>
      </c>
      <c r="K2690" s="4">
        <f t="shared" si="678"/>
        <v>45356</v>
      </c>
      <c r="L2690" s="5">
        <f t="shared" si="679"/>
        <v>3</v>
      </c>
      <c r="M2690" s="5">
        <f t="shared" si="680"/>
        <v>2024</v>
      </c>
      <c r="N2690" s="12">
        <v>3510</v>
      </c>
      <c r="O2690" s="12">
        <f>-972.5-2537.5</f>
        <v>-3510</v>
      </c>
      <c r="P2690" s="6">
        <f t="shared" si="684"/>
        <v>0</v>
      </c>
      <c r="Q2690" s="7">
        <f t="shared" si="690"/>
        <v>4379462.2500000009</v>
      </c>
      <c r="R2690" s="44" t="str">
        <f>VLOOKUP(F2690,'Set up'!$A$2:$E$70,5,FALSE)</f>
        <v>Trsf</v>
      </c>
      <c r="S2690" s="1" t="s">
        <v>3002</v>
      </c>
    </row>
    <row r="2691" spans="1:21" ht="15" customHeight="1" x14ac:dyDescent="0.35">
      <c r="A2691" s="4">
        <v>45356</v>
      </c>
      <c r="B2691" s="5">
        <f t="shared" ref="B2691:B2754" si="693">MONTH(A2691)</f>
        <v>3</v>
      </c>
      <c r="C2691" s="5">
        <f t="shared" ref="C2691:C2754" si="694">YEAR(A2691)</f>
        <v>2024</v>
      </c>
      <c r="D2691" s="5" t="s">
        <v>2427</v>
      </c>
      <c r="E2691" s="5" t="str">
        <f>VLOOKUP(F2691,'Set up'!$A$2:$C$70,2,FALSE)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up'!$A$2:$C$70,3,FALSE)</f>
        <v>Cash</v>
      </c>
      <c r="J2691" s="5">
        <f>VLOOKUP(F2691,'Set up'!$A$2:$D$70,4,FALSE)</f>
        <v>0</v>
      </c>
      <c r="K2691" s="4">
        <f t="shared" ref="K2691:K2754" si="695">A2691+J2691</f>
        <v>45356</v>
      </c>
      <c r="L2691" s="5">
        <f t="shared" ref="L2691:L2754" si="696">MONTH(K2691)</f>
        <v>3</v>
      </c>
      <c r="M2691" s="5">
        <f t="shared" ref="M2691:M2754" si="697">YEAR(K2691)</f>
        <v>2024</v>
      </c>
      <c r="N2691" s="12">
        <v>380</v>
      </c>
      <c r="O2691" s="6">
        <f>-N2691</f>
        <v>-380</v>
      </c>
      <c r="P2691" s="6">
        <f t="shared" si="684"/>
        <v>0</v>
      </c>
      <c r="Q2691" s="7">
        <f t="shared" si="690"/>
        <v>4379842.2500000009</v>
      </c>
      <c r="R2691" s="44" t="str">
        <f>VLOOKUP(F2691,'Set up'!$A$2:$E$70,5,FALSE)</f>
        <v>Trsf</v>
      </c>
      <c r="S2691" s="1" t="s">
        <v>3003</v>
      </c>
    </row>
    <row r="2692" spans="1:21" ht="15" customHeight="1" x14ac:dyDescent="0.35">
      <c r="A2692" s="4">
        <v>45355</v>
      </c>
      <c r="B2692" s="5">
        <f t="shared" si="693"/>
        <v>3</v>
      </c>
      <c r="C2692" s="5">
        <f t="shared" si="694"/>
        <v>2024</v>
      </c>
      <c r="D2692" s="5" t="s">
        <v>2428</v>
      </c>
      <c r="E2692" s="5" t="str">
        <f>VLOOKUP(F2692,'Set up'!$A$2:$C$70,2,FALSE)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up'!$A$2:$C$70,3,FALSE)</f>
        <v>60</v>
      </c>
      <c r="J2692" s="5">
        <f>VLOOKUP(F2692,'Set up'!$A$2:$D$70,4,FALSE)</f>
        <v>60</v>
      </c>
      <c r="K2692" s="4">
        <f t="shared" si="695"/>
        <v>45415</v>
      </c>
      <c r="L2692" s="5">
        <f t="shared" si="696"/>
        <v>5</v>
      </c>
      <c r="M2692" s="5">
        <f t="shared" si="697"/>
        <v>2024</v>
      </c>
      <c r="N2692" s="12">
        <v>3212</v>
      </c>
      <c r="O2692" s="6">
        <f t="shared" ref="O2692" si="698">-N2692</f>
        <v>-3212</v>
      </c>
      <c r="P2692" s="6">
        <f t="shared" si="684"/>
        <v>0</v>
      </c>
      <c r="Q2692" s="7">
        <f t="shared" si="690"/>
        <v>4383054.2500000009</v>
      </c>
      <c r="R2692" s="44" t="str">
        <f>VLOOKUP(F2692,'Set up'!$A$2:$E$70,5,FALSE)</f>
        <v>Chq</v>
      </c>
      <c r="S2692" s="1" t="s">
        <v>2978</v>
      </c>
    </row>
    <row r="2693" spans="1:21" ht="15" customHeight="1" x14ac:dyDescent="0.35">
      <c r="A2693" s="4">
        <v>45356</v>
      </c>
      <c r="B2693" s="5">
        <f t="shared" si="693"/>
        <v>3</v>
      </c>
      <c r="C2693" s="5">
        <f t="shared" si="694"/>
        <v>2024</v>
      </c>
      <c r="D2693" s="5" t="s">
        <v>2429</v>
      </c>
      <c r="E2693" s="5" t="str">
        <f>VLOOKUP(F2693,'Set up'!$A$2:$C$70,2,FALSE)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up'!$A$2:$C$70,3,FALSE)</f>
        <v>Cash</v>
      </c>
      <c r="J2693" s="5">
        <f>VLOOKUP(F2693,'Set up'!$A$2:$D$70,4,FALSE)</f>
        <v>0</v>
      </c>
      <c r="K2693" s="4">
        <f t="shared" si="695"/>
        <v>45356</v>
      </c>
      <c r="L2693" s="5">
        <f t="shared" si="696"/>
        <v>3</v>
      </c>
      <c r="M2693" s="5">
        <f t="shared" si="697"/>
        <v>2024</v>
      </c>
      <c r="N2693" s="12">
        <v>1628</v>
      </c>
      <c r="O2693" s="6">
        <f t="shared" ref="O2693:O2694" si="699">-N2693</f>
        <v>-1628</v>
      </c>
      <c r="P2693" s="6">
        <f t="shared" si="684"/>
        <v>0</v>
      </c>
      <c r="Q2693" s="7">
        <f t="shared" si="690"/>
        <v>4384682.2500000009</v>
      </c>
      <c r="R2693" s="44" t="str">
        <f>VLOOKUP(F2693,'Set up'!$A$2:$E$70,5,FALSE)</f>
        <v>Cash</v>
      </c>
      <c r="S2693" s="1" t="s">
        <v>2495</v>
      </c>
    </row>
    <row r="2694" spans="1:21" ht="15" customHeight="1" x14ac:dyDescent="0.35">
      <c r="A2694" s="4">
        <v>45356</v>
      </c>
      <c r="B2694" s="5">
        <f t="shared" si="693"/>
        <v>3</v>
      </c>
      <c r="C2694" s="5">
        <f t="shared" si="694"/>
        <v>2024</v>
      </c>
      <c r="D2694" s="5" t="s">
        <v>2429</v>
      </c>
      <c r="E2694" s="5" t="str">
        <f>VLOOKUP(F2694,'Set up'!$A$2:$C$70,2,FALSE)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up'!$A$2:$C$70,3,FALSE)</f>
        <v>Cash</v>
      </c>
      <c r="J2694" s="5">
        <f>VLOOKUP(F2694,'Set up'!$A$2:$D$70,4,FALSE)</f>
        <v>0</v>
      </c>
      <c r="K2694" s="4">
        <f t="shared" si="695"/>
        <v>45356</v>
      </c>
      <c r="L2694" s="5">
        <f t="shared" si="696"/>
        <v>3</v>
      </c>
      <c r="M2694" s="5">
        <f t="shared" si="697"/>
        <v>2024</v>
      </c>
      <c r="N2694" s="12">
        <v>630</v>
      </c>
      <c r="O2694" s="6">
        <f t="shared" si="699"/>
        <v>-630</v>
      </c>
      <c r="P2694" s="6">
        <f t="shared" si="684"/>
        <v>0</v>
      </c>
      <c r="Q2694" s="7">
        <f t="shared" si="690"/>
        <v>4385312.2500000009</v>
      </c>
      <c r="R2694" s="44" t="str">
        <f>VLOOKUP(F2694,'Set up'!$A$2:$E$70,5,FALSE)</f>
        <v>Cash</v>
      </c>
      <c r="S2694" s="1" t="s">
        <v>2495</v>
      </c>
    </row>
    <row r="2695" spans="1:21" ht="15" customHeight="1" x14ac:dyDescent="0.35">
      <c r="A2695" s="4">
        <v>45356</v>
      </c>
      <c r="B2695" s="5">
        <f t="shared" si="693"/>
        <v>3</v>
      </c>
      <c r="C2695" s="5">
        <f t="shared" si="694"/>
        <v>2024</v>
      </c>
      <c r="D2695" s="5" t="s">
        <v>2430</v>
      </c>
      <c r="E2695" s="5" t="str">
        <f>VLOOKUP(F2695,'Set up'!$A$2:$C$70,2,FALSE)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up'!$A$2:$C$70,3,FALSE)</f>
        <v>Cash</v>
      </c>
      <c r="J2695" s="5">
        <f>VLOOKUP(F2695,'Set up'!$A$2:$D$70,4,FALSE)</f>
        <v>0</v>
      </c>
      <c r="K2695" s="4">
        <f t="shared" si="695"/>
        <v>45356</v>
      </c>
      <c r="L2695" s="5">
        <f t="shared" si="696"/>
        <v>3</v>
      </c>
      <c r="M2695" s="5">
        <f t="shared" si="697"/>
        <v>2024</v>
      </c>
      <c r="N2695" s="12">
        <v>1738</v>
      </c>
      <c r="O2695" s="12">
        <f>-1064-674</f>
        <v>-1738</v>
      </c>
      <c r="P2695" s="6">
        <f t="shared" si="684"/>
        <v>0</v>
      </c>
      <c r="Q2695" s="7">
        <f t="shared" si="690"/>
        <v>4387050.2500000009</v>
      </c>
      <c r="R2695" s="44" t="str">
        <f>VLOOKUP(F2695,'Set up'!$A$2:$E$70,5,FALSE)</f>
        <v>Trsf</v>
      </c>
      <c r="S2695" s="1" t="s">
        <v>3673</v>
      </c>
    </row>
    <row r="2696" spans="1:21" ht="15" customHeight="1" x14ac:dyDescent="0.35">
      <c r="A2696" s="4">
        <v>45356</v>
      </c>
      <c r="B2696" s="5">
        <f t="shared" si="693"/>
        <v>3</v>
      </c>
      <c r="C2696" s="5">
        <f t="shared" si="694"/>
        <v>2024</v>
      </c>
      <c r="D2696" s="5" t="s">
        <v>2430</v>
      </c>
      <c r="E2696" s="5" t="str">
        <f>VLOOKUP(F2696,'Set up'!$A$2:$C$70,2,FALSE)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up'!$A$2:$C$70,3,FALSE)</f>
        <v>Cash</v>
      </c>
      <c r="J2696" s="5">
        <f>VLOOKUP(F2696,'Set up'!$A$2:$D$70,4,FALSE)</f>
        <v>0</v>
      </c>
      <c r="K2696" s="4">
        <f t="shared" si="695"/>
        <v>45356</v>
      </c>
      <c r="L2696" s="5">
        <f t="shared" si="696"/>
        <v>3</v>
      </c>
      <c r="M2696" s="5">
        <f t="shared" si="697"/>
        <v>2024</v>
      </c>
      <c r="N2696" s="12">
        <v>110</v>
      </c>
      <c r="O2696" s="6">
        <f t="shared" ref="O2696" si="700">-N2696</f>
        <v>-110</v>
      </c>
      <c r="P2696" s="6">
        <f t="shared" si="684"/>
        <v>0</v>
      </c>
      <c r="Q2696" s="7">
        <f t="shared" si="690"/>
        <v>4387160.2500000009</v>
      </c>
      <c r="R2696" s="44" t="str">
        <f>VLOOKUP(F2696,'Set up'!$A$2:$E$70,5,FALSE)</f>
        <v>Trsf</v>
      </c>
      <c r="S2696" s="1" t="s">
        <v>3666</v>
      </c>
    </row>
    <row r="2697" spans="1:21" ht="15" customHeight="1" x14ac:dyDescent="0.35">
      <c r="A2697" s="4">
        <v>45358</v>
      </c>
      <c r="B2697" s="5">
        <f t="shared" si="693"/>
        <v>3</v>
      </c>
      <c r="C2697" s="5">
        <f t="shared" si="694"/>
        <v>2024</v>
      </c>
      <c r="D2697" s="5" t="s">
        <v>2431</v>
      </c>
      <c r="E2697" s="5" t="str">
        <f>VLOOKUP(F2697,'Set up'!$A$2:$C$70,2,FALSE)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up'!$A$2:$C$70,3,FALSE)</f>
        <v>Cash</v>
      </c>
      <c r="J2697" s="5">
        <f>VLOOKUP(F2697,'Set up'!$A$2:$D$70,4,FALSE)</f>
        <v>0</v>
      </c>
      <c r="K2697" s="4">
        <f t="shared" si="695"/>
        <v>45358</v>
      </c>
      <c r="L2697" s="5">
        <f t="shared" si="696"/>
        <v>3</v>
      </c>
      <c r="M2697" s="5">
        <f t="shared" si="697"/>
        <v>2024</v>
      </c>
      <c r="N2697" s="12">
        <v>1738</v>
      </c>
      <c r="O2697" s="6">
        <f t="shared" ref="O2697:O2699" si="701">-N2697</f>
        <v>-1738</v>
      </c>
      <c r="P2697" s="6">
        <f t="shared" si="684"/>
        <v>0</v>
      </c>
      <c r="Q2697" s="7">
        <f t="shared" si="690"/>
        <v>4388898.2500000009</v>
      </c>
      <c r="R2697" s="44" t="str">
        <f>VLOOKUP(F2697,'Set up'!$A$2:$E$70,5,FALSE)</f>
        <v>Trsf</v>
      </c>
      <c r="S2697" s="1" t="s">
        <v>2494</v>
      </c>
    </row>
    <row r="2698" spans="1:21" ht="15" customHeight="1" x14ac:dyDescent="0.35">
      <c r="A2698" s="4">
        <v>45358</v>
      </c>
      <c r="B2698" s="5">
        <f t="shared" si="693"/>
        <v>3</v>
      </c>
      <c r="C2698" s="5">
        <f t="shared" si="694"/>
        <v>2024</v>
      </c>
      <c r="D2698" s="5" t="s">
        <v>2431</v>
      </c>
      <c r="E2698" s="5" t="str">
        <f>VLOOKUP(F2698,'Set up'!$A$2:$C$70,2,FALSE)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up'!$A$2:$C$70,3,FALSE)</f>
        <v>Cash</v>
      </c>
      <c r="J2698" s="5">
        <f>VLOOKUP(F2698,'Set up'!$A$2:$D$70,4,FALSE)</f>
        <v>0</v>
      </c>
      <c r="K2698" s="4">
        <f t="shared" si="695"/>
        <v>45358</v>
      </c>
      <c r="L2698" s="5">
        <f t="shared" si="696"/>
        <v>3</v>
      </c>
      <c r="M2698" s="5">
        <f t="shared" si="697"/>
        <v>2024</v>
      </c>
      <c r="N2698" s="12">
        <v>110</v>
      </c>
      <c r="O2698" s="6">
        <f t="shared" si="701"/>
        <v>-110</v>
      </c>
      <c r="P2698" s="6">
        <f t="shared" si="684"/>
        <v>0</v>
      </c>
      <c r="Q2698" s="7">
        <f t="shared" si="690"/>
        <v>4389008.2500000009</v>
      </c>
      <c r="R2698" s="44" t="str">
        <f>VLOOKUP(F2698,'Set up'!$A$2:$E$70,5,FALSE)</f>
        <v>Trsf</v>
      </c>
      <c r="S2698" s="1" t="s">
        <v>2494</v>
      </c>
    </row>
    <row r="2699" spans="1:21" ht="15" customHeight="1" x14ac:dyDescent="0.35">
      <c r="A2699" s="4">
        <v>45358</v>
      </c>
      <c r="B2699" s="5">
        <f t="shared" si="693"/>
        <v>3</v>
      </c>
      <c r="C2699" s="5">
        <f t="shared" si="694"/>
        <v>2024</v>
      </c>
      <c r="D2699" s="5" t="s">
        <v>2431</v>
      </c>
      <c r="E2699" s="5" t="str">
        <f>VLOOKUP(F2699,'Set up'!$A$2:$C$70,2,FALSE)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up'!$A$2:$C$70,3,FALSE)</f>
        <v>Cash</v>
      </c>
      <c r="J2699" s="5">
        <f>VLOOKUP(F2699,'Set up'!$A$2:$D$70,4,FALSE)</f>
        <v>0</v>
      </c>
      <c r="K2699" s="4">
        <f t="shared" si="695"/>
        <v>45358</v>
      </c>
      <c r="L2699" s="5">
        <f t="shared" si="696"/>
        <v>3</v>
      </c>
      <c r="M2699" s="5">
        <f t="shared" si="697"/>
        <v>2024</v>
      </c>
      <c r="N2699" s="12">
        <v>125</v>
      </c>
      <c r="O2699" s="6">
        <f t="shared" si="701"/>
        <v>-125</v>
      </c>
      <c r="P2699" s="6">
        <f t="shared" si="684"/>
        <v>0</v>
      </c>
      <c r="Q2699" s="7">
        <f t="shared" si="690"/>
        <v>4389133.2500000009</v>
      </c>
      <c r="R2699" s="44" t="str">
        <f>VLOOKUP(F2699,'Set up'!$A$2:$E$70,5,FALSE)</f>
        <v>Trsf</v>
      </c>
      <c r="S2699" s="1" t="s">
        <v>2494</v>
      </c>
    </row>
    <row r="2700" spans="1:21" ht="15" customHeight="1" x14ac:dyDescent="0.35">
      <c r="A2700" s="4">
        <v>45363</v>
      </c>
      <c r="B2700" s="5">
        <f t="shared" si="693"/>
        <v>3</v>
      </c>
      <c r="C2700" s="5">
        <f t="shared" si="694"/>
        <v>2024</v>
      </c>
      <c r="D2700" s="5" t="s">
        <v>2432</v>
      </c>
      <c r="E2700" s="5" t="str">
        <f>VLOOKUP(F2700,'Set up'!$A$2:$C$70,2,FALSE)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up'!$A$2:$C$70,3,FALSE)</f>
        <v>45</v>
      </c>
      <c r="J2700" s="5">
        <f>VLOOKUP(F2700,'Set up'!$A$2:$D$70,4,FALSE)</f>
        <v>45</v>
      </c>
      <c r="K2700" s="4">
        <f t="shared" si="695"/>
        <v>45408</v>
      </c>
      <c r="L2700" s="5">
        <f t="shared" si="696"/>
        <v>4</v>
      </c>
      <c r="M2700" s="5">
        <f t="shared" si="697"/>
        <v>2024</v>
      </c>
      <c r="N2700" s="12">
        <v>1738</v>
      </c>
      <c r="O2700" s="6">
        <f t="shared" ref="O2700:O2707" si="702">-N2700</f>
        <v>-1738</v>
      </c>
      <c r="P2700" s="6">
        <f t="shared" si="684"/>
        <v>0</v>
      </c>
      <c r="Q2700" s="7">
        <f t="shared" si="690"/>
        <v>4390871.2500000009</v>
      </c>
      <c r="R2700" s="44" t="str">
        <f>VLOOKUP(F2700,'Set up'!$A$2:$E$70,5,FALSE)</f>
        <v>PD Chq</v>
      </c>
      <c r="S2700" s="1" t="s">
        <v>2829</v>
      </c>
      <c r="U2700" s="1" t="s">
        <v>3603</v>
      </c>
    </row>
    <row r="2701" spans="1:21" ht="15" customHeight="1" x14ac:dyDescent="0.35">
      <c r="A2701" s="4">
        <v>45363</v>
      </c>
      <c r="B2701" s="5">
        <f t="shared" si="693"/>
        <v>3</v>
      </c>
      <c r="C2701" s="5">
        <f t="shared" si="694"/>
        <v>2024</v>
      </c>
      <c r="D2701" s="5" t="s">
        <v>2432</v>
      </c>
      <c r="E2701" s="5" t="str">
        <f>VLOOKUP(F2701,'Set up'!$A$2:$C$70,2,FALSE)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up'!$A$2:$C$70,3,FALSE)</f>
        <v>45</v>
      </c>
      <c r="J2701" s="5">
        <f>VLOOKUP(F2701,'Set up'!$A$2:$D$70,4,FALSE)</f>
        <v>45</v>
      </c>
      <c r="K2701" s="4">
        <f t="shared" si="695"/>
        <v>45408</v>
      </c>
      <c r="L2701" s="5">
        <f t="shared" si="696"/>
        <v>4</v>
      </c>
      <c r="M2701" s="5">
        <f t="shared" si="697"/>
        <v>2024</v>
      </c>
      <c r="N2701" s="12">
        <v>220</v>
      </c>
      <c r="O2701" s="6">
        <f t="shared" si="702"/>
        <v>-220</v>
      </c>
      <c r="P2701" s="6">
        <f t="shared" si="684"/>
        <v>0</v>
      </c>
      <c r="Q2701" s="7">
        <f t="shared" si="690"/>
        <v>4391091.2500000009</v>
      </c>
      <c r="R2701" s="44" t="str">
        <f>VLOOKUP(F2701,'Set up'!$A$2:$E$70,5,FALSE)</f>
        <v>PD Chq</v>
      </c>
      <c r="S2701" s="1" t="s">
        <v>2829</v>
      </c>
      <c r="U2701" s="1" t="s">
        <v>3603</v>
      </c>
    </row>
    <row r="2702" spans="1:21" ht="15" customHeight="1" x14ac:dyDescent="0.35">
      <c r="A2702" s="4">
        <v>45363</v>
      </c>
      <c r="B2702" s="5">
        <f t="shared" si="693"/>
        <v>3</v>
      </c>
      <c r="C2702" s="5">
        <f t="shared" si="694"/>
        <v>2024</v>
      </c>
      <c r="D2702" s="5" t="s">
        <v>2432</v>
      </c>
      <c r="E2702" s="5" t="str">
        <f>VLOOKUP(F2702,'Set up'!$A$2:$C$70,2,FALSE)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up'!$A$2:$C$70,3,FALSE)</f>
        <v>45</v>
      </c>
      <c r="J2702" s="5">
        <f>VLOOKUP(F2702,'Set up'!$A$2:$D$70,4,FALSE)</f>
        <v>45</v>
      </c>
      <c r="K2702" s="4">
        <f t="shared" si="695"/>
        <v>45408</v>
      </c>
      <c r="L2702" s="5">
        <f t="shared" si="696"/>
        <v>4</v>
      </c>
      <c r="M2702" s="5">
        <f t="shared" si="697"/>
        <v>2024</v>
      </c>
      <c r="N2702" s="12">
        <v>60</v>
      </c>
      <c r="O2702" s="6">
        <f t="shared" si="702"/>
        <v>-60</v>
      </c>
      <c r="P2702" s="6">
        <f t="shared" si="684"/>
        <v>0</v>
      </c>
      <c r="Q2702" s="7">
        <f t="shared" si="690"/>
        <v>4391151.2500000009</v>
      </c>
      <c r="R2702" s="44" t="str">
        <f>VLOOKUP(F2702,'Set up'!$A$2:$E$70,5,FALSE)</f>
        <v>PD Chq</v>
      </c>
      <c r="S2702" s="1" t="s">
        <v>2829</v>
      </c>
      <c r="U2702" s="1" t="s">
        <v>3603</v>
      </c>
    </row>
    <row r="2703" spans="1:21" ht="15" customHeight="1" x14ac:dyDescent="0.35">
      <c r="A2703" s="4">
        <v>45364</v>
      </c>
      <c r="B2703" s="5">
        <f t="shared" si="693"/>
        <v>3</v>
      </c>
      <c r="C2703" s="5">
        <f t="shared" si="694"/>
        <v>2024</v>
      </c>
      <c r="D2703" s="5" t="s">
        <v>2433</v>
      </c>
      <c r="E2703" s="5" t="str">
        <f>VLOOKUP(F2703,'Set up'!$A$2:$C$70,2,FALSE)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up'!$A$2:$C$70,3,FALSE)</f>
        <v>120</v>
      </c>
      <c r="J2703" s="5">
        <f>VLOOKUP(F2703,'Set up'!$A$2:$D$70,4,FALSE)</f>
        <v>120</v>
      </c>
      <c r="K2703" s="4">
        <f t="shared" si="695"/>
        <v>45484</v>
      </c>
      <c r="L2703" s="5">
        <f t="shared" si="696"/>
        <v>7</v>
      </c>
      <c r="M2703" s="5">
        <f t="shared" si="697"/>
        <v>2024</v>
      </c>
      <c r="N2703" s="12">
        <v>12848</v>
      </c>
      <c r="O2703" s="6">
        <f t="shared" si="702"/>
        <v>-12848</v>
      </c>
      <c r="P2703" s="6">
        <f t="shared" si="684"/>
        <v>0</v>
      </c>
      <c r="Q2703" s="7">
        <f t="shared" si="690"/>
        <v>4403999.2500000009</v>
      </c>
      <c r="R2703" s="44" t="str">
        <f>VLOOKUP(F2703,'Set up'!$A$2:$E$70,5,FALSE)</f>
        <v>Trsf</v>
      </c>
      <c r="S2703" s="1" t="s">
        <v>2927</v>
      </c>
    </row>
    <row r="2704" spans="1:21" ht="15" customHeight="1" x14ac:dyDescent="0.35">
      <c r="A2704" s="4">
        <v>45364</v>
      </c>
      <c r="B2704" s="5">
        <f t="shared" si="693"/>
        <v>3</v>
      </c>
      <c r="C2704" s="5">
        <f t="shared" si="694"/>
        <v>2024</v>
      </c>
      <c r="D2704" s="5" t="s">
        <v>2433</v>
      </c>
      <c r="E2704" s="5" t="str">
        <f>VLOOKUP(F2704,'Set up'!$A$2:$C$70,2,FALSE)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up'!$A$2:$C$70,3,FALSE)</f>
        <v>120</v>
      </c>
      <c r="J2704" s="5">
        <f>VLOOKUP(F2704,'Set up'!$A$2:$D$70,4,FALSE)</f>
        <v>120</v>
      </c>
      <c r="K2704" s="4">
        <f t="shared" si="695"/>
        <v>45484</v>
      </c>
      <c r="L2704" s="5">
        <f t="shared" si="696"/>
        <v>7</v>
      </c>
      <c r="M2704" s="5">
        <f t="shared" si="697"/>
        <v>2024</v>
      </c>
      <c r="N2704" s="12">
        <v>1073</v>
      </c>
      <c r="O2704" s="6">
        <f t="shared" si="702"/>
        <v>-1073</v>
      </c>
      <c r="P2704" s="6">
        <f t="shared" si="684"/>
        <v>0</v>
      </c>
      <c r="Q2704" s="7">
        <f t="shared" si="690"/>
        <v>4405072.2500000009</v>
      </c>
      <c r="R2704" s="44" t="str">
        <f>VLOOKUP(F2704,'Set up'!$A$2:$E$70,5,FALSE)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693"/>
        <v>3</v>
      </c>
      <c r="C2705" s="5">
        <f t="shared" si="694"/>
        <v>2024</v>
      </c>
      <c r="D2705" s="5" t="s">
        <v>2433</v>
      </c>
      <c r="E2705" s="5" t="str">
        <f>VLOOKUP(F2705,'Set up'!$A$2:$C$70,2,FALSE)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up'!$A$2:$C$70,3,FALSE)</f>
        <v>120</v>
      </c>
      <c r="J2705" s="5">
        <f>VLOOKUP(F2705,'Set up'!$A$2:$D$70,4,FALSE)</f>
        <v>120</v>
      </c>
      <c r="K2705" s="4">
        <f t="shared" si="695"/>
        <v>45484</v>
      </c>
      <c r="L2705" s="5">
        <f t="shared" si="696"/>
        <v>7</v>
      </c>
      <c r="M2705" s="5">
        <f t="shared" si="697"/>
        <v>2024</v>
      </c>
      <c r="N2705" s="12">
        <v>287.5</v>
      </c>
      <c r="O2705" s="6">
        <f t="shared" si="702"/>
        <v>-287.5</v>
      </c>
      <c r="P2705" s="6">
        <f t="shared" si="684"/>
        <v>0</v>
      </c>
      <c r="Q2705" s="7">
        <f t="shared" si="690"/>
        <v>4405359.7500000009</v>
      </c>
      <c r="R2705" s="44" t="str">
        <f>VLOOKUP(F2705,'Set up'!$A$2:$E$70,5,FALSE)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693"/>
        <v>3</v>
      </c>
      <c r="C2706" s="5">
        <f t="shared" si="694"/>
        <v>2024</v>
      </c>
      <c r="D2706" s="5" t="s">
        <v>2433</v>
      </c>
      <c r="E2706" s="5" t="str">
        <f>VLOOKUP(F2706,'Set up'!$A$2:$C$70,2,FALSE)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up'!$A$2:$C$70,3,FALSE)</f>
        <v>120</v>
      </c>
      <c r="J2706" s="5">
        <f>VLOOKUP(F2706,'Set up'!$A$2:$D$70,4,FALSE)</f>
        <v>120</v>
      </c>
      <c r="K2706" s="4">
        <f t="shared" si="695"/>
        <v>45484</v>
      </c>
      <c r="L2706" s="5">
        <f t="shared" si="696"/>
        <v>7</v>
      </c>
      <c r="M2706" s="5">
        <f t="shared" si="697"/>
        <v>2024</v>
      </c>
      <c r="N2706" s="12">
        <v>440</v>
      </c>
      <c r="O2706" s="6">
        <f t="shared" si="702"/>
        <v>-440</v>
      </c>
      <c r="P2706" s="6">
        <f t="shared" si="684"/>
        <v>0</v>
      </c>
      <c r="Q2706" s="7">
        <f t="shared" si="690"/>
        <v>4405799.7500000009</v>
      </c>
      <c r="R2706" s="44" t="str">
        <f>VLOOKUP(F2706,'Set up'!$A$2:$E$70,5,FALSE)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693"/>
        <v>3</v>
      </c>
      <c r="C2707" s="5">
        <f t="shared" si="694"/>
        <v>2024</v>
      </c>
      <c r="D2707" s="5" t="s">
        <v>2433</v>
      </c>
      <c r="E2707" s="5" t="str">
        <f>VLOOKUP(F2707,'Set up'!$A$2:$C$70,2,FALSE)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up'!$A$2:$C$70,3,FALSE)</f>
        <v>120</v>
      </c>
      <c r="J2707" s="5">
        <f>VLOOKUP(F2707,'Set up'!$A$2:$D$70,4,FALSE)</f>
        <v>120</v>
      </c>
      <c r="K2707" s="4">
        <f t="shared" si="695"/>
        <v>45484</v>
      </c>
      <c r="L2707" s="5">
        <f t="shared" si="696"/>
        <v>7</v>
      </c>
      <c r="M2707" s="5">
        <f t="shared" si="697"/>
        <v>2024</v>
      </c>
      <c r="N2707" s="12">
        <v>420</v>
      </c>
      <c r="O2707" s="6">
        <f t="shared" si="702"/>
        <v>-420</v>
      </c>
      <c r="P2707" s="6">
        <f t="shared" si="684"/>
        <v>0</v>
      </c>
      <c r="Q2707" s="7">
        <f t="shared" si="690"/>
        <v>4406219.7500000009</v>
      </c>
      <c r="R2707" s="44" t="str">
        <f>VLOOKUP(F2707,'Set up'!$A$2:$E$70,5,FALSE)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693"/>
        <v>3</v>
      </c>
      <c r="C2708" s="5">
        <f t="shared" si="694"/>
        <v>2024</v>
      </c>
      <c r="D2708" s="5" t="s">
        <v>2435</v>
      </c>
      <c r="E2708" s="5" t="str">
        <f>VLOOKUP(F2708,'Set up'!$A$2:$C$70,2,FALSE)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up'!$A$2:$C$70,3,FALSE)</f>
        <v>Cash</v>
      </c>
      <c r="J2708" s="5">
        <f>VLOOKUP(F2708,'Set up'!$A$2:$D$70,4,FALSE)</f>
        <v>0</v>
      </c>
      <c r="K2708" s="4">
        <f t="shared" si="695"/>
        <v>45364</v>
      </c>
      <c r="L2708" s="5">
        <f t="shared" si="696"/>
        <v>3</v>
      </c>
      <c r="M2708" s="5">
        <f t="shared" si="697"/>
        <v>2024</v>
      </c>
      <c r="N2708" s="12">
        <v>625</v>
      </c>
      <c r="O2708" s="6">
        <f>-N2708</f>
        <v>-625</v>
      </c>
      <c r="P2708" s="6">
        <f t="shared" si="684"/>
        <v>0</v>
      </c>
      <c r="Q2708" s="7">
        <f t="shared" si="690"/>
        <v>4406844.7500000009</v>
      </c>
      <c r="R2708" s="44" t="str">
        <f>VLOOKUP(F2708,'Set up'!$A$2:$E$70,5,FALSE)</f>
        <v>Trsf</v>
      </c>
      <c r="S2708" s="1" t="s">
        <v>3004</v>
      </c>
    </row>
    <row r="2709" spans="1:19" ht="15" customHeight="1" x14ac:dyDescent="0.35">
      <c r="A2709" s="4">
        <v>45364</v>
      </c>
      <c r="B2709" s="5">
        <f t="shared" si="693"/>
        <v>3</v>
      </c>
      <c r="C2709" s="5">
        <f t="shared" si="694"/>
        <v>2024</v>
      </c>
      <c r="D2709" s="5" t="s">
        <v>2436</v>
      </c>
      <c r="E2709" s="5" t="str">
        <f>VLOOKUP(F2709,'Set up'!$A$2:$C$70,2,FALSE)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up'!$A$2:$C$70,3,FALSE)</f>
        <v>Cash</v>
      </c>
      <c r="J2709" s="5">
        <f>VLOOKUP(F2709,'Set up'!$A$2:$D$70,4,FALSE)</f>
        <v>0</v>
      </c>
      <c r="K2709" s="4">
        <f t="shared" si="695"/>
        <v>45364</v>
      </c>
      <c r="L2709" s="5">
        <f t="shared" si="696"/>
        <v>3</v>
      </c>
      <c r="M2709" s="5">
        <f t="shared" si="697"/>
        <v>2024</v>
      </c>
      <c r="N2709" s="12">
        <v>16060</v>
      </c>
      <c r="O2709" s="12">
        <f>-3257.5-11300-1502.5</f>
        <v>-16060</v>
      </c>
      <c r="P2709" s="6">
        <f t="shared" ref="P2709:P2772" si="703">SUM(N2709+O2709)</f>
        <v>0</v>
      </c>
      <c r="Q2709" s="7">
        <f t="shared" si="690"/>
        <v>4422904.7500000009</v>
      </c>
      <c r="R2709" s="44" t="str">
        <f>VLOOKUP(F2709,'Set up'!$A$2:$E$70,5,FALSE)</f>
        <v>Trsf</v>
      </c>
      <c r="S2709" s="1" t="s">
        <v>3005</v>
      </c>
    </row>
    <row r="2710" spans="1:19" ht="15" customHeight="1" x14ac:dyDescent="0.35">
      <c r="A2710" s="4">
        <v>45364</v>
      </c>
      <c r="B2710" s="5">
        <f t="shared" si="693"/>
        <v>3</v>
      </c>
      <c r="C2710" s="5">
        <f t="shared" si="694"/>
        <v>2024</v>
      </c>
      <c r="D2710" s="5" t="s">
        <v>2436</v>
      </c>
      <c r="E2710" s="5" t="str">
        <f>VLOOKUP(F2710,'Set up'!$A$2:$C$70,2,FALSE)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up'!$A$2:$C$70,3,FALSE)</f>
        <v>Cash</v>
      </c>
      <c r="J2710" s="5">
        <f>VLOOKUP(F2710,'Set up'!$A$2:$D$70,4,FALSE)</f>
        <v>0</v>
      </c>
      <c r="K2710" s="4">
        <f t="shared" si="695"/>
        <v>45364</v>
      </c>
      <c r="L2710" s="5">
        <f t="shared" si="696"/>
        <v>3</v>
      </c>
      <c r="M2710" s="5">
        <f t="shared" si="697"/>
        <v>2024</v>
      </c>
      <c r="N2710" s="12">
        <v>5220</v>
      </c>
      <c r="O2710" s="6">
        <f>-N2710</f>
        <v>-5220</v>
      </c>
      <c r="P2710" s="6">
        <f t="shared" si="703"/>
        <v>0</v>
      </c>
      <c r="Q2710" s="7">
        <f t="shared" si="690"/>
        <v>4428124.7500000009</v>
      </c>
      <c r="R2710" s="44" t="str">
        <f>VLOOKUP(F2710,'Set up'!$A$2:$E$70,5,FALSE)</f>
        <v>Trsf</v>
      </c>
      <c r="S2710" s="1" t="s">
        <v>3066</v>
      </c>
    </row>
    <row r="2711" spans="1:19" ht="15" customHeight="1" x14ac:dyDescent="0.35">
      <c r="A2711" s="4">
        <v>45364</v>
      </c>
      <c r="B2711" s="5">
        <f t="shared" si="693"/>
        <v>3</v>
      </c>
      <c r="C2711" s="5">
        <f t="shared" si="694"/>
        <v>2024</v>
      </c>
      <c r="D2711" s="5" t="s">
        <v>2436</v>
      </c>
      <c r="E2711" s="5" t="str">
        <f>VLOOKUP(F2711,'Set up'!$A$2:$C$70,2,FALSE)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up'!$A$2:$C$70,3,FALSE)</f>
        <v>Cash</v>
      </c>
      <c r="J2711" s="5">
        <f>VLOOKUP(F2711,'Set up'!$A$2:$D$70,4,FALSE)</f>
        <v>0</v>
      </c>
      <c r="K2711" s="4">
        <f t="shared" si="695"/>
        <v>45364</v>
      </c>
      <c r="L2711" s="5">
        <f t="shared" si="696"/>
        <v>3</v>
      </c>
      <c r="M2711" s="5">
        <f t="shared" si="697"/>
        <v>2024</v>
      </c>
      <c r="N2711" s="12">
        <v>3510</v>
      </c>
      <c r="O2711" s="6">
        <f>-N2711</f>
        <v>-3510</v>
      </c>
      <c r="P2711" s="6">
        <f t="shared" si="703"/>
        <v>0</v>
      </c>
      <c r="Q2711" s="7">
        <f t="shared" si="690"/>
        <v>4431634.7500000009</v>
      </c>
      <c r="R2711" s="44" t="str">
        <f>VLOOKUP(F2711,'Set up'!$A$2:$E$70,5,FALSE)</f>
        <v>Trsf</v>
      </c>
      <c r="S2711" s="1" t="s">
        <v>3068</v>
      </c>
    </row>
    <row r="2712" spans="1:19" ht="15" customHeight="1" x14ac:dyDescent="0.35">
      <c r="A2712" s="4">
        <v>45364</v>
      </c>
      <c r="B2712" s="5">
        <f t="shared" si="693"/>
        <v>3</v>
      </c>
      <c r="C2712" s="5">
        <f t="shared" si="694"/>
        <v>2024</v>
      </c>
      <c r="D2712" s="5" t="s">
        <v>2436</v>
      </c>
      <c r="E2712" s="5" t="str">
        <f>VLOOKUP(F2712,'Set up'!$A$2:$C$70,2,FALSE)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up'!$A$2:$C$70,3,FALSE)</f>
        <v>Cash</v>
      </c>
      <c r="J2712" s="5">
        <f>VLOOKUP(F2712,'Set up'!$A$2:$D$70,4,FALSE)</f>
        <v>0</v>
      </c>
      <c r="K2712" s="4">
        <f t="shared" si="695"/>
        <v>45364</v>
      </c>
      <c r="L2712" s="5">
        <f t="shared" si="696"/>
        <v>3</v>
      </c>
      <c r="M2712" s="5">
        <f t="shared" si="697"/>
        <v>2024</v>
      </c>
      <c r="N2712" s="12">
        <v>1000</v>
      </c>
      <c r="O2712" s="6">
        <f>-N2712</f>
        <v>-1000</v>
      </c>
      <c r="P2712" s="6">
        <f t="shared" si="703"/>
        <v>0</v>
      </c>
      <c r="Q2712" s="7">
        <f t="shared" si="690"/>
        <v>4432634.7500000009</v>
      </c>
      <c r="R2712" s="44" t="str">
        <f>VLOOKUP(F2712,'Set up'!$A$2:$E$70,5,FALSE)</f>
        <v>Trsf</v>
      </c>
      <c r="S2712" s="1" t="s">
        <v>3069</v>
      </c>
    </row>
    <row r="2713" spans="1:19" ht="15" customHeight="1" x14ac:dyDescent="0.35">
      <c r="A2713" s="4">
        <v>45364</v>
      </c>
      <c r="B2713" s="5">
        <f t="shared" si="693"/>
        <v>3</v>
      </c>
      <c r="C2713" s="5">
        <f t="shared" si="694"/>
        <v>2024</v>
      </c>
      <c r="D2713" s="5" t="s">
        <v>2436</v>
      </c>
      <c r="E2713" s="5" t="str">
        <f>VLOOKUP(F2713,'Set up'!$A$2:$C$70,2,FALSE)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up'!$A$2:$C$70,3,FALSE)</f>
        <v>Cash</v>
      </c>
      <c r="J2713" s="5">
        <f>VLOOKUP(F2713,'Set up'!$A$2:$D$70,4,FALSE)</f>
        <v>0</v>
      </c>
      <c r="K2713" s="4">
        <f t="shared" si="695"/>
        <v>45364</v>
      </c>
      <c r="L2713" s="5">
        <f t="shared" si="696"/>
        <v>3</v>
      </c>
      <c r="M2713" s="5">
        <f t="shared" si="697"/>
        <v>2024</v>
      </c>
      <c r="N2713" s="12">
        <v>360</v>
      </c>
      <c r="O2713" s="6">
        <f>-N2713</f>
        <v>-360</v>
      </c>
      <c r="P2713" s="6">
        <f t="shared" si="703"/>
        <v>0</v>
      </c>
      <c r="Q2713" s="7">
        <f t="shared" si="690"/>
        <v>4432994.7500000009</v>
      </c>
      <c r="R2713" s="44" t="str">
        <f>VLOOKUP(F2713,'Set up'!$A$2:$E$70,5,FALSE)</f>
        <v>Trsf</v>
      </c>
      <c r="S2713" s="1" t="s">
        <v>3070</v>
      </c>
    </row>
    <row r="2714" spans="1:19" ht="15" customHeight="1" x14ac:dyDescent="0.35">
      <c r="A2714" s="4">
        <v>45364</v>
      </c>
      <c r="B2714" s="5">
        <f t="shared" si="693"/>
        <v>3</v>
      </c>
      <c r="C2714" s="5">
        <f t="shared" si="694"/>
        <v>2024</v>
      </c>
      <c r="D2714" s="5" t="s">
        <v>2436</v>
      </c>
      <c r="E2714" s="5" t="str">
        <f>VLOOKUP(F2714,'Set up'!$A$2:$C$70,2,FALSE)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up'!$A$2:$C$70,3,FALSE)</f>
        <v>Cash</v>
      </c>
      <c r="J2714" s="5">
        <f>VLOOKUP(F2714,'Set up'!$A$2:$D$70,4,FALSE)</f>
        <v>0</v>
      </c>
      <c r="K2714" s="4">
        <f t="shared" si="695"/>
        <v>45364</v>
      </c>
      <c r="L2714" s="5">
        <f t="shared" si="696"/>
        <v>3</v>
      </c>
      <c r="M2714" s="5">
        <f t="shared" si="697"/>
        <v>2024</v>
      </c>
      <c r="N2714" s="12">
        <v>380</v>
      </c>
      <c r="O2714" s="6">
        <f>-N2714</f>
        <v>-380</v>
      </c>
      <c r="P2714" s="6">
        <f t="shared" si="703"/>
        <v>0</v>
      </c>
      <c r="Q2714" s="7">
        <f t="shared" si="690"/>
        <v>4433374.7500000009</v>
      </c>
      <c r="R2714" s="44" t="str">
        <f>VLOOKUP(F2714,'Set up'!$A$2:$E$70,5,FALSE)</f>
        <v>Trsf</v>
      </c>
      <c r="S2714" s="1" t="s">
        <v>3067</v>
      </c>
    </row>
    <row r="2715" spans="1:19" ht="15" customHeight="1" x14ac:dyDescent="0.35">
      <c r="A2715" s="4">
        <v>45367</v>
      </c>
      <c r="B2715" s="5">
        <f t="shared" si="693"/>
        <v>3</v>
      </c>
      <c r="C2715" s="5">
        <f t="shared" si="694"/>
        <v>2024</v>
      </c>
      <c r="D2715" s="5" t="s">
        <v>2438</v>
      </c>
      <c r="E2715" s="5" t="str">
        <f>VLOOKUP(F2715,'Set up'!$A$2:$C$70,2,FALSE)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up'!$A$2:$C$70,3,FALSE)</f>
        <v>Cash</v>
      </c>
      <c r="J2715" s="5">
        <f>VLOOKUP(F2715,'Set up'!$A$2:$D$70,4,FALSE)</f>
        <v>0</v>
      </c>
      <c r="K2715" s="4">
        <f t="shared" si="695"/>
        <v>45367</v>
      </c>
      <c r="L2715" s="5">
        <f t="shared" si="696"/>
        <v>3</v>
      </c>
      <c r="M2715" s="5">
        <f t="shared" si="697"/>
        <v>2024</v>
      </c>
      <c r="N2715" s="12">
        <v>3212</v>
      </c>
      <c r="O2715" s="6">
        <f t="shared" ref="O2715:O2717" si="704">-N2715</f>
        <v>-3212</v>
      </c>
      <c r="P2715" s="6">
        <f t="shared" si="703"/>
        <v>0</v>
      </c>
      <c r="Q2715" s="7">
        <f t="shared" si="690"/>
        <v>4436586.7500000009</v>
      </c>
      <c r="R2715" s="44" t="str">
        <f>VLOOKUP(F2715,'Set up'!$A$2:$E$70,5,FALSE)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693"/>
        <v>3</v>
      </c>
      <c r="C2716" s="5">
        <f t="shared" si="694"/>
        <v>2024</v>
      </c>
      <c r="D2716" s="5" t="s">
        <v>2438</v>
      </c>
      <c r="E2716" s="5" t="str">
        <f>VLOOKUP(F2716,'Set up'!$A$2:$C$70,2,FALSE)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up'!$A$2:$C$70,3,FALSE)</f>
        <v>Cash</v>
      </c>
      <c r="J2716" s="5">
        <f>VLOOKUP(F2716,'Set up'!$A$2:$D$70,4,FALSE)</f>
        <v>0</v>
      </c>
      <c r="K2716" s="4">
        <f t="shared" si="695"/>
        <v>45367</v>
      </c>
      <c r="L2716" s="5">
        <f t="shared" si="696"/>
        <v>3</v>
      </c>
      <c r="M2716" s="5">
        <f t="shared" si="697"/>
        <v>2024</v>
      </c>
      <c r="N2716" s="12">
        <v>828</v>
      </c>
      <c r="O2716" s="6">
        <f t="shared" si="704"/>
        <v>-828</v>
      </c>
      <c r="P2716" s="6">
        <f t="shared" si="703"/>
        <v>0</v>
      </c>
      <c r="Q2716" s="7">
        <f t="shared" si="690"/>
        <v>4437414.7500000009</v>
      </c>
      <c r="R2716" s="44" t="str">
        <f>VLOOKUP(F2716,'Set up'!$A$2:$E$70,5,FALSE)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693"/>
        <v>3</v>
      </c>
      <c r="C2717" s="5">
        <f t="shared" si="694"/>
        <v>2024</v>
      </c>
      <c r="D2717" s="5" t="s">
        <v>2438</v>
      </c>
      <c r="E2717" s="5" t="str">
        <f>VLOOKUP(F2717,'Set up'!$A$2:$C$70,2,FALSE)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up'!$A$2:$C$70,3,FALSE)</f>
        <v>Cash</v>
      </c>
      <c r="J2717" s="5">
        <f>VLOOKUP(F2717,'Set up'!$A$2:$D$70,4,FALSE)</f>
        <v>0</v>
      </c>
      <c r="K2717" s="4">
        <f t="shared" si="695"/>
        <v>45367</v>
      </c>
      <c r="L2717" s="5">
        <f t="shared" si="696"/>
        <v>3</v>
      </c>
      <c r="M2717" s="5">
        <f t="shared" si="697"/>
        <v>2024</v>
      </c>
      <c r="N2717" s="12">
        <v>567.6</v>
      </c>
      <c r="O2717" s="6">
        <f t="shared" si="704"/>
        <v>-567.6</v>
      </c>
      <c r="P2717" s="6">
        <f t="shared" si="703"/>
        <v>0</v>
      </c>
      <c r="Q2717" s="7">
        <f t="shared" si="690"/>
        <v>4437982.3500000006</v>
      </c>
      <c r="R2717" s="44" t="str">
        <f>VLOOKUP(F2717,'Set up'!$A$2:$E$70,5,FALSE)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693"/>
        <v>3</v>
      </c>
      <c r="C2718" s="5">
        <f t="shared" si="694"/>
        <v>2024</v>
      </c>
      <c r="D2718" s="5" t="s">
        <v>2438</v>
      </c>
      <c r="E2718" s="5" t="str">
        <f>VLOOKUP(F2718,'Set up'!$A$2:$C$70,2,FALSE)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up'!$A$2:$C$70,3,FALSE)</f>
        <v>Cash</v>
      </c>
      <c r="J2718" s="5">
        <f>VLOOKUP(F2718,'Set up'!$A$2:$D$70,4,FALSE)</f>
        <v>0</v>
      </c>
      <c r="K2718" s="4">
        <f t="shared" si="695"/>
        <v>45367</v>
      </c>
      <c r="L2718" s="5">
        <f t="shared" si="696"/>
        <v>3</v>
      </c>
      <c r="M2718" s="5">
        <f t="shared" si="697"/>
        <v>2024</v>
      </c>
      <c r="N2718" s="12">
        <v>110</v>
      </c>
      <c r="O2718" s="6">
        <f t="shared" ref="O2718:O2719" si="705">-N2718</f>
        <v>-110</v>
      </c>
      <c r="P2718" s="6">
        <f t="shared" si="703"/>
        <v>0</v>
      </c>
      <c r="Q2718" s="7">
        <f t="shared" si="690"/>
        <v>4438092.3500000006</v>
      </c>
      <c r="R2718" s="44" t="str">
        <f>VLOOKUP(F2718,'Set up'!$A$2:$E$70,5,FALSE)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693"/>
        <v>3</v>
      </c>
      <c r="C2719" s="5">
        <f t="shared" si="694"/>
        <v>2024</v>
      </c>
      <c r="D2719" s="5" t="s">
        <v>2438</v>
      </c>
      <c r="E2719" s="5" t="str">
        <f>VLOOKUP(F2719,'Set up'!$A$2:$C$70,2,FALSE)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up'!$A$2:$C$70,3,FALSE)</f>
        <v>Cash</v>
      </c>
      <c r="J2719" s="5">
        <f>VLOOKUP(F2719,'Set up'!$A$2:$D$70,4,FALSE)</f>
        <v>0</v>
      </c>
      <c r="K2719" s="4">
        <f t="shared" si="695"/>
        <v>45367</v>
      </c>
      <c r="L2719" s="5">
        <f t="shared" si="696"/>
        <v>3</v>
      </c>
      <c r="M2719" s="5">
        <f t="shared" si="697"/>
        <v>2024</v>
      </c>
      <c r="N2719" s="12">
        <v>160</v>
      </c>
      <c r="O2719" s="6">
        <f t="shared" si="705"/>
        <v>-160</v>
      </c>
      <c r="P2719" s="6">
        <f t="shared" si="703"/>
        <v>0</v>
      </c>
      <c r="Q2719" s="7">
        <f t="shared" si="690"/>
        <v>4438252.3500000006</v>
      </c>
      <c r="R2719" s="44" t="str">
        <f>VLOOKUP(F2719,'Set up'!$A$2:$E$70,5,FALSE)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si="693"/>
        <v>3</v>
      </c>
      <c r="C2720" s="5">
        <f t="shared" si="694"/>
        <v>2024</v>
      </c>
      <c r="D2720" s="5" t="s">
        <v>2439</v>
      </c>
      <c r="E2720" s="5" t="str">
        <f>VLOOKUP(F2720,'Set up'!$A$2:$C$70,2,FALSE)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up'!$A$2:$C$70,3,FALSE)</f>
        <v>Cash</v>
      </c>
      <c r="J2720" s="5">
        <f>VLOOKUP(F2720,'Set up'!$A$2:$D$70,4,FALSE)</f>
        <v>0</v>
      </c>
      <c r="K2720" s="4">
        <f t="shared" si="695"/>
        <v>45367</v>
      </c>
      <c r="L2720" s="5">
        <f t="shared" si="696"/>
        <v>3</v>
      </c>
      <c r="M2720" s="5">
        <f t="shared" si="697"/>
        <v>2024</v>
      </c>
      <c r="N2720" s="12">
        <v>200</v>
      </c>
      <c r="O2720" s="6">
        <f t="shared" ref="O2720" si="706">-N2720</f>
        <v>-200</v>
      </c>
      <c r="P2720" s="6">
        <f t="shared" si="703"/>
        <v>0</v>
      </c>
      <c r="Q2720" s="7">
        <f t="shared" si="690"/>
        <v>4438452.3500000006</v>
      </c>
      <c r="R2720" s="44" t="str">
        <f>VLOOKUP(F2720,'Set up'!$A$2:$E$70,5,FALSE)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693"/>
        <v>3</v>
      </c>
      <c r="C2721" s="5">
        <f t="shared" si="694"/>
        <v>2024</v>
      </c>
      <c r="D2721" s="5" t="s">
        <v>2441</v>
      </c>
      <c r="E2721" s="5" t="str">
        <f>VLOOKUP(F2721,'Set up'!$A$2:$C$70,2,FALSE)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up'!$A$2:$C$70,3,FALSE)</f>
        <v>Cash</v>
      </c>
      <c r="J2721" s="5">
        <f>VLOOKUP(F2721,'Set up'!$A$2:$D$70,4,FALSE)</f>
        <v>0</v>
      </c>
      <c r="K2721" s="4">
        <f t="shared" si="695"/>
        <v>45367</v>
      </c>
      <c r="L2721" s="5">
        <f t="shared" si="696"/>
        <v>3</v>
      </c>
      <c r="M2721" s="5">
        <f t="shared" si="697"/>
        <v>2024</v>
      </c>
      <c r="N2721" s="12">
        <v>1738</v>
      </c>
      <c r="O2721" s="12">
        <f>-1216-522</f>
        <v>-1738</v>
      </c>
      <c r="P2721" s="6">
        <f t="shared" si="703"/>
        <v>0</v>
      </c>
      <c r="Q2721" s="7">
        <f t="shared" si="690"/>
        <v>4440190.3500000006</v>
      </c>
      <c r="R2721" s="44" t="str">
        <f>VLOOKUP(F2721,'Set up'!$A$2:$E$70,5,FALSE)</f>
        <v>Trsf</v>
      </c>
      <c r="S2721" s="1" t="s">
        <v>3667</v>
      </c>
    </row>
    <row r="2722" spans="1:19" ht="15" customHeight="1" x14ac:dyDescent="0.35">
      <c r="A2722" s="4">
        <v>45367</v>
      </c>
      <c r="B2722" s="5">
        <f t="shared" si="693"/>
        <v>3</v>
      </c>
      <c r="C2722" s="5">
        <f t="shared" si="694"/>
        <v>2024</v>
      </c>
      <c r="D2722" s="5" t="s">
        <v>2441</v>
      </c>
      <c r="E2722" s="5" t="str">
        <f>VLOOKUP(F2722,'Set up'!$A$2:$C$70,2,FALSE)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up'!$A$2:$C$70,3,FALSE)</f>
        <v>Cash</v>
      </c>
      <c r="J2722" s="5">
        <f>VLOOKUP(F2722,'Set up'!$A$2:$D$70,4,FALSE)</f>
        <v>0</v>
      </c>
      <c r="K2722" s="4">
        <f t="shared" si="695"/>
        <v>45367</v>
      </c>
      <c r="L2722" s="5">
        <f t="shared" si="696"/>
        <v>3</v>
      </c>
      <c r="M2722" s="5">
        <f t="shared" si="697"/>
        <v>2024</v>
      </c>
      <c r="N2722" s="12">
        <v>405</v>
      </c>
      <c r="O2722" s="6">
        <f t="shared" ref="O2722:O2728" si="707">-N2722</f>
        <v>-405</v>
      </c>
      <c r="P2722" s="6">
        <f t="shared" si="703"/>
        <v>0</v>
      </c>
      <c r="Q2722" s="7">
        <f t="shared" si="690"/>
        <v>4440595.3500000006</v>
      </c>
      <c r="R2722" s="44" t="str">
        <f>VLOOKUP(F2722,'Set up'!$A$2:$E$70,5,FALSE)</f>
        <v>Trsf</v>
      </c>
      <c r="S2722" s="1" t="s">
        <v>3668</v>
      </c>
    </row>
    <row r="2723" spans="1:19" ht="15" customHeight="1" x14ac:dyDescent="0.35">
      <c r="A2723" s="4">
        <v>45367</v>
      </c>
      <c r="B2723" s="5">
        <f t="shared" si="693"/>
        <v>3</v>
      </c>
      <c r="C2723" s="5">
        <f t="shared" si="694"/>
        <v>2024</v>
      </c>
      <c r="D2723" s="5" t="s">
        <v>2441</v>
      </c>
      <c r="E2723" s="5" t="str">
        <f>VLOOKUP(F2723,'Set up'!$A$2:$C$70,2,FALSE)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up'!$A$2:$C$70,3,FALSE)</f>
        <v>Cash</v>
      </c>
      <c r="J2723" s="5">
        <f>VLOOKUP(F2723,'Set up'!$A$2:$D$70,4,FALSE)</f>
        <v>0</v>
      </c>
      <c r="K2723" s="4">
        <f t="shared" si="695"/>
        <v>45367</v>
      </c>
      <c r="L2723" s="5">
        <f t="shared" si="696"/>
        <v>3</v>
      </c>
      <c r="M2723" s="5">
        <f t="shared" si="697"/>
        <v>2024</v>
      </c>
      <c r="N2723" s="12">
        <v>187.5</v>
      </c>
      <c r="O2723" s="6">
        <f t="shared" si="707"/>
        <v>-187.5</v>
      </c>
      <c r="P2723" s="6">
        <f t="shared" si="703"/>
        <v>0</v>
      </c>
      <c r="Q2723" s="7">
        <f t="shared" si="690"/>
        <v>4440782.8500000006</v>
      </c>
      <c r="R2723" s="44" t="str">
        <f>VLOOKUP(F2723,'Set up'!$A$2:$E$70,5,FALSE)</f>
        <v>Trsf</v>
      </c>
      <c r="S2723" s="1" t="s">
        <v>3669</v>
      </c>
    </row>
    <row r="2724" spans="1:19" ht="15" customHeight="1" x14ac:dyDescent="0.35">
      <c r="A2724" s="4">
        <v>45367</v>
      </c>
      <c r="B2724" s="5">
        <f t="shared" si="693"/>
        <v>3</v>
      </c>
      <c r="C2724" s="5">
        <f t="shared" si="694"/>
        <v>2024</v>
      </c>
      <c r="D2724" s="5" t="s">
        <v>2441</v>
      </c>
      <c r="E2724" s="5" t="str">
        <f>VLOOKUP(F2724,'Set up'!$A$2:$C$70,2,FALSE)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up'!$A$2:$C$70,3,FALSE)</f>
        <v>Cash</v>
      </c>
      <c r="J2724" s="5">
        <f>VLOOKUP(F2724,'Set up'!$A$2:$D$70,4,FALSE)</f>
        <v>0</v>
      </c>
      <c r="K2724" s="4">
        <f t="shared" si="695"/>
        <v>45367</v>
      </c>
      <c r="L2724" s="5">
        <f t="shared" si="696"/>
        <v>3</v>
      </c>
      <c r="M2724" s="5">
        <f t="shared" si="697"/>
        <v>2024</v>
      </c>
      <c r="N2724" s="12">
        <v>110</v>
      </c>
      <c r="O2724" s="6">
        <f t="shared" si="707"/>
        <v>-110</v>
      </c>
      <c r="P2724" s="6">
        <f t="shared" si="703"/>
        <v>0</v>
      </c>
      <c r="Q2724" s="7">
        <f t="shared" si="690"/>
        <v>4440892.8500000006</v>
      </c>
      <c r="R2724" s="44" t="str">
        <f>VLOOKUP(F2724,'Set up'!$A$2:$E$70,5,FALSE)</f>
        <v>Trsf</v>
      </c>
      <c r="S2724" s="1" t="s">
        <v>3671</v>
      </c>
    </row>
    <row r="2725" spans="1:19" ht="15" customHeight="1" x14ac:dyDescent="0.35">
      <c r="A2725" s="4">
        <v>45367</v>
      </c>
      <c r="B2725" s="5">
        <f t="shared" si="693"/>
        <v>3</v>
      </c>
      <c r="C2725" s="5">
        <f t="shared" si="694"/>
        <v>2024</v>
      </c>
      <c r="D2725" s="5" t="s">
        <v>2441</v>
      </c>
      <c r="E2725" s="5" t="str">
        <f>VLOOKUP(F2725,'Set up'!$A$2:$C$70,2,FALSE)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up'!$A$2:$C$70,3,FALSE)</f>
        <v>Cash</v>
      </c>
      <c r="J2725" s="5">
        <f>VLOOKUP(F2725,'Set up'!$A$2:$D$70,4,FALSE)</f>
        <v>0</v>
      </c>
      <c r="K2725" s="4">
        <f t="shared" si="695"/>
        <v>45367</v>
      </c>
      <c r="L2725" s="5">
        <f t="shared" si="696"/>
        <v>3</v>
      </c>
      <c r="M2725" s="5">
        <f t="shared" si="697"/>
        <v>2024</v>
      </c>
      <c r="N2725" s="12">
        <v>390</v>
      </c>
      <c r="O2725" s="6">
        <f t="shared" si="707"/>
        <v>-390</v>
      </c>
      <c r="P2725" s="6">
        <f t="shared" si="703"/>
        <v>0</v>
      </c>
      <c r="Q2725" s="7">
        <f t="shared" si="690"/>
        <v>4441282.8500000006</v>
      </c>
      <c r="R2725" s="44" t="str">
        <f>VLOOKUP(F2725,'Set up'!$A$2:$E$70,5,FALSE)</f>
        <v>Trsf</v>
      </c>
      <c r="S2725" s="1" t="s">
        <v>3670</v>
      </c>
    </row>
    <row r="2726" spans="1:19" ht="15" customHeight="1" x14ac:dyDescent="0.35">
      <c r="A2726" s="4">
        <v>45367</v>
      </c>
      <c r="B2726" s="5">
        <f t="shared" si="693"/>
        <v>3</v>
      </c>
      <c r="C2726" s="5">
        <f t="shared" si="694"/>
        <v>2024</v>
      </c>
      <c r="D2726" s="5" t="s">
        <v>2441</v>
      </c>
      <c r="E2726" s="5" t="str">
        <f>VLOOKUP(F2726,'Set up'!$A$2:$C$70,2,FALSE)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up'!$A$2:$C$70,3,FALSE)</f>
        <v>Cash</v>
      </c>
      <c r="J2726" s="5">
        <f>VLOOKUP(F2726,'Set up'!$A$2:$D$70,4,FALSE)</f>
        <v>0</v>
      </c>
      <c r="K2726" s="4">
        <f t="shared" si="695"/>
        <v>45367</v>
      </c>
      <c r="L2726" s="5">
        <f t="shared" si="696"/>
        <v>3</v>
      </c>
      <c r="M2726" s="5">
        <f t="shared" si="697"/>
        <v>2024</v>
      </c>
      <c r="N2726" s="12">
        <v>283.8</v>
      </c>
      <c r="O2726" s="6">
        <f t="shared" si="707"/>
        <v>-283.8</v>
      </c>
      <c r="P2726" s="6">
        <f t="shared" si="703"/>
        <v>0</v>
      </c>
      <c r="Q2726" s="7">
        <f t="shared" si="690"/>
        <v>4441566.6500000004</v>
      </c>
      <c r="R2726" s="44" t="str">
        <f>VLOOKUP(F2726,'Set up'!$A$2:$E$70,5,FALSE)</f>
        <v>Trsf</v>
      </c>
      <c r="S2726" s="1" t="s">
        <v>3672</v>
      </c>
    </row>
    <row r="2727" spans="1:19" ht="15" customHeight="1" x14ac:dyDescent="0.35">
      <c r="A2727" s="4">
        <v>45367</v>
      </c>
      <c r="B2727" s="5">
        <f t="shared" si="693"/>
        <v>3</v>
      </c>
      <c r="C2727" s="5">
        <f t="shared" si="694"/>
        <v>2024</v>
      </c>
      <c r="D2727" s="5" t="s">
        <v>2441</v>
      </c>
      <c r="E2727" s="5" t="str">
        <f>VLOOKUP(F2727,'Set up'!$A$2:$C$70,2,FALSE)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up'!$A$2:$C$70,3,FALSE)</f>
        <v>Cash</v>
      </c>
      <c r="J2727" s="5">
        <f>VLOOKUP(F2727,'Set up'!$A$2:$D$70,4,FALSE)</f>
        <v>0</v>
      </c>
      <c r="K2727" s="4">
        <f t="shared" si="695"/>
        <v>45367</v>
      </c>
      <c r="L2727" s="5">
        <f t="shared" si="696"/>
        <v>3</v>
      </c>
      <c r="M2727" s="5">
        <f t="shared" si="697"/>
        <v>2024</v>
      </c>
      <c r="N2727" s="12">
        <v>260</v>
      </c>
      <c r="O2727" s="12">
        <f>-101.7-158.3</f>
        <v>-260</v>
      </c>
      <c r="P2727" s="6">
        <f t="shared" si="703"/>
        <v>0</v>
      </c>
      <c r="Q2727" s="7">
        <f t="shared" si="690"/>
        <v>4441826.6500000004</v>
      </c>
      <c r="R2727" s="44" t="str">
        <f>VLOOKUP(F2727,'Set up'!$A$2:$E$70,5,FALSE)</f>
        <v>Trsf</v>
      </c>
      <c r="S2727" s="1" t="s">
        <v>3751</v>
      </c>
    </row>
    <row r="2728" spans="1:19" ht="15" customHeight="1" x14ac:dyDescent="0.35">
      <c r="A2728" s="4">
        <v>45367</v>
      </c>
      <c r="B2728" s="5">
        <f t="shared" si="693"/>
        <v>3</v>
      </c>
      <c r="C2728" s="5">
        <f t="shared" si="694"/>
        <v>2024</v>
      </c>
      <c r="D2728" s="5" t="s">
        <v>2441</v>
      </c>
      <c r="E2728" s="5" t="str">
        <f>VLOOKUP(F2728,'Set up'!$A$2:$C$70,2,FALSE)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up'!$A$2:$C$70,3,FALSE)</f>
        <v>Cash</v>
      </c>
      <c r="J2728" s="5">
        <f>VLOOKUP(F2728,'Set up'!$A$2:$D$70,4,FALSE)</f>
        <v>0</v>
      </c>
      <c r="K2728" s="4">
        <f t="shared" si="695"/>
        <v>45367</v>
      </c>
      <c r="L2728" s="5">
        <f t="shared" si="696"/>
        <v>3</v>
      </c>
      <c r="M2728" s="5">
        <f t="shared" si="697"/>
        <v>2024</v>
      </c>
      <c r="N2728" s="12">
        <v>120</v>
      </c>
      <c r="O2728" s="6">
        <f t="shared" si="707"/>
        <v>-120</v>
      </c>
      <c r="P2728" s="6">
        <f t="shared" si="703"/>
        <v>0</v>
      </c>
      <c r="Q2728" s="7">
        <f t="shared" si="690"/>
        <v>4441946.6500000004</v>
      </c>
      <c r="R2728" s="44" t="str">
        <f>VLOOKUP(F2728,'Set up'!$A$2:$E$70,5,FALSE)</f>
        <v>Trsf</v>
      </c>
      <c r="S2728" s="1" t="s">
        <v>3752</v>
      </c>
    </row>
    <row r="2729" spans="1:19" ht="15" customHeight="1" x14ac:dyDescent="0.35">
      <c r="A2729" s="4">
        <v>45367</v>
      </c>
      <c r="B2729" s="5">
        <f t="shared" si="693"/>
        <v>3</v>
      </c>
      <c r="C2729" s="5">
        <f t="shared" si="694"/>
        <v>2024</v>
      </c>
      <c r="D2729" s="5" t="s">
        <v>2443</v>
      </c>
      <c r="E2729" s="5" t="str">
        <f>VLOOKUP(F2729,'Set up'!$A$2:$C$70,2,FALSE)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up'!$A$2:$C$70,3,FALSE)</f>
        <v>Cash</v>
      </c>
      <c r="J2729" s="5">
        <f>VLOOKUP(F2729,'Set up'!$A$2:$D$70,4,FALSE)</f>
        <v>0</v>
      </c>
      <c r="K2729" s="4">
        <f t="shared" si="695"/>
        <v>45367</v>
      </c>
      <c r="L2729" s="5">
        <f t="shared" si="696"/>
        <v>3</v>
      </c>
      <c r="M2729" s="5">
        <f t="shared" si="697"/>
        <v>2024</v>
      </c>
      <c r="N2729" s="12">
        <v>187.5</v>
      </c>
      <c r="O2729" s="6">
        <f t="shared" ref="O2729:O2739" si="708">-N2729</f>
        <v>-187.5</v>
      </c>
      <c r="P2729" s="6">
        <f t="shared" si="703"/>
        <v>0</v>
      </c>
      <c r="Q2729" s="7">
        <f>SUM(Q2728+N2729)</f>
        <v>4442134.1500000004</v>
      </c>
      <c r="R2729" s="44" t="str">
        <f>VLOOKUP(F2729,'Set up'!$A$2:$E$70,5,FALSE)</f>
        <v>Trsf</v>
      </c>
      <c r="S2729" s="1" t="s">
        <v>3071</v>
      </c>
    </row>
    <row r="2730" spans="1:19" ht="15" customHeight="1" x14ac:dyDescent="0.35">
      <c r="A2730" s="4">
        <v>45367</v>
      </c>
      <c r="B2730" s="5">
        <f t="shared" si="693"/>
        <v>3</v>
      </c>
      <c r="C2730" s="5">
        <f t="shared" si="694"/>
        <v>2024</v>
      </c>
      <c r="D2730" s="5" t="s">
        <v>2444</v>
      </c>
      <c r="E2730" s="5" t="str">
        <f>VLOOKUP(F2730,'Set up'!$A$2:$C$70,2,FALSE)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up'!$A$2:$C$70,3,FALSE)</f>
        <v>Cash</v>
      </c>
      <c r="J2730" s="5">
        <f>VLOOKUP(F2730,'Set up'!$A$2:$D$70,4,FALSE)</f>
        <v>0</v>
      </c>
      <c r="K2730" s="4">
        <f t="shared" si="695"/>
        <v>45367</v>
      </c>
      <c r="L2730" s="5">
        <f t="shared" si="696"/>
        <v>3</v>
      </c>
      <c r="M2730" s="5">
        <f t="shared" si="697"/>
        <v>2024</v>
      </c>
      <c r="N2730" s="12">
        <v>4818</v>
      </c>
      <c r="O2730" s="6">
        <f t="shared" si="708"/>
        <v>-4818</v>
      </c>
      <c r="P2730" s="6">
        <f t="shared" si="703"/>
        <v>0</v>
      </c>
      <c r="Q2730" s="7">
        <f t="shared" ref="Q2730:Q2768" si="709">SUM(Q2729+N2730)</f>
        <v>4446952.1500000004</v>
      </c>
      <c r="R2730" s="44" t="str">
        <f>VLOOKUP(F2730,'Set up'!$A$2:$E$70,5,FALSE)</f>
        <v>Trsf</v>
      </c>
      <c r="S2730" s="1" t="s">
        <v>3072</v>
      </c>
    </row>
    <row r="2731" spans="1:19" ht="15" customHeight="1" x14ac:dyDescent="0.35">
      <c r="A2731" s="4">
        <v>45367</v>
      </c>
      <c r="B2731" s="5">
        <f t="shared" si="693"/>
        <v>3</v>
      </c>
      <c r="C2731" s="5">
        <f t="shared" si="694"/>
        <v>2024</v>
      </c>
      <c r="D2731" s="5" t="s">
        <v>2444</v>
      </c>
      <c r="E2731" s="5" t="str">
        <f>VLOOKUP(F2731,'Set up'!$A$2:$C$70,2,FALSE)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up'!$A$2:$C$70,3,FALSE)</f>
        <v>Cash</v>
      </c>
      <c r="J2731" s="5">
        <f>VLOOKUP(F2731,'Set up'!$A$2:$D$70,4,FALSE)</f>
        <v>0</v>
      </c>
      <c r="K2731" s="4">
        <f t="shared" si="695"/>
        <v>45367</v>
      </c>
      <c r="L2731" s="5">
        <f t="shared" si="696"/>
        <v>3</v>
      </c>
      <c r="M2731" s="5">
        <f t="shared" si="697"/>
        <v>2024</v>
      </c>
      <c r="N2731" s="12">
        <v>1931.4</v>
      </c>
      <c r="O2731" s="6">
        <f t="shared" si="708"/>
        <v>-1931.4</v>
      </c>
      <c r="P2731" s="6">
        <f t="shared" si="703"/>
        <v>0</v>
      </c>
      <c r="Q2731" s="7">
        <f t="shared" si="709"/>
        <v>4448883.5500000007</v>
      </c>
      <c r="R2731" s="44" t="str">
        <f>VLOOKUP(F2731,'Set up'!$A$2:$E$70,5,FALSE)</f>
        <v>Trsf</v>
      </c>
      <c r="S2731" s="1" t="s">
        <v>3073</v>
      </c>
    </row>
    <row r="2732" spans="1:19" ht="15" customHeight="1" x14ac:dyDescent="0.35">
      <c r="A2732" s="4">
        <v>45367</v>
      </c>
      <c r="B2732" s="5">
        <f t="shared" si="693"/>
        <v>3</v>
      </c>
      <c r="C2732" s="5">
        <f t="shared" si="694"/>
        <v>2024</v>
      </c>
      <c r="D2732" s="5" t="s">
        <v>2444</v>
      </c>
      <c r="E2732" s="5" t="str">
        <f>VLOOKUP(F2732,'Set up'!$A$2:$C$70,2,FALSE)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up'!$A$2:$C$70,3,FALSE)</f>
        <v>Cash</v>
      </c>
      <c r="J2732" s="5">
        <f>VLOOKUP(F2732,'Set up'!$A$2:$D$70,4,FALSE)</f>
        <v>0</v>
      </c>
      <c r="K2732" s="4">
        <f t="shared" si="695"/>
        <v>45367</v>
      </c>
      <c r="L2732" s="5">
        <f t="shared" si="696"/>
        <v>3</v>
      </c>
      <c r="M2732" s="5">
        <f t="shared" si="697"/>
        <v>2024</v>
      </c>
      <c r="N2732" s="12">
        <v>1170</v>
      </c>
      <c r="O2732" s="6">
        <f t="shared" si="708"/>
        <v>-1170</v>
      </c>
      <c r="P2732" s="6">
        <f t="shared" si="703"/>
        <v>0</v>
      </c>
      <c r="Q2732" s="7">
        <f t="shared" si="709"/>
        <v>4450053.5500000007</v>
      </c>
      <c r="R2732" s="44" t="str">
        <f>VLOOKUP(F2732,'Set up'!$A$2:$E$70,5,FALSE)</f>
        <v>Trsf</v>
      </c>
      <c r="S2732" s="1" t="s">
        <v>3074</v>
      </c>
    </row>
    <row r="2733" spans="1:19" ht="15" customHeight="1" x14ac:dyDescent="0.35">
      <c r="A2733" s="4">
        <v>45367</v>
      </c>
      <c r="B2733" s="5">
        <f t="shared" si="693"/>
        <v>3</v>
      </c>
      <c r="C2733" s="5">
        <f t="shared" si="694"/>
        <v>2024</v>
      </c>
      <c r="D2733" s="5" t="s">
        <v>2444</v>
      </c>
      <c r="E2733" s="5" t="str">
        <f>VLOOKUP(F2733,'Set up'!$A$2:$C$70,2,FALSE)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up'!$A$2:$C$70,3,FALSE)</f>
        <v>Cash</v>
      </c>
      <c r="J2733" s="5">
        <f>VLOOKUP(F2733,'Set up'!$A$2:$D$70,4,FALSE)</f>
        <v>0</v>
      </c>
      <c r="K2733" s="4">
        <f t="shared" si="695"/>
        <v>45367</v>
      </c>
      <c r="L2733" s="5">
        <f t="shared" si="696"/>
        <v>3</v>
      </c>
      <c r="M2733" s="5">
        <f t="shared" si="697"/>
        <v>2024</v>
      </c>
      <c r="N2733" s="12">
        <v>1000</v>
      </c>
      <c r="O2733" s="6">
        <f t="shared" si="708"/>
        <v>-1000</v>
      </c>
      <c r="P2733" s="6">
        <f t="shared" si="703"/>
        <v>0</v>
      </c>
      <c r="Q2733" s="7">
        <f t="shared" si="709"/>
        <v>4451053.5500000007</v>
      </c>
      <c r="R2733" s="44" t="str">
        <f>VLOOKUP(F2733,'Set up'!$A$2:$E$70,5,FALSE)</f>
        <v>Trsf</v>
      </c>
      <c r="S2733" s="1" t="s">
        <v>3069</v>
      </c>
    </row>
    <row r="2734" spans="1:19" ht="15" customHeight="1" x14ac:dyDescent="0.35">
      <c r="A2734" s="4">
        <v>45367</v>
      </c>
      <c r="B2734" s="5">
        <f t="shared" si="693"/>
        <v>3</v>
      </c>
      <c r="C2734" s="5">
        <f t="shared" si="694"/>
        <v>2024</v>
      </c>
      <c r="D2734" s="5" t="s">
        <v>2444</v>
      </c>
      <c r="E2734" s="5" t="str">
        <f>VLOOKUP(F2734,'Set up'!$A$2:$C$70,2,FALSE)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up'!$A$2:$C$70,3,FALSE)</f>
        <v>Cash</v>
      </c>
      <c r="J2734" s="5">
        <f>VLOOKUP(F2734,'Set up'!$A$2:$D$70,4,FALSE)</f>
        <v>0</v>
      </c>
      <c r="K2734" s="4">
        <f t="shared" si="695"/>
        <v>45367</v>
      </c>
      <c r="L2734" s="5">
        <f t="shared" si="696"/>
        <v>3</v>
      </c>
      <c r="M2734" s="5">
        <f t="shared" si="697"/>
        <v>2024</v>
      </c>
      <c r="N2734" s="12">
        <v>380</v>
      </c>
      <c r="O2734" s="6">
        <f t="shared" si="708"/>
        <v>-380</v>
      </c>
      <c r="P2734" s="6">
        <f t="shared" si="703"/>
        <v>0</v>
      </c>
      <c r="Q2734" s="7">
        <f t="shared" si="709"/>
        <v>4451433.5500000007</v>
      </c>
      <c r="R2734" s="44" t="str">
        <f>VLOOKUP(F2734,'Set up'!$A$2:$E$70,5,FALSE)</f>
        <v>Trsf</v>
      </c>
      <c r="S2734" s="1" t="s">
        <v>3067</v>
      </c>
    </row>
    <row r="2735" spans="1:19" ht="15" customHeight="1" x14ac:dyDescent="0.35">
      <c r="A2735" s="4">
        <v>45370</v>
      </c>
      <c r="B2735" s="5">
        <f t="shared" si="693"/>
        <v>3</v>
      </c>
      <c r="C2735" s="5">
        <f t="shared" si="694"/>
        <v>2024</v>
      </c>
      <c r="D2735" s="5" t="s">
        <v>2445</v>
      </c>
      <c r="E2735" s="5" t="str">
        <f>VLOOKUP(F2735,'Set up'!$A$2:$C$70,2,FALSE)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up'!$A$2:$C$70,3,FALSE)</f>
        <v>Cash</v>
      </c>
      <c r="J2735" s="5">
        <f>VLOOKUP(F2735,'Set up'!$A$2:$D$70,4,FALSE)</f>
        <v>0</v>
      </c>
      <c r="K2735" s="4">
        <f t="shared" si="695"/>
        <v>45370</v>
      </c>
      <c r="L2735" s="5">
        <f t="shared" si="696"/>
        <v>3</v>
      </c>
      <c r="M2735" s="5">
        <f t="shared" si="697"/>
        <v>2024</v>
      </c>
      <c r="N2735" s="12">
        <v>125</v>
      </c>
      <c r="O2735" s="6">
        <f t="shared" si="708"/>
        <v>-125</v>
      </c>
      <c r="P2735" s="6">
        <f t="shared" si="703"/>
        <v>0</v>
      </c>
      <c r="Q2735" s="7">
        <f t="shared" si="709"/>
        <v>4451558.5500000007</v>
      </c>
      <c r="R2735" s="44" t="str">
        <f>VLOOKUP(F2735,'Set up'!$A$2:$E$70,5,FALSE)</f>
        <v>Trsf</v>
      </c>
      <c r="S2735" s="1" t="s">
        <v>3075</v>
      </c>
    </row>
    <row r="2736" spans="1:19" ht="15" customHeight="1" x14ac:dyDescent="0.35">
      <c r="A2736" s="4">
        <v>45370</v>
      </c>
      <c r="B2736" s="5">
        <f t="shared" si="693"/>
        <v>3</v>
      </c>
      <c r="C2736" s="5">
        <f t="shared" si="694"/>
        <v>2024</v>
      </c>
      <c r="D2736" s="5" t="s">
        <v>2446</v>
      </c>
      <c r="E2736" s="5" t="str">
        <f>VLOOKUP(F2736,'Set up'!$A$2:$C$70,2,FALSE)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up'!$A$2:$C$70,3,FALSE)</f>
        <v>Cash</v>
      </c>
      <c r="J2736" s="5">
        <f>VLOOKUP(F2736,'Set up'!$A$2:$D$70,4,FALSE)</f>
        <v>0</v>
      </c>
      <c r="K2736" s="4">
        <f t="shared" si="695"/>
        <v>45370</v>
      </c>
      <c r="L2736" s="5">
        <f t="shared" si="696"/>
        <v>3</v>
      </c>
      <c r="M2736" s="5">
        <f t="shared" si="697"/>
        <v>2024</v>
      </c>
      <c r="N2736" s="12">
        <v>3212</v>
      </c>
      <c r="O2736" s="6">
        <f t="shared" si="708"/>
        <v>-3212</v>
      </c>
      <c r="P2736" s="6">
        <f t="shared" si="703"/>
        <v>0</v>
      </c>
      <c r="Q2736" s="7">
        <f t="shared" si="709"/>
        <v>4454770.5500000007</v>
      </c>
      <c r="R2736" s="44" t="str">
        <f>VLOOKUP(F2736,'Set up'!$A$2:$E$70,5,FALSE)</f>
        <v>Trsf</v>
      </c>
      <c r="S2736" s="1" t="s">
        <v>3076</v>
      </c>
    </row>
    <row r="2737" spans="1:19" ht="15" customHeight="1" x14ac:dyDescent="0.35">
      <c r="A2737" s="4">
        <v>45370</v>
      </c>
      <c r="B2737" s="5">
        <f t="shared" si="693"/>
        <v>3</v>
      </c>
      <c r="C2737" s="5">
        <f t="shared" si="694"/>
        <v>2024</v>
      </c>
      <c r="D2737" s="5" t="s">
        <v>2446</v>
      </c>
      <c r="E2737" s="5" t="str">
        <f>VLOOKUP(F2737,'Set up'!$A$2:$C$70,2,FALSE)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up'!$A$2:$C$70,3,FALSE)</f>
        <v>Cash</v>
      </c>
      <c r="J2737" s="5">
        <f>VLOOKUP(F2737,'Set up'!$A$2:$D$70,4,FALSE)</f>
        <v>0</v>
      </c>
      <c r="K2737" s="4">
        <f t="shared" si="695"/>
        <v>45370</v>
      </c>
      <c r="L2737" s="5">
        <f t="shared" si="696"/>
        <v>3</v>
      </c>
      <c r="M2737" s="5">
        <f t="shared" si="697"/>
        <v>2024</v>
      </c>
      <c r="N2737" s="12">
        <v>1073</v>
      </c>
      <c r="O2737" s="6">
        <f t="shared" si="708"/>
        <v>-1073</v>
      </c>
      <c r="P2737" s="6">
        <f t="shared" si="703"/>
        <v>0</v>
      </c>
      <c r="Q2737" s="7">
        <f t="shared" si="709"/>
        <v>4455843.5500000007</v>
      </c>
      <c r="R2737" s="44" t="str">
        <f>VLOOKUP(F2737,'Set up'!$A$2:$E$70,5,FALSE)</f>
        <v>Trsf</v>
      </c>
      <c r="S2737" s="1" t="s">
        <v>3077</v>
      </c>
    </row>
    <row r="2738" spans="1:19" ht="15" customHeight="1" x14ac:dyDescent="0.35">
      <c r="A2738" s="4">
        <v>45370</v>
      </c>
      <c r="B2738" s="5">
        <f t="shared" si="693"/>
        <v>3</v>
      </c>
      <c r="C2738" s="5">
        <f t="shared" si="694"/>
        <v>2024</v>
      </c>
      <c r="D2738" s="5" t="s">
        <v>2446</v>
      </c>
      <c r="E2738" s="5" t="str">
        <f>VLOOKUP(F2738,'Set up'!$A$2:$C$70,2,FALSE)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up'!$A$2:$C$70,3,FALSE)</f>
        <v>Cash</v>
      </c>
      <c r="J2738" s="5">
        <f>VLOOKUP(F2738,'Set up'!$A$2:$D$70,4,FALSE)</f>
        <v>0</v>
      </c>
      <c r="K2738" s="4">
        <f t="shared" si="695"/>
        <v>45370</v>
      </c>
      <c r="L2738" s="5">
        <f t="shared" si="696"/>
        <v>3</v>
      </c>
      <c r="M2738" s="5">
        <f t="shared" si="697"/>
        <v>2024</v>
      </c>
      <c r="N2738" s="12">
        <v>702</v>
      </c>
      <c r="O2738" s="6">
        <f t="shared" si="708"/>
        <v>-702</v>
      </c>
      <c r="P2738" s="6">
        <f t="shared" si="703"/>
        <v>0</v>
      </c>
      <c r="Q2738" s="7">
        <f t="shared" si="709"/>
        <v>4456545.5500000007</v>
      </c>
      <c r="R2738" s="44" t="str">
        <f>VLOOKUP(F2738,'Set up'!$A$2:$E$70,5,FALSE)</f>
        <v>Trsf</v>
      </c>
      <c r="S2738" s="1" t="s">
        <v>3078</v>
      </c>
    </row>
    <row r="2739" spans="1:19" ht="15" customHeight="1" x14ac:dyDescent="0.35">
      <c r="A2739" s="4">
        <v>45370</v>
      </c>
      <c r="B2739" s="5">
        <f t="shared" si="693"/>
        <v>3</v>
      </c>
      <c r="C2739" s="5">
        <f t="shared" si="694"/>
        <v>2024</v>
      </c>
      <c r="D2739" s="5" t="s">
        <v>2446</v>
      </c>
      <c r="E2739" s="5" t="str">
        <f>VLOOKUP(F2739,'Set up'!$A$2:$C$70,2,FALSE)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up'!$A$2:$C$70,3,FALSE)</f>
        <v>Cash</v>
      </c>
      <c r="J2739" s="5">
        <f>VLOOKUP(F2739,'Set up'!$A$2:$D$70,4,FALSE)</f>
        <v>0</v>
      </c>
      <c r="K2739" s="4">
        <f t="shared" si="695"/>
        <v>45370</v>
      </c>
      <c r="L2739" s="5">
        <f t="shared" si="696"/>
        <v>3</v>
      </c>
      <c r="M2739" s="5">
        <f t="shared" si="697"/>
        <v>2024</v>
      </c>
      <c r="N2739" s="12">
        <v>1000</v>
      </c>
      <c r="O2739" s="6">
        <f t="shared" si="708"/>
        <v>-1000</v>
      </c>
      <c r="P2739" s="6">
        <f t="shared" si="703"/>
        <v>0</v>
      </c>
      <c r="Q2739" s="7">
        <f t="shared" si="709"/>
        <v>4457545.5500000007</v>
      </c>
      <c r="R2739" s="44" t="str">
        <f>VLOOKUP(F2739,'Set up'!$A$2:$E$70,5,FALSE)</f>
        <v>Trsf</v>
      </c>
      <c r="S2739" s="1" t="s">
        <v>3069</v>
      </c>
    </row>
    <row r="2740" spans="1:19" ht="15" customHeight="1" x14ac:dyDescent="0.35">
      <c r="A2740" s="4">
        <v>45371</v>
      </c>
      <c r="B2740" s="5">
        <f t="shared" si="693"/>
        <v>3</v>
      </c>
      <c r="C2740" s="5">
        <f t="shared" si="694"/>
        <v>2024</v>
      </c>
      <c r="D2740" s="5" t="s">
        <v>2447</v>
      </c>
      <c r="E2740" s="5" t="str">
        <f>VLOOKUP(F2740,'Set up'!$A$2:$C$70,2,FALSE)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up'!$A$2:$C$70,3,FALSE)</f>
        <v>30</v>
      </c>
      <c r="J2740" s="5">
        <f>VLOOKUP(F2740,'Set up'!$A$2:$D$70,4,FALSE)</f>
        <v>30</v>
      </c>
      <c r="K2740" s="4">
        <f t="shared" si="695"/>
        <v>45401</v>
      </c>
      <c r="L2740" s="5">
        <f t="shared" si="696"/>
        <v>4</v>
      </c>
      <c r="M2740" s="5">
        <f t="shared" si="697"/>
        <v>2024</v>
      </c>
      <c r="N2740" s="12">
        <v>5214</v>
      </c>
      <c r="O2740" s="6">
        <f t="shared" ref="O2740:O2751" si="710">-N2740</f>
        <v>-5214</v>
      </c>
      <c r="P2740" s="6">
        <f t="shared" si="703"/>
        <v>0</v>
      </c>
      <c r="Q2740" s="7">
        <f t="shared" si="709"/>
        <v>4462759.5500000007</v>
      </c>
      <c r="R2740" s="44" t="str">
        <f>VLOOKUP(F2740,'Set up'!$A$2:$E$70,5,FALSE)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693"/>
        <v>3</v>
      </c>
      <c r="C2741" s="5">
        <f t="shared" si="694"/>
        <v>2024</v>
      </c>
      <c r="D2741" s="5" t="s">
        <v>2447</v>
      </c>
      <c r="E2741" s="5" t="str">
        <f>VLOOKUP(F2741,'Set up'!$A$2:$C$70,2,FALSE)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up'!$A$2:$C$70,3,FALSE)</f>
        <v>30</v>
      </c>
      <c r="J2741" s="5">
        <f>VLOOKUP(F2741,'Set up'!$A$2:$D$70,4,FALSE)</f>
        <v>30</v>
      </c>
      <c r="K2741" s="4">
        <f t="shared" si="695"/>
        <v>45401</v>
      </c>
      <c r="L2741" s="5">
        <f t="shared" si="696"/>
        <v>4</v>
      </c>
      <c r="M2741" s="5">
        <f t="shared" si="697"/>
        <v>2024</v>
      </c>
      <c r="N2741" s="12">
        <v>1263.5999999999999</v>
      </c>
      <c r="O2741" s="6">
        <f t="shared" si="710"/>
        <v>-1263.5999999999999</v>
      </c>
      <c r="P2741" s="6">
        <f t="shared" si="703"/>
        <v>0</v>
      </c>
      <c r="Q2741" s="7">
        <f t="shared" si="709"/>
        <v>4464023.1500000004</v>
      </c>
      <c r="R2741" s="44" t="str">
        <f>VLOOKUP(F2741,'Set up'!$A$2:$E$70,5,FALSE)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693"/>
        <v>3</v>
      </c>
      <c r="C2742" s="5">
        <f t="shared" si="694"/>
        <v>2024</v>
      </c>
      <c r="D2742" s="5" t="s">
        <v>2447</v>
      </c>
      <c r="E2742" s="5" t="str">
        <f>VLOOKUP(F2742,'Set up'!$A$2:$C$70,2,FALSE)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up'!$A$2:$C$70,3,FALSE)</f>
        <v>30</v>
      </c>
      <c r="J2742" s="5">
        <f>VLOOKUP(F2742,'Set up'!$A$2:$D$70,4,FALSE)</f>
        <v>30</v>
      </c>
      <c r="K2742" s="4">
        <f t="shared" si="695"/>
        <v>45401</v>
      </c>
      <c r="L2742" s="5">
        <f t="shared" si="696"/>
        <v>4</v>
      </c>
      <c r="M2742" s="5">
        <f t="shared" si="697"/>
        <v>2024</v>
      </c>
      <c r="N2742" s="12">
        <v>240</v>
      </c>
      <c r="O2742" s="6">
        <f t="shared" si="710"/>
        <v>-240</v>
      </c>
      <c r="P2742" s="6">
        <f t="shared" si="703"/>
        <v>0</v>
      </c>
      <c r="Q2742" s="7">
        <f t="shared" si="709"/>
        <v>4464263.1500000004</v>
      </c>
      <c r="R2742" s="44" t="str">
        <f>VLOOKUP(F2742,'Set up'!$A$2:$E$70,5,FALSE)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693"/>
        <v>3</v>
      </c>
      <c r="C2743" s="5">
        <f t="shared" si="694"/>
        <v>2024</v>
      </c>
      <c r="D2743" s="5" t="s">
        <v>2447</v>
      </c>
      <c r="E2743" s="5" t="str">
        <f>VLOOKUP(F2743,'Set up'!$A$2:$C$70,2,FALSE)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up'!$A$2:$C$70,3,FALSE)</f>
        <v>30</v>
      </c>
      <c r="J2743" s="5">
        <f>VLOOKUP(F2743,'Set up'!$A$2:$D$70,4,FALSE)</f>
        <v>30</v>
      </c>
      <c r="K2743" s="4">
        <f t="shared" si="695"/>
        <v>45401</v>
      </c>
      <c r="L2743" s="5">
        <f t="shared" si="696"/>
        <v>4</v>
      </c>
      <c r="M2743" s="5">
        <f t="shared" si="697"/>
        <v>2024</v>
      </c>
      <c r="N2743" s="12">
        <v>572</v>
      </c>
      <c r="O2743" s="6">
        <f t="shared" si="710"/>
        <v>-572</v>
      </c>
      <c r="P2743" s="6">
        <f t="shared" si="703"/>
        <v>0</v>
      </c>
      <c r="Q2743" s="7">
        <f t="shared" si="709"/>
        <v>4464835.1500000004</v>
      </c>
      <c r="R2743" s="44" t="str">
        <f>VLOOKUP(F2743,'Set up'!$A$2:$E$70,5,FALSE)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693"/>
        <v>3</v>
      </c>
      <c r="C2744" s="5">
        <f t="shared" si="694"/>
        <v>2024</v>
      </c>
      <c r="D2744" s="5" t="s">
        <v>2447</v>
      </c>
      <c r="E2744" s="5" t="str">
        <f>VLOOKUP(F2744,'Set up'!$A$2:$C$70,2,FALSE)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up'!$A$2:$C$70,3,FALSE)</f>
        <v>30</v>
      </c>
      <c r="J2744" s="5">
        <f>VLOOKUP(F2744,'Set up'!$A$2:$D$70,4,FALSE)</f>
        <v>30</v>
      </c>
      <c r="K2744" s="4">
        <f t="shared" si="695"/>
        <v>45401</v>
      </c>
      <c r="L2744" s="5">
        <f t="shared" si="696"/>
        <v>4</v>
      </c>
      <c r="M2744" s="5">
        <f t="shared" si="697"/>
        <v>2024</v>
      </c>
      <c r="N2744" s="12">
        <v>190</v>
      </c>
      <c r="O2744" s="6">
        <f t="shared" si="710"/>
        <v>-190</v>
      </c>
      <c r="P2744" s="6">
        <f t="shared" si="703"/>
        <v>0</v>
      </c>
      <c r="Q2744" s="7">
        <f t="shared" si="709"/>
        <v>4465025.1500000004</v>
      </c>
      <c r="R2744" s="44" t="str">
        <f>VLOOKUP(F2744,'Set up'!$A$2:$E$70,5,FALSE)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693"/>
        <v>3</v>
      </c>
      <c r="C2745" s="5">
        <f t="shared" si="694"/>
        <v>2024</v>
      </c>
      <c r="D2745" s="5" t="s">
        <v>2448</v>
      </c>
      <c r="E2745" s="5" t="str">
        <f>VLOOKUP(F2745,'Set up'!$A$2:$C$70,2,FALSE)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up'!$A$2:$C$70,3,FALSE)</f>
        <v>120</v>
      </c>
      <c r="J2745" s="5">
        <f>VLOOKUP(F2745,'Set up'!$A$2:$D$70,4,FALSE)</f>
        <v>120</v>
      </c>
      <c r="K2745" s="4">
        <f t="shared" si="695"/>
        <v>45492</v>
      </c>
      <c r="L2745" s="5">
        <f t="shared" si="696"/>
        <v>7</v>
      </c>
      <c r="M2745" s="5">
        <f t="shared" si="697"/>
        <v>2024</v>
      </c>
      <c r="N2745" s="12">
        <v>9636</v>
      </c>
      <c r="O2745" s="6">
        <f t="shared" si="710"/>
        <v>-9636</v>
      </c>
      <c r="P2745" s="6">
        <f t="shared" si="703"/>
        <v>0</v>
      </c>
      <c r="Q2745" s="7">
        <f t="shared" si="709"/>
        <v>4474661.1500000004</v>
      </c>
      <c r="R2745" s="44" t="str">
        <f>VLOOKUP(F2745,'Set up'!$A$2:$E$70,5,FALSE)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693"/>
        <v>3</v>
      </c>
      <c r="C2746" s="5">
        <f t="shared" si="694"/>
        <v>2024</v>
      </c>
      <c r="D2746" s="5" t="s">
        <v>2448</v>
      </c>
      <c r="E2746" s="5" t="str">
        <f>VLOOKUP(F2746,'Set up'!$A$2:$C$70,2,FALSE)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up'!$A$2:$C$70,3,FALSE)</f>
        <v>120</v>
      </c>
      <c r="J2746" s="5">
        <f>VLOOKUP(F2746,'Set up'!$A$2:$D$70,4,FALSE)</f>
        <v>120</v>
      </c>
      <c r="K2746" s="4">
        <f t="shared" si="695"/>
        <v>45492</v>
      </c>
      <c r="L2746" s="5">
        <f t="shared" si="696"/>
        <v>7</v>
      </c>
      <c r="M2746" s="5">
        <f t="shared" si="697"/>
        <v>2024</v>
      </c>
      <c r="N2746" s="12">
        <v>1740</v>
      </c>
      <c r="O2746" s="6">
        <f t="shared" si="710"/>
        <v>-1740</v>
      </c>
      <c r="P2746" s="6">
        <f t="shared" si="703"/>
        <v>0</v>
      </c>
      <c r="Q2746" s="7">
        <f t="shared" si="709"/>
        <v>4476401.1500000004</v>
      </c>
      <c r="R2746" s="44" t="str">
        <f>VLOOKUP(F2746,'Set up'!$A$2:$E$70,5,FALSE)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693"/>
        <v>3</v>
      </c>
      <c r="C2747" s="5">
        <f t="shared" si="694"/>
        <v>2024</v>
      </c>
      <c r="D2747" s="5" t="s">
        <v>2448</v>
      </c>
      <c r="E2747" s="5" t="str">
        <f>VLOOKUP(F2747,'Set up'!$A$2:$C$70,2,FALSE)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up'!$A$2:$C$70,3,FALSE)</f>
        <v>120</v>
      </c>
      <c r="J2747" s="5">
        <f>VLOOKUP(F2747,'Set up'!$A$2:$D$70,4,FALSE)</f>
        <v>120</v>
      </c>
      <c r="K2747" s="4">
        <f t="shared" si="695"/>
        <v>45492</v>
      </c>
      <c r="L2747" s="5">
        <f t="shared" si="696"/>
        <v>7</v>
      </c>
      <c r="M2747" s="5">
        <f t="shared" si="697"/>
        <v>2024</v>
      </c>
      <c r="N2747" s="12">
        <v>575</v>
      </c>
      <c r="O2747" s="6">
        <f t="shared" si="710"/>
        <v>-575</v>
      </c>
      <c r="P2747" s="6">
        <f t="shared" si="703"/>
        <v>0</v>
      </c>
      <c r="Q2747" s="7">
        <f t="shared" si="709"/>
        <v>4476976.1500000004</v>
      </c>
      <c r="R2747" s="44" t="str">
        <f>VLOOKUP(F2747,'Set up'!$A$2:$E$70,5,FALSE)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693"/>
        <v>3</v>
      </c>
      <c r="C2748" s="5">
        <f t="shared" si="694"/>
        <v>2024</v>
      </c>
      <c r="D2748" s="5" t="s">
        <v>2448</v>
      </c>
      <c r="E2748" s="5" t="str">
        <f>VLOOKUP(F2748,'Set up'!$A$2:$C$70,2,FALSE)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up'!$A$2:$C$70,3,FALSE)</f>
        <v>120</v>
      </c>
      <c r="J2748" s="5">
        <f>VLOOKUP(F2748,'Set up'!$A$2:$D$70,4,FALSE)</f>
        <v>120</v>
      </c>
      <c r="K2748" s="4">
        <f t="shared" si="695"/>
        <v>45492</v>
      </c>
      <c r="L2748" s="5">
        <f t="shared" si="696"/>
        <v>7</v>
      </c>
      <c r="M2748" s="5">
        <f t="shared" si="697"/>
        <v>2024</v>
      </c>
      <c r="N2748" s="12">
        <v>880</v>
      </c>
      <c r="O2748" s="6">
        <f t="shared" si="710"/>
        <v>-880</v>
      </c>
      <c r="P2748" s="6">
        <f t="shared" si="703"/>
        <v>0</v>
      </c>
      <c r="Q2748" s="7">
        <f t="shared" si="709"/>
        <v>4477856.1500000004</v>
      </c>
      <c r="R2748" s="44" t="str">
        <f>VLOOKUP(F2748,'Set up'!$A$2:$E$70,5,FALSE)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693"/>
        <v>3</v>
      </c>
      <c r="C2749" s="5">
        <f t="shared" si="694"/>
        <v>2024</v>
      </c>
      <c r="D2749" s="5" t="s">
        <v>2448</v>
      </c>
      <c r="E2749" s="5" t="str">
        <f>VLOOKUP(F2749,'Set up'!$A$2:$C$70,2,FALSE)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up'!$A$2:$C$70,3,FALSE)</f>
        <v>120</v>
      </c>
      <c r="J2749" s="5">
        <f>VLOOKUP(F2749,'Set up'!$A$2:$D$70,4,FALSE)</f>
        <v>120</v>
      </c>
      <c r="K2749" s="4">
        <f t="shared" si="695"/>
        <v>45492</v>
      </c>
      <c r="L2749" s="5">
        <f t="shared" si="696"/>
        <v>7</v>
      </c>
      <c r="M2749" s="5">
        <f t="shared" si="697"/>
        <v>2024</v>
      </c>
      <c r="N2749" s="12">
        <v>420</v>
      </c>
      <c r="O2749" s="6">
        <f t="shared" si="710"/>
        <v>-420</v>
      </c>
      <c r="P2749" s="6">
        <f t="shared" si="703"/>
        <v>0</v>
      </c>
      <c r="Q2749" s="7">
        <f t="shared" si="709"/>
        <v>4478276.1500000004</v>
      </c>
      <c r="R2749" s="44" t="str">
        <f>VLOOKUP(F2749,'Set up'!$A$2:$E$70,5,FALSE)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693"/>
        <v>3</v>
      </c>
      <c r="C2750" s="5">
        <f t="shared" si="694"/>
        <v>2024</v>
      </c>
      <c r="D2750" s="5" t="s">
        <v>2448</v>
      </c>
      <c r="E2750" s="5" t="str">
        <f>VLOOKUP(F2750,'Set up'!$A$2:$C$70,2,FALSE)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up'!$A$2:$C$70,3,FALSE)</f>
        <v>120</v>
      </c>
      <c r="J2750" s="5">
        <f>VLOOKUP(F2750,'Set up'!$A$2:$D$70,4,FALSE)</f>
        <v>120</v>
      </c>
      <c r="K2750" s="4">
        <f t="shared" si="695"/>
        <v>45492</v>
      </c>
      <c r="L2750" s="5">
        <f t="shared" si="696"/>
        <v>7</v>
      </c>
      <c r="M2750" s="5">
        <f t="shared" si="697"/>
        <v>2024</v>
      </c>
      <c r="N2750" s="12">
        <v>395</v>
      </c>
      <c r="O2750" s="6">
        <f t="shared" si="710"/>
        <v>-395</v>
      </c>
      <c r="P2750" s="6">
        <f t="shared" si="703"/>
        <v>0</v>
      </c>
      <c r="Q2750" s="7">
        <f t="shared" si="709"/>
        <v>4478671.1500000004</v>
      </c>
      <c r="R2750" s="44" t="str">
        <f>VLOOKUP(F2750,'Set up'!$A$2:$E$70,5,FALSE)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693"/>
        <v>3</v>
      </c>
      <c r="C2751" s="5">
        <f t="shared" si="694"/>
        <v>2024</v>
      </c>
      <c r="D2751" s="5" t="s">
        <v>2448</v>
      </c>
      <c r="E2751" s="5" t="str">
        <f>VLOOKUP(F2751,'Set up'!$A$2:$C$70,2,FALSE)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up'!$A$2:$C$70,3,FALSE)</f>
        <v>120</v>
      </c>
      <c r="J2751" s="5">
        <f>VLOOKUP(F2751,'Set up'!$A$2:$D$70,4,FALSE)</f>
        <v>120</v>
      </c>
      <c r="K2751" s="4">
        <f t="shared" si="695"/>
        <v>45492</v>
      </c>
      <c r="L2751" s="5">
        <f t="shared" si="696"/>
        <v>7</v>
      </c>
      <c r="M2751" s="5">
        <f t="shared" si="697"/>
        <v>2024</v>
      </c>
      <c r="N2751" s="12">
        <v>1550</v>
      </c>
      <c r="O2751" s="6">
        <f t="shared" si="710"/>
        <v>-1550</v>
      </c>
      <c r="P2751" s="6">
        <f t="shared" si="703"/>
        <v>0</v>
      </c>
      <c r="Q2751" s="7">
        <f t="shared" si="709"/>
        <v>4480221.1500000004</v>
      </c>
      <c r="R2751" s="44" t="str">
        <f>VLOOKUP(F2751,'Set up'!$A$2:$E$70,5,FALSE)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693"/>
        <v>3</v>
      </c>
      <c r="C2752" s="5">
        <f t="shared" si="694"/>
        <v>2024</v>
      </c>
      <c r="D2752" s="5" t="s">
        <v>2451</v>
      </c>
      <c r="E2752" s="5" t="str">
        <f>VLOOKUP(F2752,'Set up'!$A$2:$C$70,2,FALSE)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up'!$A$2:$C$70,3,FALSE)</f>
        <v>Cash</v>
      </c>
      <c r="J2752" s="5">
        <f>VLOOKUP(F2752,'Set up'!$A$2:$D$70,4,FALSE)</f>
        <v>0</v>
      </c>
      <c r="K2752" s="4">
        <f t="shared" si="695"/>
        <v>45373</v>
      </c>
      <c r="L2752" s="5">
        <f t="shared" si="696"/>
        <v>3</v>
      </c>
      <c r="M2752" s="5">
        <f t="shared" si="697"/>
        <v>2024</v>
      </c>
      <c r="N2752" s="12">
        <v>1628</v>
      </c>
      <c r="O2752" s="12">
        <f>-1500-128</f>
        <v>-1628</v>
      </c>
      <c r="P2752" s="6">
        <f t="shared" si="703"/>
        <v>0</v>
      </c>
      <c r="Q2752" s="7">
        <f t="shared" si="709"/>
        <v>4481849.1500000004</v>
      </c>
      <c r="R2752" s="44" t="str">
        <f>VLOOKUP(F2752,'Set up'!$A$2:$E$70,5,FALSE)</f>
        <v>Cash</v>
      </c>
      <c r="S2752" s="1" t="s">
        <v>2496</v>
      </c>
    </row>
    <row r="2753" spans="1:21" ht="15" customHeight="1" x14ac:dyDescent="0.35">
      <c r="A2753" s="4">
        <v>45373</v>
      </c>
      <c r="B2753" s="5">
        <f t="shared" si="693"/>
        <v>3</v>
      </c>
      <c r="C2753" s="5">
        <f t="shared" si="694"/>
        <v>2024</v>
      </c>
      <c r="D2753" s="5" t="s">
        <v>2451</v>
      </c>
      <c r="E2753" s="5" t="str">
        <f>VLOOKUP(F2753,'Set up'!$A$2:$C$70,2,FALSE)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up'!$A$2:$C$70,3,FALSE)</f>
        <v>Cash</v>
      </c>
      <c r="J2753" s="5">
        <f>VLOOKUP(F2753,'Set up'!$A$2:$D$70,4,FALSE)</f>
        <v>0</v>
      </c>
      <c r="K2753" s="4">
        <f t="shared" si="695"/>
        <v>45373</v>
      </c>
      <c r="L2753" s="5">
        <f t="shared" si="696"/>
        <v>3</v>
      </c>
      <c r="M2753" s="5">
        <f t="shared" si="697"/>
        <v>2024</v>
      </c>
      <c r="N2753" s="12">
        <v>420</v>
      </c>
      <c r="O2753" s="6">
        <f t="shared" ref="O2753:O2755" si="711">-N2753</f>
        <v>-420</v>
      </c>
      <c r="P2753" s="6">
        <f t="shared" si="703"/>
        <v>0</v>
      </c>
      <c r="Q2753" s="7">
        <f t="shared" si="709"/>
        <v>4482269.1500000004</v>
      </c>
      <c r="R2753" s="44" t="str">
        <f>VLOOKUP(F2753,'Set up'!$A$2:$E$70,5,FALSE)</f>
        <v>Cash</v>
      </c>
      <c r="S2753" s="1" t="s">
        <v>2497</v>
      </c>
    </row>
    <row r="2754" spans="1:21" ht="15" customHeight="1" x14ac:dyDescent="0.35">
      <c r="A2754" s="4">
        <v>45373</v>
      </c>
      <c r="B2754" s="5">
        <f t="shared" si="693"/>
        <v>3</v>
      </c>
      <c r="C2754" s="5">
        <f t="shared" si="694"/>
        <v>2024</v>
      </c>
      <c r="D2754" s="5" t="s">
        <v>2451</v>
      </c>
      <c r="E2754" s="5" t="str">
        <f>VLOOKUP(F2754,'Set up'!$A$2:$C$70,2,FALSE)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up'!$A$2:$C$70,3,FALSE)</f>
        <v>Cash</v>
      </c>
      <c r="J2754" s="5">
        <f>VLOOKUP(F2754,'Set up'!$A$2:$D$70,4,FALSE)</f>
        <v>0</v>
      </c>
      <c r="K2754" s="4">
        <f t="shared" si="695"/>
        <v>45373</v>
      </c>
      <c r="L2754" s="5">
        <f t="shared" si="696"/>
        <v>3</v>
      </c>
      <c r="M2754" s="5">
        <f t="shared" si="697"/>
        <v>2024</v>
      </c>
      <c r="N2754" s="12">
        <v>280</v>
      </c>
      <c r="O2754" s="6">
        <f t="shared" si="711"/>
        <v>-280</v>
      </c>
      <c r="P2754" s="6">
        <f t="shared" si="703"/>
        <v>0</v>
      </c>
      <c r="Q2754" s="7">
        <f t="shared" si="709"/>
        <v>4482549.1500000004</v>
      </c>
      <c r="R2754" s="44" t="str">
        <f>VLOOKUP(F2754,'Set up'!$A$2:$E$70,5,FALSE)</f>
        <v>Cash</v>
      </c>
      <c r="S2754" s="1" t="s">
        <v>2498</v>
      </c>
    </row>
    <row r="2755" spans="1:21" ht="15" customHeight="1" x14ac:dyDescent="0.35">
      <c r="A2755" s="4">
        <v>45373</v>
      </c>
      <c r="B2755" s="5">
        <f t="shared" ref="B2755:B2818" si="712">MONTH(A2755)</f>
        <v>3</v>
      </c>
      <c r="C2755" s="5">
        <f t="shared" ref="C2755:C2818" si="713">YEAR(A2755)</f>
        <v>2024</v>
      </c>
      <c r="D2755" s="5" t="s">
        <v>2451</v>
      </c>
      <c r="E2755" s="5" t="str">
        <f>VLOOKUP(F2755,'Set up'!$A$2:$C$70,2,FALSE)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up'!$A$2:$C$70,3,FALSE)</f>
        <v>Cash</v>
      </c>
      <c r="J2755" s="5">
        <f>VLOOKUP(F2755,'Set up'!$A$2:$D$70,4,FALSE)</f>
        <v>0</v>
      </c>
      <c r="K2755" s="4">
        <f t="shared" ref="K2755:K2818" si="714">A2755+J2755</f>
        <v>45373</v>
      </c>
      <c r="L2755" s="5">
        <f t="shared" ref="L2755:L2818" si="715">MONTH(K2755)</f>
        <v>3</v>
      </c>
      <c r="M2755" s="5">
        <f t="shared" ref="M2755:M2818" si="716">YEAR(K2755)</f>
        <v>2024</v>
      </c>
      <c r="N2755" s="12">
        <v>110</v>
      </c>
      <c r="O2755" s="6">
        <f t="shared" si="711"/>
        <v>-110</v>
      </c>
      <c r="P2755" s="6">
        <f t="shared" si="703"/>
        <v>0</v>
      </c>
      <c r="Q2755" s="7">
        <f t="shared" si="709"/>
        <v>4482659.1500000004</v>
      </c>
      <c r="R2755" s="44" t="str">
        <f>VLOOKUP(F2755,'Set up'!$A$2:$E$70,5,FALSE)</f>
        <v>Cash</v>
      </c>
      <c r="S2755" s="1" t="s">
        <v>2499</v>
      </c>
    </row>
    <row r="2756" spans="1:21" ht="15" customHeight="1" x14ac:dyDescent="0.35">
      <c r="A2756" s="4">
        <v>45379</v>
      </c>
      <c r="B2756" s="5">
        <f t="shared" si="712"/>
        <v>3</v>
      </c>
      <c r="C2756" s="5">
        <f t="shared" si="713"/>
        <v>2024</v>
      </c>
      <c r="D2756" s="5" t="s">
        <v>2452</v>
      </c>
      <c r="E2756" s="5" t="str">
        <f>VLOOKUP(F2756,'Set up'!$A$2:$C$70,2,FALSE)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up'!$A$2:$C$70,3,FALSE)</f>
        <v>Cash</v>
      </c>
      <c r="J2756" s="5">
        <f>VLOOKUP(F2756,'Set up'!$A$2:$D$70,4,FALSE)</f>
        <v>0</v>
      </c>
      <c r="K2756" s="4">
        <f t="shared" si="714"/>
        <v>45379</v>
      </c>
      <c r="L2756" s="5">
        <f t="shared" si="715"/>
        <v>3</v>
      </c>
      <c r="M2756" s="5">
        <f t="shared" si="716"/>
        <v>2024</v>
      </c>
      <c r="N2756" s="98">
        <v>1738</v>
      </c>
      <c r="O2756" s="12">
        <f>-1721.7-16.3</f>
        <v>-1738</v>
      </c>
      <c r="P2756" s="6">
        <f t="shared" si="703"/>
        <v>0</v>
      </c>
      <c r="Q2756" s="7">
        <f t="shared" si="709"/>
        <v>4484397.1500000004</v>
      </c>
      <c r="R2756" s="44" t="str">
        <f>VLOOKUP(F2756,'Set up'!$A$2:$E$70,5,FALSE)</f>
        <v>Trsf</v>
      </c>
      <c r="S2756" s="1" t="s">
        <v>3753</v>
      </c>
    </row>
    <row r="2757" spans="1:21" ht="15" customHeight="1" x14ac:dyDescent="0.35">
      <c r="A2757" s="4">
        <v>45379</v>
      </c>
      <c r="B2757" s="5">
        <f t="shared" si="712"/>
        <v>3</v>
      </c>
      <c r="C2757" s="5">
        <f t="shared" si="713"/>
        <v>2024</v>
      </c>
      <c r="D2757" s="5" t="s">
        <v>2452</v>
      </c>
      <c r="E2757" s="5" t="str">
        <f>VLOOKUP(F2757,'Set up'!$A$2:$C$70,2,FALSE)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up'!$A$2:$C$70,3,FALSE)</f>
        <v>Cash</v>
      </c>
      <c r="J2757" s="5">
        <f>VLOOKUP(F2757,'Set up'!$A$2:$D$70,4,FALSE)</f>
        <v>0</v>
      </c>
      <c r="K2757" s="4">
        <f t="shared" si="714"/>
        <v>45379</v>
      </c>
      <c r="L2757" s="5">
        <f t="shared" si="715"/>
        <v>3</v>
      </c>
      <c r="M2757" s="5">
        <f t="shared" si="716"/>
        <v>2024</v>
      </c>
      <c r="N2757" s="98">
        <v>405</v>
      </c>
      <c r="O2757" s="6">
        <f t="shared" ref="O2757:O2758" si="717">-N2757</f>
        <v>-405</v>
      </c>
      <c r="P2757" s="6">
        <f t="shared" si="703"/>
        <v>0</v>
      </c>
      <c r="Q2757" s="7">
        <f t="shared" si="709"/>
        <v>4484802.1500000004</v>
      </c>
      <c r="R2757" s="44" t="str">
        <f>VLOOKUP(F2757,'Set up'!$A$2:$E$70,5,FALSE)</f>
        <v>Trsf</v>
      </c>
      <c r="S2757" s="1" t="s">
        <v>3754</v>
      </c>
    </row>
    <row r="2758" spans="1:21" ht="15" customHeight="1" x14ac:dyDescent="0.35">
      <c r="A2758" s="4">
        <v>45379</v>
      </c>
      <c r="B2758" s="5">
        <f t="shared" si="712"/>
        <v>3</v>
      </c>
      <c r="C2758" s="5">
        <f t="shared" si="713"/>
        <v>2024</v>
      </c>
      <c r="D2758" s="5" t="s">
        <v>2452</v>
      </c>
      <c r="E2758" s="5" t="str">
        <f>VLOOKUP(F2758,'Set up'!$A$2:$C$70,2,FALSE)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up'!$A$2:$C$70,3,FALSE)</f>
        <v>Cash</v>
      </c>
      <c r="J2758" s="5">
        <f>VLOOKUP(F2758,'Set up'!$A$2:$D$70,4,FALSE)</f>
        <v>0</v>
      </c>
      <c r="K2758" s="4">
        <f t="shared" si="714"/>
        <v>45379</v>
      </c>
      <c r="L2758" s="5">
        <f t="shared" si="715"/>
        <v>3</v>
      </c>
      <c r="M2758" s="5">
        <f t="shared" si="716"/>
        <v>2024</v>
      </c>
      <c r="N2758" s="98">
        <v>390</v>
      </c>
      <c r="O2758" s="6">
        <f t="shared" si="717"/>
        <v>-390</v>
      </c>
      <c r="P2758" s="6">
        <f t="shared" si="703"/>
        <v>0</v>
      </c>
      <c r="Q2758" s="7">
        <f t="shared" si="709"/>
        <v>4485192.1500000004</v>
      </c>
      <c r="R2758" s="44" t="str">
        <f>VLOOKUP(F2758,'Set up'!$A$2:$E$70,5,FALSE)</f>
        <v>Trsf</v>
      </c>
      <c r="S2758" s="1" t="s">
        <v>3755</v>
      </c>
    </row>
    <row r="2759" spans="1:21" ht="15" customHeight="1" x14ac:dyDescent="0.35">
      <c r="A2759" s="4">
        <v>45380</v>
      </c>
      <c r="B2759" s="5">
        <f t="shared" si="712"/>
        <v>3</v>
      </c>
      <c r="C2759" s="5">
        <f t="shared" si="713"/>
        <v>2024</v>
      </c>
      <c r="D2759" s="5" t="s">
        <v>2453</v>
      </c>
      <c r="E2759" s="5" t="str">
        <f>VLOOKUP(F2759,'Set up'!$A$2:$C$70,2,FALSE)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up'!$A$2:$C$70,3,FALSE)</f>
        <v>Cash</v>
      </c>
      <c r="J2759" s="5">
        <f>VLOOKUP(F2759,'Set up'!$A$2:$D$70,4,FALSE)</f>
        <v>0</v>
      </c>
      <c r="K2759" s="4">
        <f t="shared" si="714"/>
        <v>45380</v>
      </c>
      <c r="L2759" s="5">
        <f t="shared" si="715"/>
        <v>3</v>
      </c>
      <c r="M2759" s="5">
        <f t="shared" si="716"/>
        <v>2024</v>
      </c>
      <c r="N2759" s="12">
        <v>250</v>
      </c>
      <c r="O2759" s="6">
        <f>-N2759</f>
        <v>-250</v>
      </c>
      <c r="P2759" s="6">
        <f t="shared" si="703"/>
        <v>0</v>
      </c>
      <c r="Q2759" s="7">
        <f t="shared" si="709"/>
        <v>4485442.1500000004</v>
      </c>
      <c r="R2759" s="44" t="str">
        <f>VLOOKUP(F2759,'Set up'!$A$2:$E$70,5,FALSE)</f>
        <v>Trsf</v>
      </c>
      <c r="S2759" s="1" t="s">
        <v>3079</v>
      </c>
    </row>
    <row r="2760" spans="1:21" ht="15" customHeight="1" x14ac:dyDescent="0.35">
      <c r="A2760" s="4">
        <v>45380</v>
      </c>
      <c r="B2760" s="5">
        <f t="shared" si="712"/>
        <v>3</v>
      </c>
      <c r="C2760" s="5">
        <f t="shared" si="713"/>
        <v>2024</v>
      </c>
      <c r="D2760" s="5" t="s">
        <v>2454</v>
      </c>
      <c r="E2760" s="5" t="str">
        <f>VLOOKUP(F2760,'Set up'!$A$2:$C$70,2,FALSE)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up'!$A$2:$C$70,3,FALSE)</f>
        <v>Cash</v>
      </c>
      <c r="J2760" s="5">
        <f>VLOOKUP(F2760,'Set up'!$A$2:$D$70,4,FALSE)</f>
        <v>0</v>
      </c>
      <c r="K2760" s="4">
        <f t="shared" si="714"/>
        <v>45380</v>
      </c>
      <c r="L2760" s="5">
        <f t="shared" si="715"/>
        <v>3</v>
      </c>
      <c r="M2760" s="5">
        <f t="shared" si="716"/>
        <v>2024</v>
      </c>
      <c r="N2760" s="12">
        <v>6424</v>
      </c>
      <c r="O2760" s="12">
        <f>-6178.6-245.4</f>
        <v>-6424</v>
      </c>
      <c r="P2760" s="6">
        <f t="shared" si="703"/>
        <v>0</v>
      </c>
      <c r="Q2760" s="7">
        <f t="shared" si="709"/>
        <v>4491866.1500000004</v>
      </c>
      <c r="R2760" s="44" t="str">
        <f>VLOOKUP(F2760,'Set up'!$A$2:$E$70,5,FALSE)</f>
        <v>Trsf</v>
      </c>
      <c r="S2760" s="1" t="s">
        <v>3080</v>
      </c>
    </row>
    <row r="2761" spans="1:21" ht="15" customHeight="1" x14ac:dyDescent="0.35">
      <c r="A2761" s="4">
        <v>45380</v>
      </c>
      <c r="B2761" s="5">
        <f t="shared" si="712"/>
        <v>3</v>
      </c>
      <c r="C2761" s="5">
        <f t="shared" si="713"/>
        <v>2024</v>
      </c>
      <c r="D2761" s="5" t="s">
        <v>2454</v>
      </c>
      <c r="E2761" s="5" t="str">
        <f>VLOOKUP(F2761,'Set up'!$A$2:$C$70,2,FALSE)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up'!$A$2:$C$70,3,FALSE)</f>
        <v>Cash</v>
      </c>
      <c r="J2761" s="5">
        <f>VLOOKUP(F2761,'Set up'!$A$2:$D$70,4,FALSE)</f>
        <v>0</v>
      </c>
      <c r="K2761" s="4">
        <f t="shared" si="714"/>
        <v>45380</v>
      </c>
      <c r="L2761" s="5">
        <f t="shared" si="715"/>
        <v>3</v>
      </c>
      <c r="M2761" s="5">
        <f t="shared" si="716"/>
        <v>2024</v>
      </c>
      <c r="N2761" s="12">
        <v>2088</v>
      </c>
      <c r="O2761" s="6">
        <f t="shared" ref="O2761:O2763" si="718">-N2761</f>
        <v>-2088</v>
      </c>
      <c r="P2761" s="6">
        <f t="shared" si="703"/>
        <v>0</v>
      </c>
      <c r="Q2761" s="7">
        <f t="shared" si="709"/>
        <v>4493954.1500000004</v>
      </c>
      <c r="R2761" s="44" t="str">
        <f>VLOOKUP(F2761,'Set up'!$A$2:$E$70,5,FALSE)</f>
        <v>Trsf</v>
      </c>
      <c r="S2761" s="1" t="s">
        <v>3081</v>
      </c>
    </row>
    <row r="2762" spans="1:21" ht="15" customHeight="1" x14ac:dyDescent="0.35">
      <c r="A2762" s="4">
        <v>45380</v>
      </c>
      <c r="B2762" s="5">
        <f t="shared" si="712"/>
        <v>3</v>
      </c>
      <c r="C2762" s="5">
        <f t="shared" si="713"/>
        <v>2024</v>
      </c>
      <c r="D2762" s="5" t="s">
        <v>2454</v>
      </c>
      <c r="E2762" s="5" t="str">
        <f>VLOOKUP(F2762,'Set up'!$A$2:$C$70,2,FALSE)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up'!$A$2:$C$70,3,FALSE)</f>
        <v>Cash</v>
      </c>
      <c r="J2762" s="5">
        <f>VLOOKUP(F2762,'Set up'!$A$2:$D$70,4,FALSE)</f>
        <v>0</v>
      </c>
      <c r="K2762" s="4">
        <f t="shared" si="714"/>
        <v>45380</v>
      </c>
      <c r="L2762" s="5">
        <f t="shared" si="715"/>
        <v>3</v>
      </c>
      <c r="M2762" s="5">
        <f t="shared" si="716"/>
        <v>2024</v>
      </c>
      <c r="N2762" s="12">
        <v>1404</v>
      </c>
      <c r="O2762" s="6">
        <f t="shared" si="718"/>
        <v>-1404</v>
      </c>
      <c r="P2762" s="6">
        <f t="shared" si="703"/>
        <v>0</v>
      </c>
      <c r="Q2762" s="7">
        <f t="shared" si="709"/>
        <v>4495358.1500000004</v>
      </c>
      <c r="R2762" s="44" t="str">
        <f>VLOOKUP(F2762,'Set up'!$A$2:$E$70,5,FALSE)</f>
        <v>Trsf</v>
      </c>
      <c r="S2762" s="1" t="s">
        <v>3082</v>
      </c>
    </row>
    <row r="2763" spans="1:21" ht="15" customHeight="1" x14ac:dyDescent="0.35">
      <c r="A2763" s="4">
        <v>45380</v>
      </c>
      <c r="B2763" s="5">
        <f t="shared" si="712"/>
        <v>3</v>
      </c>
      <c r="C2763" s="5">
        <f t="shared" si="713"/>
        <v>2024</v>
      </c>
      <c r="D2763" s="5" t="s">
        <v>2454</v>
      </c>
      <c r="E2763" s="5" t="str">
        <f>VLOOKUP(F2763,'Set up'!$A$2:$C$70,2,FALSE)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up'!$A$2:$C$70,3,FALSE)</f>
        <v>Cash</v>
      </c>
      <c r="J2763" s="5">
        <f>VLOOKUP(F2763,'Set up'!$A$2:$D$70,4,FALSE)</f>
        <v>0</v>
      </c>
      <c r="K2763" s="4">
        <f t="shared" si="714"/>
        <v>45380</v>
      </c>
      <c r="L2763" s="5">
        <f t="shared" si="715"/>
        <v>3</v>
      </c>
      <c r="M2763" s="5">
        <f t="shared" si="716"/>
        <v>2024</v>
      </c>
      <c r="N2763" s="12">
        <v>380</v>
      </c>
      <c r="O2763" s="6">
        <f t="shared" si="718"/>
        <v>-380</v>
      </c>
      <c r="P2763" s="6">
        <f t="shared" si="703"/>
        <v>0</v>
      </c>
      <c r="Q2763" s="7">
        <f t="shared" si="709"/>
        <v>4495738.1500000004</v>
      </c>
      <c r="R2763" s="44" t="str">
        <f>VLOOKUP(F2763,'Set up'!$A$2:$E$70,5,FALSE)</f>
        <v>Trsf</v>
      </c>
      <c r="S2763" s="1" t="s">
        <v>3083</v>
      </c>
    </row>
    <row r="2764" spans="1:21" ht="15" customHeight="1" x14ac:dyDescent="0.35">
      <c r="A2764" s="4">
        <v>45381</v>
      </c>
      <c r="B2764" s="5">
        <f t="shared" si="712"/>
        <v>3</v>
      </c>
      <c r="C2764" s="5">
        <f t="shared" si="713"/>
        <v>2024</v>
      </c>
      <c r="D2764" s="5" t="s">
        <v>2455</v>
      </c>
      <c r="E2764" s="5" t="str">
        <f>VLOOKUP(F2764,'Set up'!$A$2:$C$70,2,FALSE)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up'!$A$2:$C$70,3,FALSE)</f>
        <v>Cash</v>
      </c>
      <c r="J2764" s="5">
        <f>VLOOKUP(F2764,'Set up'!$A$2:$D$70,4,FALSE)</f>
        <v>0</v>
      </c>
      <c r="K2764" s="4">
        <f t="shared" si="714"/>
        <v>45381</v>
      </c>
      <c r="L2764" s="5">
        <f t="shared" si="715"/>
        <v>3</v>
      </c>
      <c r="M2764" s="5">
        <f t="shared" si="716"/>
        <v>2024</v>
      </c>
      <c r="N2764" s="12">
        <v>1738</v>
      </c>
      <c r="O2764" s="12"/>
      <c r="P2764" s="6">
        <f t="shared" si="703"/>
        <v>1738</v>
      </c>
      <c r="Q2764" s="7">
        <f t="shared" si="709"/>
        <v>4497476.1500000004</v>
      </c>
      <c r="R2764" s="44" t="str">
        <f>VLOOKUP(F2764,'Set up'!$A$2:$E$70,5,FALSE)</f>
        <v>PD Chq</v>
      </c>
    </row>
    <row r="2765" spans="1:21" ht="15" customHeight="1" x14ac:dyDescent="0.35">
      <c r="A2765" s="4">
        <v>45381</v>
      </c>
      <c r="B2765" s="5">
        <f t="shared" si="712"/>
        <v>3</v>
      </c>
      <c r="C2765" s="5">
        <f t="shared" si="713"/>
        <v>2024</v>
      </c>
      <c r="D2765" s="5" t="s">
        <v>2455</v>
      </c>
      <c r="E2765" s="5" t="str">
        <f>VLOOKUP(F2765,'Set up'!$A$2:$C$70,2,FALSE)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up'!$A$2:$C$70,3,FALSE)</f>
        <v>Cash</v>
      </c>
      <c r="J2765" s="5">
        <f>VLOOKUP(F2765,'Set up'!$A$2:$D$70,4,FALSE)</f>
        <v>0</v>
      </c>
      <c r="K2765" s="4">
        <f t="shared" si="714"/>
        <v>45381</v>
      </c>
      <c r="L2765" s="5">
        <f t="shared" si="715"/>
        <v>3</v>
      </c>
      <c r="M2765" s="5">
        <f t="shared" si="716"/>
        <v>2024</v>
      </c>
      <c r="N2765" s="12">
        <v>832.5</v>
      </c>
      <c r="O2765" s="12"/>
      <c r="P2765" s="6">
        <f t="shared" si="703"/>
        <v>832.5</v>
      </c>
      <c r="Q2765" s="7">
        <f t="shared" si="709"/>
        <v>4498308.6500000004</v>
      </c>
      <c r="R2765" s="44" t="str">
        <f>VLOOKUP(F2765,'Set up'!$A$2:$E$70,5,FALSE)</f>
        <v>PD Chq</v>
      </c>
    </row>
    <row r="2766" spans="1:21" ht="15" customHeight="1" x14ac:dyDescent="0.35">
      <c r="A2766" s="4">
        <v>45381</v>
      </c>
      <c r="B2766" s="5">
        <f t="shared" si="712"/>
        <v>3</v>
      </c>
      <c r="C2766" s="5">
        <f t="shared" si="713"/>
        <v>2024</v>
      </c>
      <c r="D2766" s="5" t="s">
        <v>2455</v>
      </c>
      <c r="E2766" s="5" t="str">
        <f>VLOOKUP(F2766,'Set up'!$A$2:$C$70,2,FALSE)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up'!$A$2:$C$70,3,FALSE)</f>
        <v>Cash</v>
      </c>
      <c r="J2766" s="5">
        <f>VLOOKUP(F2766,'Set up'!$A$2:$D$70,4,FALSE)</f>
        <v>0</v>
      </c>
      <c r="K2766" s="4">
        <f t="shared" si="714"/>
        <v>45381</v>
      </c>
      <c r="L2766" s="5">
        <f t="shared" si="715"/>
        <v>3</v>
      </c>
      <c r="M2766" s="5">
        <f t="shared" si="716"/>
        <v>2024</v>
      </c>
      <c r="N2766" s="12">
        <v>95</v>
      </c>
      <c r="O2766" s="12"/>
      <c r="P2766" s="6">
        <f t="shared" si="703"/>
        <v>95</v>
      </c>
      <c r="Q2766" s="7">
        <f t="shared" si="709"/>
        <v>4498403.6500000004</v>
      </c>
      <c r="R2766" s="44" t="str">
        <f>VLOOKUP(F2766,'Set up'!$A$2:$E$70,5,FALSE)</f>
        <v>PD Chq</v>
      </c>
    </row>
    <row r="2767" spans="1:21" ht="15" customHeight="1" x14ac:dyDescent="0.35">
      <c r="A2767" s="4">
        <v>45381</v>
      </c>
      <c r="B2767" s="5">
        <f t="shared" si="712"/>
        <v>3</v>
      </c>
      <c r="C2767" s="5">
        <f t="shared" si="713"/>
        <v>2024</v>
      </c>
      <c r="D2767" s="5" t="s">
        <v>2456</v>
      </c>
      <c r="E2767" s="5" t="str">
        <f>VLOOKUP(F2767,'Set up'!$A$2:$C$70,2,FALSE)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up'!$A$2:$C$70,3,FALSE)</f>
        <v>45</v>
      </c>
      <c r="J2767" s="5">
        <f>VLOOKUP(F2767,'Set up'!$A$2:$D$70,4,FALSE)</f>
        <v>45</v>
      </c>
      <c r="K2767" s="4">
        <f t="shared" si="714"/>
        <v>45426</v>
      </c>
      <c r="L2767" s="5">
        <f t="shared" si="715"/>
        <v>5</v>
      </c>
      <c r="M2767" s="5">
        <f t="shared" si="716"/>
        <v>2024</v>
      </c>
      <c r="N2767" s="12">
        <v>1738</v>
      </c>
      <c r="O2767" s="12">
        <f>-1000-738</f>
        <v>-1738</v>
      </c>
      <c r="P2767" s="6">
        <f t="shared" si="703"/>
        <v>0</v>
      </c>
      <c r="Q2767" s="7">
        <f t="shared" si="709"/>
        <v>4500141.6500000004</v>
      </c>
      <c r="R2767" s="44" t="str">
        <f>VLOOKUP(F2767,'Set up'!$A$2:$E$70,5,FALSE)</f>
        <v>PD Chq</v>
      </c>
      <c r="S2767" s="1" t="s">
        <v>2830</v>
      </c>
      <c r="U2767" s="1" t="s">
        <v>3603</v>
      </c>
    </row>
    <row r="2768" spans="1:21" ht="15" customHeight="1" x14ac:dyDescent="0.35">
      <c r="A2768" s="4">
        <v>45381</v>
      </c>
      <c r="B2768" s="5">
        <f t="shared" si="712"/>
        <v>3</v>
      </c>
      <c r="C2768" s="5">
        <f t="shared" si="713"/>
        <v>2024</v>
      </c>
      <c r="D2768" s="5" t="s">
        <v>2456</v>
      </c>
      <c r="E2768" s="5" t="str">
        <f>VLOOKUP(F2768,'Set up'!$A$2:$C$70,2,FALSE)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up'!$A$2:$C$70,3,FALSE)</f>
        <v>45</v>
      </c>
      <c r="J2768" s="5">
        <f>VLOOKUP(F2768,'Set up'!$A$2:$D$70,4,FALSE)</f>
        <v>45</v>
      </c>
      <c r="K2768" s="4">
        <f t="shared" si="714"/>
        <v>45426</v>
      </c>
      <c r="L2768" s="5">
        <f t="shared" si="715"/>
        <v>5</v>
      </c>
      <c r="M2768" s="5">
        <f t="shared" si="716"/>
        <v>2024</v>
      </c>
      <c r="N2768" s="12">
        <v>220</v>
      </c>
      <c r="O2768" s="6">
        <f>-N2768</f>
        <v>-220</v>
      </c>
      <c r="P2768" s="6">
        <f t="shared" si="703"/>
        <v>0</v>
      </c>
      <c r="Q2768" s="7">
        <f t="shared" si="709"/>
        <v>4500361.6500000004</v>
      </c>
      <c r="R2768" s="44" t="str">
        <f>VLOOKUP(F2768,'Set up'!$A$2:$E$70,5,FALSE)</f>
        <v>PD Chq</v>
      </c>
      <c r="S2768" s="1" t="s">
        <v>2830</v>
      </c>
      <c r="U2768" s="1" t="s">
        <v>3603</v>
      </c>
    </row>
    <row r="2769" spans="1:19" ht="15" customHeight="1" x14ac:dyDescent="0.35">
      <c r="A2769" s="4">
        <v>45386</v>
      </c>
      <c r="B2769" s="5">
        <f t="shared" si="712"/>
        <v>4</v>
      </c>
      <c r="C2769" s="5">
        <f t="shared" si="713"/>
        <v>2024</v>
      </c>
      <c r="D2769" s="5" t="s">
        <v>2506</v>
      </c>
      <c r="E2769" s="5" t="str">
        <f>VLOOKUP(F2769,'Set up'!$A$2:$C$70,2,FALSE)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up'!$A$2:$C$70,3,FALSE)</f>
        <v>Cash</v>
      </c>
      <c r="J2769" s="5">
        <f>VLOOKUP(F2769,'Set up'!$A$2:$D$70,4,FALSE)</f>
        <v>0</v>
      </c>
      <c r="K2769" s="4">
        <f t="shared" si="714"/>
        <v>45386</v>
      </c>
      <c r="L2769" s="5">
        <f t="shared" si="715"/>
        <v>4</v>
      </c>
      <c r="M2769" s="5">
        <f t="shared" si="716"/>
        <v>2024</v>
      </c>
      <c r="N2769" s="12">
        <v>1650</v>
      </c>
      <c r="O2769" s="6">
        <f t="shared" ref="O2769:O2776" si="719">-N2769</f>
        <v>-1650</v>
      </c>
      <c r="P2769" s="6">
        <f t="shared" si="703"/>
        <v>0</v>
      </c>
      <c r="Q2769" s="7">
        <v>4493023.6499999994</v>
      </c>
      <c r="R2769" s="44" t="str">
        <f>VLOOKUP(F2769,'Set up'!$A$2:$E$70,5,FALSE)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712"/>
        <v>4</v>
      </c>
      <c r="C2770" s="5">
        <f t="shared" si="713"/>
        <v>2024</v>
      </c>
      <c r="D2770" s="5" t="s">
        <v>2506</v>
      </c>
      <c r="E2770" s="5" t="str">
        <f>VLOOKUP(F2770,'Set up'!$A$2:$C$70,2,FALSE)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up'!$A$2:$C$70,3,FALSE)</f>
        <v>Cash</v>
      </c>
      <c r="J2770" s="5">
        <f>VLOOKUP(F2770,'Set up'!$A$2:$D$70,4,FALSE)</f>
        <v>0</v>
      </c>
      <c r="K2770" s="4">
        <f t="shared" si="714"/>
        <v>45386</v>
      </c>
      <c r="L2770" s="5">
        <f t="shared" si="715"/>
        <v>4</v>
      </c>
      <c r="M2770" s="5">
        <f t="shared" si="716"/>
        <v>2024</v>
      </c>
      <c r="N2770" s="12">
        <v>420</v>
      </c>
      <c r="O2770" s="6">
        <f t="shared" si="719"/>
        <v>-420</v>
      </c>
      <c r="P2770" s="6">
        <f t="shared" si="703"/>
        <v>0</v>
      </c>
      <c r="Q2770" s="7">
        <v>4493443.6499999994</v>
      </c>
      <c r="R2770" s="44" t="str">
        <f>VLOOKUP(F2770,'Set up'!$A$2:$E$70,5,FALSE)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712"/>
        <v>4</v>
      </c>
      <c r="C2771" s="5">
        <f t="shared" si="713"/>
        <v>2024</v>
      </c>
      <c r="D2771" s="5" t="s">
        <v>2507</v>
      </c>
      <c r="E2771" s="5" t="str">
        <f>VLOOKUP(F2771,'Set up'!$A$2:$C$70,2,FALSE)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up'!$A$2:$C$70,3,FALSE)</f>
        <v>60</v>
      </c>
      <c r="J2771" s="5">
        <f>VLOOKUP(F2771,'Set up'!$A$2:$D$70,4,FALSE)</f>
        <v>60</v>
      </c>
      <c r="K2771" s="4">
        <f t="shared" si="714"/>
        <v>45447</v>
      </c>
      <c r="L2771" s="5">
        <f t="shared" si="715"/>
        <v>6</v>
      </c>
      <c r="M2771" s="5">
        <f t="shared" si="716"/>
        <v>2024</v>
      </c>
      <c r="N2771" s="12">
        <v>3256</v>
      </c>
      <c r="O2771" s="6">
        <f t="shared" si="719"/>
        <v>-3256</v>
      </c>
      <c r="P2771" s="6">
        <f t="shared" si="703"/>
        <v>0</v>
      </c>
      <c r="Q2771" s="7">
        <v>4495071.6499999994</v>
      </c>
      <c r="R2771" s="44" t="str">
        <f>VLOOKUP(F2771,'Set up'!$A$2:$E$70,5,FALSE)</f>
        <v>Chq</v>
      </c>
      <c r="S2771" s="1" t="s">
        <v>3203</v>
      </c>
    </row>
    <row r="2772" spans="1:19" ht="15" customHeight="1" x14ac:dyDescent="0.35">
      <c r="A2772" s="4">
        <v>45387</v>
      </c>
      <c r="B2772" s="5">
        <f t="shared" si="712"/>
        <v>4</v>
      </c>
      <c r="C2772" s="5">
        <f t="shared" si="713"/>
        <v>2024</v>
      </c>
      <c r="D2772" s="5" t="s">
        <v>2507</v>
      </c>
      <c r="E2772" s="5" t="str">
        <f>VLOOKUP(F2772,'Set up'!$A$2:$C$70,2,FALSE)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up'!$A$2:$C$70,3,FALSE)</f>
        <v>60</v>
      </c>
      <c r="J2772" s="5">
        <f>VLOOKUP(F2772,'Set up'!$A$2:$D$70,4,FALSE)</f>
        <v>60</v>
      </c>
      <c r="K2772" s="4">
        <f t="shared" si="714"/>
        <v>45447</v>
      </c>
      <c r="L2772" s="5">
        <f t="shared" si="715"/>
        <v>6</v>
      </c>
      <c r="M2772" s="5">
        <f t="shared" si="716"/>
        <v>2024</v>
      </c>
      <c r="N2772" s="12">
        <v>1628</v>
      </c>
      <c r="O2772" s="6">
        <f t="shared" si="719"/>
        <v>-1628</v>
      </c>
      <c r="P2772" s="6">
        <f t="shared" si="703"/>
        <v>0</v>
      </c>
      <c r="Q2772" s="7">
        <v>4496699.6499999994</v>
      </c>
      <c r="R2772" s="44" t="str">
        <f>VLOOKUP(F2772,'Set up'!$A$2:$E$70,5,FALSE)</f>
        <v>Chq</v>
      </c>
      <c r="S2772" s="1" t="s">
        <v>3203</v>
      </c>
    </row>
    <row r="2773" spans="1:19" ht="15" customHeight="1" x14ac:dyDescent="0.35">
      <c r="A2773" s="4">
        <v>45387</v>
      </c>
      <c r="B2773" s="5">
        <f t="shared" si="712"/>
        <v>4</v>
      </c>
      <c r="C2773" s="5">
        <f t="shared" si="713"/>
        <v>2024</v>
      </c>
      <c r="D2773" s="5" t="s">
        <v>2507</v>
      </c>
      <c r="E2773" s="5" t="str">
        <f>VLOOKUP(F2773,'Set up'!$A$2:$C$70,2,FALSE)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up'!$A$2:$C$70,3,FALSE)</f>
        <v>60</v>
      </c>
      <c r="J2773" s="5">
        <f>VLOOKUP(F2773,'Set up'!$A$2:$D$70,4,FALSE)</f>
        <v>60</v>
      </c>
      <c r="K2773" s="4">
        <f t="shared" si="714"/>
        <v>45447</v>
      </c>
      <c r="L2773" s="5">
        <f t="shared" si="715"/>
        <v>6</v>
      </c>
      <c r="M2773" s="5">
        <f t="shared" si="716"/>
        <v>2024</v>
      </c>
      <c r="N2773" s="12">
        <v>626.4</v>
      </c>
      <c r="O2773" s="6">
        <f t="shared" si="719"/>
        <v>-626.4</v>
      </c>
      <c r="P2773" s="6">
        <f t="shared" ref="P2773:P2836" si="720">SUM(N2773+O2773)</f>
        <v>0</v>
      </c>
      <c r="Q2773" s="7">
        <v>4497326.05</v>
      </c>
      <c r="R2773" s="44" t="str">
        <f>VLOOKUP(F2773,'Set up'!$A$2:$E$70,5,FALSE)</f>
        <v>Chq</v>
      </c>
      <c r="S2773" s="1" t="s">
        <v>3203</v>
      </c>
    </row>
    <row r="2774" spans="1:19" ht="15" customHeight="1" x14ac:dyDescent="0.35">
      <c r="A2774" s="4">
        <v>45387</v>
      </c>
      <c r="B2774" s="5">
        <f t="shared" si="712"/>
        <v>4</v>
      </c>
      <c r="C2774" s="5">
        <f t="shared" si="713"/>
        <v>2024</v>
      </c>
      <c r="D2774" s="5" t="s">
        <v>2507</v>
      </c>
      <c r="E2774" s="5" t="str">
        <f>VLOOKUP(F2774,'Set up'!$A$2:$C$70,2,FALSE)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up'!$A$2:$C$70,3,FALSE)</f>
        <v>60</v>
      </c>
      <c r="J2774" s="5">
        <f>VLOOKUP(F2774,'Set up'!$A$2:$D$70,4,FALSE)</f>
        <v>60</v>
      </c>
      <c r="K2774" s="4">
        <f t="shared" si="714"/>
        <v>45447</v>
      </c>
      <c r="L2774" s="5">
        <f t="shared" si="715"/>
        <v>6</v>
      </c>
      <c r="M2774" s="5">
        <f t="shared" si="716"/>
        <v>2024</v>
      </c>
      <c r="N2774" s="12">
        <v>626.4</v>
      </c>
      <c r="O2774" s="6">
        <f t="shared" si="719"/>
        <v>-626.4</v>
      </c>
      <c r="P2774" s="6">
        <f t="shared" si="720"/>
        <v>0</v>
      </c>
      <c r="Q2774" s="7">
        <v>4497952.45</v>
      </c>
      <c r="R2774" s="44" t="str">
        <f>VLOOKUP(F2774,'Set up'!$A$2:$E$70,5,FALSE)</f>
        <v>Chq</v>
      </c>
      <c r="S2774" s="1" t="s">
        <v>3203</v>
      </c>
    </row>
    <row r="2775" spans="1:19" ht="15" customHeight="1" x14ac:dyDescent="0.35">
      <c r="A2775" s="4">
        <v>45387</v>
      </c>
      <c r="B2775" s="5">
        <f t="shared" si="712"/>
        <v>4</v>
      </c>
      <c r="C2775" s="5">
        <f t="shared" si="713"/>
        <v>2024</v>
      </c>
      <c r="D2775" s="5" t="s">
        <v>2507</v>
      </c>
      <c r="E2775" s="5" t="str">
        <f>VLOOKUP(F2775,'Set up'!$A$2:$C$70,2,FALSE)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up'!$A$2:$C$70,3,FALSE)</f>
        <v>60</v>
      </c>
      <c r="J2775" s="5">
        <f>VLOOKUP(F2775,'Set up'!$A$2:$D$70,4,FALSE)</f>
        <v>60</v>
      </c>
      <c r="K2775" s="4">
        <f t="shared" si="714"/>
        <v>45447</v>
      </c>
      <c r="L2775" s="5">
        <f t="shared" si="715"/>
        <v>6</v>
      </c>
      <c r="M2775" s="5">
        <f t="shared" si="716"/>
        <v>2024</v>
      </c>
      <c r="N2775" s="12">
        <v>62.5</v>
      </c>
      <c r="O2775" s="6">
        <f t="shared" si="719"/>
        <v>-62.5</v>
      </c>
      <c r="P2775" s="6">
        <f t="shared" si="720"/>
        <v>0</v>
      </c>
      <c r="Q2775" s="7">
        <v>4498014.95</v>
      </c>
      <c r="R2775" s="44" t="str">
        <f>VLOOKUP(F2775,'Set up'!$A$2:$E$70,5,FALSE)</f>
        <v>Chq</v>
      </c>
      <c r="S2775" s="1" t="s">
        <v>3203</v>
      </c>
    </row>
    <row r="2776" spans="1:19" ht="15" customHeight="1" x14ac:dyDescent="0.35">
      <c r="A2776" s="4">
        <v>45387</v>
      </c>
      <c r="B2776" s="5">
        <f t="shared" si="712"/>
        <v>4</v>
      </c>
      <c r="C2776" s="5">
        <f t="shared" si="713"/>
        <v>2024</v>
      </c>
      <c r="D2776" s="5" t="s">
        <v>2507</v>
      </c>
      <c r="E2776" s="5" t="str">
        <f>VLOOKUP(F2776,'Set up'!$A$2:$C$70,2,FALSE)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up'!$A$2:$C$70,3,FALSE)</f>
        <v>60</v>
      </c>
      <c r="J2776" s="5">
        <f>VLOOKUP(F2776,'Set up'!$A$2:$D$70,4,FALSE)</f>
        <v>60</v>
      </c>
      <c r="K2776" s="4">
        <f t="shared" si="714"/>
        <v>45447</v>
      </c>
      <c r="L2776" s="5">
        <f t="shared" si="715"/>
        <v>6</v>
      </c>
      <c r="M2776" s="5">
        <f t="shared" si="716"/>
        <v>2024</v>
      </c>
      <c r="N2776" s="12">
        <v>420</v>
      </c>
      <c r="O2776" s="6">
        <f t="shared" si="719"/>
        <v>-420</v>
      </c>
      <c r="P2776" s="6">
        <f t="shared" si="720"/>
        <v>0</v>
      </c>
      <c r="Q2776" s="7">
        <v>4498434.95</v>
      </c>
      <c r="R2776" s="44" t="str">
        <f>VLOOKUP(F2776,'Set up'!$A$2:$E$70,5,FALSE)</f>
        <v>Chq</v>
      </c>
      <c r="S2776" s="1" t="s">
        <v>3203</v>
      </c>
    </row>
    <row r="2777" spans="1:19" ht="15" customHeight="1" x14ac:dyDescent="0.35">
      <c r="A2777" s="4">
        <v>45390</v>
      </c>
      <c r="B2777" s="5">
        <f t="shared" si="712"/>
        <v>4</v>
      </c>
      <c r="C2777" s="5">
        <f t="shared" si="713"/>
        <v>2024</v>
      </c>
      <c r="D2777" s="5" t="s">
        <v>2508</v>
      </c>
      <c r="E2777" s="5" t="str">
        <f>VLOOKUP(F2777,'Set up'!$A$2:$C$70,2,FALSE)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up'!$A$2:$C$70,3,FALSE)</f>
        <v>60</v>
      </c>
      <c r="J2777" s="5">
        <f>VLOOKUP(F2777,'Set up'!$A$2:$D$70,4,FALSE)</f>
        <v>60</v>
      </c>
      <c r="K2777" s="4">
        <f t="shared" si="714"/>
        <v>45450</v>
      </c>
      <c r="L2777" s="5">
        <f t="shared" si="715"/>
        <v>6</v>
      </c>
      <c r="M2777" s="5">
        <f t="shared" si="716"/>
        <v>2024</v>
      </c>
      <c r="N2777" s="12">
        <v>260</v>
      </c>
      <c r="O2777" s="6">
        <f t="shared" ref="O2777" si="721">-N2777</f>
        <v>-260</v>
      </c>
      <c r="P2777" s="6">
        <f t="shared" si="720"/>
        <v>0</v>
      </c>
      <c r="Q2777" s="7">
        <v>4498694.95</v>
      </c>
      <c r="R2777" s="44" t="str">
        <f>VLOOKUP(F2777,'Set up'!$A$2:$E$70,5,FALSE)</f>
        <v>Chq</v>
      </c>
      <c r="S2777" s="1" t="s">
        <v>3036</v>
      </c>
    </row>
    <row r="2778" spans="1:19" ht="15" customHeight="1" x14ac:dyDescent="0.35">
      <c r="A2778" s="4">
        <v>45390</v>
      </c>
      <c r="B2778" s="5">
        <f t="shared" si="712"/>
        <v>4</v>
      </c>
      <c r="C2778" s="5">
        <f t="shared" si="713"/>
        <v>2024</v>
      </c>
      <c r="D2778" s="5" t="s">
        <v>2509</v>
      </c>
      <c r="E2778" s="5" t="str">
        <f>VLOOKUP(F2778,'Set up'!$A$2:$C$70,2,FALSE)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up'!$A$2:$C$70,3,FALSE)</f>
        <v>Cash</v>
      </c>
      <c r="J2778" s="5">
        <f>VLOOKUP(F2778,'Set up'!$A$2:$D$70,4,FALSE)</f>
        <v>0</v>
      </c>
      <c r="K2778" s="4">
        <f t="shared" si="714"/>
        <v>45390</v>
      </c>
      <c r="L2778" s="5">
        <f t="shared" si="715"/>
        <v>4</v>
      </c>
      <c r="M2778" s="5">
        <f t="shared" si="716"/>
        <v>2024</v>
      </c>
      <c r="N2778" s="12">
        <v>1738</v>
      </c>
      <c r="O2778" s="12">
        <f>-188.7-1000-549.3</f>
        <v>-1738</v>
      </c>
      <c r="P2778" s="6">
        <f t="shared" si="720"/>
        <v>0</v>
      </c>
      <c r="Q2778" s="7">
        <v>4500432.95</v>
      </c>
      <c r="R2778" s="44" t="str">
        <f>VLOOKUP(F2778,'Set up'!$A$2:$E$70,5,FALSE)</f>
        <v>Trsf</v>
      </c>
      <c r="S2778" s="1" t="s">
        <v>3756</v>
      </c>
    </row>
    <row r="2779" spans="1:19" ht="15" customHeight="1" x14ac:dyDescent="0.35">
      <c r="A2779" s="4">
        <v>45390</v>
      </c>
      <c r="B2779" s="5">
        <f t="shared" si="712"/>
        <v>4</v>
      </c>
      <c r="C2779" s="5">
        <f t="shared" si="713"/>
        <v>2024</v>
      </c>
      <c r="D2779" s="5" t="s">
        <v>2509</v>
      </c>
      <c r="E2779" s="5" t="str">
        <f>VLOOKUP(F2779,'Set up'!$A$2:$C$70,2,FALSE)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up'!$A$2:$C$70,3,FALSE)</f>
        <v>Cash</v>
      </c>
      <c r="J2779" s="5">
        <f>VLOOKUP(F2779,'Set up'!$A$2:$D$70,4,FALSE)</f>
        <v>0</v>
      </c>
      <c r="K2779" s="4">
        <f t="shared" si="714"/>
        <v>45390</v>
      </c>
      <c r="L2779" s="5">
        <f t="shared" si="715"/>
        <v>4</v>
      </c>
      <c r="M2779" s="5">
        <f t="shared" si="716"/>
        <v>2024</v>
      </c>
      <c r="N2779" s="12">
        <v>405</v>
      </c>
      <c r="O2779" s="12">
        <f>-405</f>
        <v>-405</v>
      </c>
      <c r="P2779" s="6">
        <f t="shared" si="720"/>
        <v>0</v>
      </c>
      <c r="Q2779" s="7">
        <v>4500837.95</v>
      </c>
      <c r="R2779" s="44" t="str">
        <f>VLOOKUP(F2779,'Set up'!$A$2:$E$70,5,FALSE)</f>
        <v>Trsf</v>
      </c>
      <c r="S2779" s="1" t="s">
        <v>3757</v>
      </c>
    </row>
    <row r="2780" spans="1:19" ht="15" customHeight="1" x14ac:dyDescent="0.35">
      <c r="A2780" s="4">
        <v>45390</v>
      </c>
      <c r="B2780" s="5">
        <f t="shared" si="712"/>
        <v>4</v>
      </c>
      <c r="C2780" s="5">
        <f t="shared" si="713"/>
        <v>2024</v>
      </c>
      <c r="D2780" s="5" t="s">
        <v>2509</v>
      </c>
      <c r="E2780" s="5" t="str">
        <f>VLOOKUP(F2780,'Set up'!$A$2:$C$70,2,FALSE)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up'!$A$2:$C$70,3,FALSE)</f>
        <v>Cash</v>
      </c>
      <c r="J2780" s="5">
        <f>VLOOKUP(F2780,'Set up'!$A$2:$D$70,4,FALSE)</f>
        <v>0</v>
      </c>
      <c r="K2780" s="4">
        <f t="shared" si="714"/>
        <v>45390</v>
      </c>
      <c r="L2780" s="5">
        <f t="shared" si="715"/>
        <v>4</v>
      </c>
      <c r="M2780" s="5">
        <f t="shared" si="716"/>
        <v>2024</v>
      </c>
      <c r="N2780" s="12">
        <v>395</v>
      </c>
      <c r="O2780" s="12">
        <f>-395</f>
        <v>-395</v>
      </c>
      <c r="P2780" s="6">
        <f t="shared" si="720"/>
        <v>0</v>
      </c>
      <c r="Q2780" s="7">
        <v>4501232.95</v>
      </c>
      <c r="R2780" s="44" t="str">
        <f>VLOOKUP(F2780,'Set up'!$A$2:$E$70,5,FALSE)</f>
        <v>Trsf</v>
      </c>
      <c r="S2780" s="1" t="s">
        <v>3758</v>
      </c>
    </row>
    <row r="2781" spans="1:19" ht="15" customHeight="1" x14ac:dyDescent="0.35">
      <c r="A2781" s="4">
        <v>45390</v>
      </c>
      <c r="B2781" s="5">
        <f t="shared" si="712"/>
        <v>4</v>
      </c>
      <c r="C2781" s="5">
        <f t="shared" si="713"/>
        <v>2024</v>
      </c>
      <c r="D2781" s="5" t="s">
        <v>2509</v>
      </c>
      <c r="E2781" s="5" t="str">
        <f>VLOOKUP(F2781,'Set up'!$A$2:$C$70,2,FALSE)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up'!$A$2:$C$70,3,FALSE)</f>
        <v>Cash</v>
      </c>
      <c r="J2781" s="5">
        <f>VLOOKUP(F2781,'Set up'!$A$2:$D$70,4,FALSE)</f>
        <v>0</v>
      </c>
      <c r="K2781" s="4">
        <f t="shared" si="714"/>
        <v>45390</v>
      </c>
      <c r="L2781" s="5">
        <f t="shared" si="715"/>
        <v>4</v>
      </c>
      <c r="M2781" s="5">
        <f t="shared" si="716"/>
        <v>2024</v>
      </c>
      <c r="N2781" s="12">
        <v>150</v>
      </c>
      <c r="O2781" s="12">
        <f>-50.7-99.3</f>
        <v>-150</v>
      </c>
      <c r="P2781" s="6">
        <f t="shared" si="720"/>
        <v>0</v>
      </c>
      <c r="Q2781" s="7">
        <v>4501382.95</v>
      </c>
      <c r="R2781" s="44" t="str">
        <f>VLOOKUP(F2781,'Set up'!$A$2:$E$70,5,FALSE)</f>
        <v>Trsf</v>
      </c>
      <c r="S2781" s="1" t="s">
        <v>3895</v>
      </c>
    </row>
    <row r="2782" spans="1:19" ht="15" customHeight="1" x14ac:dyDescent="0.35">
      <c r="A2782" s="4">
        <v>45390</v>
      </c>
      <c r="B2782" s="5">
        <f t="shared" si="712"/>
        <v>4</v>
      </c>
      <c r="C2782" s="5">
        <f t="shared" si="713"/>
        <v>2024</v>
      </c>
      <c r="D2782" s="5" t="s">
        <v>2510</v>
      </c>
      <c r="E2782" s="5" t="str">
        <f>VLOOKUP(F2782,'Set up'!$A$2:$C$70,2,FALSE)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up'!$A$2:$C$70,3,FALSE)</f>
        <v>Cash</v>
      </c>
      <c r="J2782" s="5">
        <f>VLOOKUP(F2782,'Set up'!$A$2:$D$70,4,FALSE)</f>
        <v>0</v>
      </c>
      <c r="K2782" s="4">
        <f t="shared" si="714"/>
        <v>45390</v>
      </c>
      <c r="L2782" s="5">
        <f t="shared" si="715"/>
        <v>4</v>
      </c>
      <c r="M2782" s="5">
        <f t="shared" si="716"/>
        <v>2024</v>
      </c>
      <c r="N2782" s="12">
        <v>1738</v>
      </c>
      <c r="O2782" s="12"/>
      <c r="P2782" s="6">
        <f t="shared" si="720"/>
        <v>1738</v>
      </c>
      <c r="Q2782" s="7">
        <v>4503120.95</v>
      </c>
      <c r="R2782" s="44" t="str">
        <f>VLOOKUP(F2782,'Set up'!$A$2:$E$70,5,FALSE)</f>
        <v>PD Chq</v>
      </c>
    </row>
    <row r="2783" spans="1:19" ht="15" customHeight="1" x14ac:dyDescent="0.35">
      <c r="A2783" s="4">
        <v>45390</v>
      </c>
      <c r="B2783" s="5">
        <f t="shared" si="712"/>
        <v>4</v>
      </c>
      <c r="C2783" s="5">
        <f t="shared" si="713"/>
        <v>2024</v>
      </c>
      <c r="D2783" s="5" t="s">
        <v>2510</v>
      </c>
      <c r="E2783" s="5" t="str">
        <f>VLOOKUP(F2783,'Set up'!$A$2:$C$70,2,FALSE)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up'!$A$2:$C$70,3,FALSE)</f>
        <v>Cash</v>
      </c>
      <c r="J2783" s="5">
        <f>VLOOKUP(F2783,'Set up'!$A$2:$D$70,4,FALSE)</f>
        <v>0</v>
      </c>
      <c r="K2783" s="4">
        <f t="shared" si="714"/>
        <v>45390</v>
      </c>
      <c r="L2783" s="5">
        <f t="shared" si="715"/>
        <v>4</v>
      </c>
      <c r="M2783" s="5">
        <f t="shared" si="716"/>
        <v>2024</v>
      </c>
      <c r="N2783" s="12">
        <v>832.5</v>
      </c>
      <c r="O2783" s="12"/>
      <c r="P2783" s="6">
        <f t="shared" si="720"/>
        <v>832.5</v>
      </c>
      <c r="Q2783" s="7">
        <v>4503953.45</v>
      </c>
      <c r="R2783" s="44" t="str">
        <f>VLOOKUP(F2783,'Set up'!$A$2:$E$70,5,FALSE)</f>
        <v>PD Chq</v>
      </c>
    </row>
    <row r="2784" spans="1:19" ht="15" customHeight="1" x14ac:dyDescent="0.35">
      <c r="A2784" s="4">
        <v>45390</v>
      </c>
      <c r="B2784" s="5">
        <f t="shared" si="712"/>
        <v>4</v>
      </c>
      <c r="C2784" s="5">
        <f t="shared" si="713"/>
        <v>2024</v>
      </c>
      <c r="D2784" s="5" t="s">
        <v>2510</v>
      </c>
      <c r="E2784" s="5" t="str">
        <f>VLOOKUP(F2784,'Set up'!$A$2:$C$70,2,FALSE)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up'!$A$2:$C$70,3,FALSE)</f>
        <v>Cash</v>
      </c>
      <c r="J2784" s="5">
        <f>VLOOKUP(F2784,'Set up'!$A$2:$D$70,4,FALSE)</f>
        <v>0</v>
      </c>
      <c r="K2784" s="4">
        <f t="shared" si="714"/>
        <v>45390</v>
      </c>
      <c r="L2784" s="5">
        <f t="shared" si="715"/>
        <v>4</v>
      </c>
      <c r="M2784" s="5">
        <f t="shared" si="716"/>
        <v>2024</v>
      </c>
      <c r="N2784" s="12">
        <v>95</v>
      </c>
      <c r="O2784" s="12"/>
      <c r="P2784" s="6">
        <f t="shared" si="720"/>
        <v>95</v>
      </c>
      <c r="Q2784" s="7">
        <v>4504048.45</v>
      </c>
      <c r="R2784" s="44" t="str">
        <f>VLOOKUP(F2784,'Set up'!$A$2:$E$70,5,FALSE)</f>
        <v>PD Chq</v>
      </c>
    </row>
    <row r="2785" spans="1:19" ht="15" customHeight="1" x14ac:dyDescent="0.35">
      <c r="A2785" s="4">
        <v>45388</v>
      </c>
      <c r="B2785" s="5">
        <f t="shared" si="712"/>
        <v>4</v>
      </c>
      <c r="C2785" s="5">
        <f t="shared" si="713"/>
        <v>2024</v>
      </c>
      <c r="D2785" s="5" t="s">
        <v>2511</v>
      </c>
      <c r="E2785" s="5" t="str">
        <f>VLOOKUP(F2785,'Set up'!$A$2:$C$70,2,FALSE)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up'!$A$2:$C$70,3,FALSE)</f>
        <v>Cash</v>
      </c>
      <c r="J2785" s="5">
        <f>VLOOKUP(F2785,'Set up'!$A$2:$D$70,4,FALSE)</f>
        <v>0</v>
      </c>
      <c r="K2785" s="4">
        <f t="shared" si="714"/>
        <v>45388</v>
      </c>
      <c r="L2785" s="5">
        <f t="shared" si="715"/>
        <v>4</v>
      </c>
      <c r="M2785" s="5">
        <f t="shared" si="716"/>
        <v>2024</v>
      </c>
      <c r="N2785" s="12">
        <v>1000</v>
      </c>
      <c r="O2785" s="6">
        <f>-382.6-617.4</f>
        <v>-1000</v>
      </c>
      <c r="P2785" s="6">
        <f t="shared" si="720"/>
        <v>0</v>
      </c>
      <c r="Q2785" s="7">
        <v>4505048.45</v>
      </c>
      <c r="R2785" s="44" t="str">
        <f>VLOOKUP(F2785,'Set up'!$A$2:$E$70,5,FALSE)</f>
        <v>Trsf</v>
      </c>
      <c r="S2785" s="1" t="s">
        <v>3084</v>
      </c>
    </row>
    <row r="2786" spans="1:19" ht="15" customHeight="1" x14ac:dyDescent="0.35">
      <c r="A2786" s="4">
        <v>45394</v>
      </c>
      <c r="B2786" s="5">
        <f t="shared" si="712"/>
        <v>4</v>
      </c>
      <c r="C2786" s="5">
        <f t="shared" si="713"/>
        <v>2024</v>
      </c>
      <c r="D2786" s="5" t="s">
        <v>2512</v>
      </c>
      <c r="E2786" s="5" t="str">
        <f>VLOOKUP(F2786,'Set up'!$A$2:$C$70,2,FALSE)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up'!$A$2:$C$70,3,FALSE)</f>
        <v>Cash</v>
      </c>
      <c r="J2786" s="5">
        <f>VLOOKUP(F2786,'Set up'!$A$2:$D$70,4,FALSE)</f>
        <v>0</v>
      </c>
      <c r="K2786" s="4">
        <f t="shared" si="714"/>
        <v>45394</v>
      </c>
      <c r="L2786" s="5">
        <f t="shared" si="715"/>
        <v>4</v>
      </c>
      <c r="M2786" s="5">
        <f t="shared" si="716"/>
        <v>2024</v>
      </c>
      <c r="N2786" s="12">
        <v>3476</v>
      </c>
      <c r="O2786" s="6">
        <f>-N2786</f>
        <v>-3476</v>
      </c>
      <c r="P2786" s="6">
        <f t="shared" si="720"/>
        <v>0</v>
      </c>
      <c r="Q2786" s="7">
        <v>4508524.45</v>
      </c>
      <c r="R2786" s="44" t="str">
        <f>VLOOKUP(F2786,'Set up'!$A$2:$E$70,5,FALSE)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712"/>
        <v>4</v>
      </c>
      <c r="C2787" s="5">
        <f t="shared" si="713"/>
        <v>2024</v>
      </c>
      <c r="D2787" s="5" t="s">
        <v>2512</v>
      </c>
      <c r="E2787" s="5" t="str">
        <f>VLOOKUP(F2787,'Set up'!$A$2:$C$70,2,FALSE)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up'!$A$2:$C$70,3,FALSE)</f>
        <v>Cash</v>
      </c>
      <c r="J2787" s="5">
        <f>VLOOKUP(F2787,'Set up'!$A$2:$D$70,4,FALSE)</f>
        <v>0</v>
      </c>
      <c r="K2787" s="4">
        <f t="shared" si="714"/>
        <v>45394</v>
      </c>
      <c r="L2787" s="5">
        <f t="shared" si="715"/>
        <v>4</v>
      </c>
      <c r="M2787" s="5">
        <f t="shared" si="716"/>
        <v>2024</v>
      </c>
      <c r="N2787" s="12">
        <v>675</v>
      </c>
      <c r="O2787" s="6">
        <f>-N2787</f>
        <v>-675</v>
      </c>
      <c r="P2787" s="6">
        <f t="shared" si="720"/>
        <v>0</v>
      </c>
      <c r="Q2787" s="7">
        <v>4509199.45</v>
      </c>
      <c r="R2787" s="44" t="str">
        <f>VLOOKUP(F2787,'Set up'!$A$2:$E$70,5,FALSE)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712"/>
        <v>4</v>
      </c>
      <c r="C2788" s="5">
        <f t="shared" si="713"/>
        <v>2024</v>
      </c>
      <c r="D2788" s="5" t="s">
        <v>2513</v>
      </c>
      <c r="E2788" s="5" t="str">
        <f>VLOOKUP(F2788,'Set up'!$A$2:$C$70,2,FALSE)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up'!$A$2:$C$70,3,FALSE)</f>
        <v>Cash</v>
      </c>
      <c r="J2788" s="5">
        <f>VLOOKUP(F2788,'Set up'!$A$2:$D$70,4,FALSE)</f>
        <v>0</v>
      </c>
      <c r="K2788" s="4">
        <f t="shared" si="714"/>
        <v>45394</v>
      </c>
      <c r="L2788" s="5">
        <f t="shared" si="715"/>
        <v>4</v>
      </c>
      <c r="M2788" s="5">
        <f t="shared" si="716"/>
        <v>2024</v>
      </c>
      <c r="N2788" s="12">
        <v>375</v>
      </c>
      <c r="O2788" s="6">
        <f t="shared" ref="O2788:O2793" si="722">-N2788</f>
        <v>-375</v>
      </c>
      <c r="P2788" s="6">
        <f t="shared" si="720"/>
        <v>0</v>
      </c>
      <c r="Q2788" s="7">
        <v>4509574.45</v>
      </c>
      <c r="R2788" s="44" t="str">
        <f>VLOOKUP(F2788,'Set up'!$A$2:$E$70,5,FALSE)</f>
        <v>Trsf</v>
      </c>
      <c r="S2788" s="1" t="s">
        <v>3085</v>
      </c>
    </row>
    <row r="2789" spans="1:19" ht="15" customHeight="1" x14ac:dyDescent="0.35">
      <c r="A2789" s="4">
        <v>45394</v>
      </c>
      <c r="B2789" s="5">
        <f t="shared" si="712"/>
        <v>4</v>
      </c>
      <c r="C2789" s="5">
        <f t="shared" si="713"/>
        <v>2024</v>
      </c>
      <c r="D2789" s="5" t="s">
        <v>2514</v>
      </c>
      <c r="E2789" s="5" t="str">
        <f>VLOOKUP(F2789,'Set up'!$A$2:$C$70,2,FALSE)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up'!$A$2:$C$70,3,FALSE)</f>
        <v>Cash</v>
      </c>
      <c r="J2789" s="5">
        <f>VLOOKUP(F2789,'Set up'!$A$2:$D$70,4,FALSE)</f>
        <v>0</v>
      </c>
      <c r="K2789" s="4">
        <f t="shared" si="714"/>
        <v>45394</v>
      </c>
      <c r="L2789" s="5">
        <f t="shared" si="715"/>
        <v>4</v>
      </c>
      <c r="M2789" s="5">
        <f t="shared" si="716"/>
        <v>2024</v>
      </c>
      <c r="N2789" s="12">
        <v>9768</v>
      </c>
      <c r="O2789" s="6">
        <f t="shared" si="722"/>
        <v>-9768</v>
      </c>
      <c r="P2789" s="6">
        <f t="shared" si="720"/>
        <v>0</v>
      </c>
      <c r="Q2789" s="7">
        <v>4519342.45</v>
      </c>
      <c r="R2789" s="44" t="str">
        <f>VLOOKUP(F2789,'Set up'!$A$2:$E$70,5,FALSE)</f>
        <v>Trsf</v>
      </c>
      <c r="S2789" s="1" t="s">
        <v>3086</v>
      </c>
    </row>
    <row r="2790" spans="1:19" ht="15" customHeight="1" x14ac:dyDescent="0.35">
      <c r="A2790" s="4">
        <v>45394</v>
      </c>
      <c r="B2790" s="5">
        <f t="shared" si="712"/>
        <v>4</v>
      </c>
      <c r="C2790" s="5">
        <f t="shared" si="713"/>
        <v>2024</v>
      </c>
      <c r="D2790" s="5" t="s">
        <v>2514</v>
      </c>
      <c r="E2790" s="5" t="str">
        <f>VLOOKUP(F2790,'Set up'!$A$2:$C$70,2,FALSE)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up'!$A$2:$C$70,3,FALSE)</f>
        <v>Cash</v>
      </c>
      <c r="J2790" s="5">
        <f>VLOOKUP(F2790,'Set up'!$A$2:$D$70,4,FALSE)</f>
        <v>0</v>
      </c>
      <c r="K2790" s="4">
        <f t="shared" si="714"/>
        <v>45394</v>
      </c>
      <c r="L2790" s="5">
        <f t="shared" si="715"/>
        <v>4</v>
      </c>
      <c r="M2790" s="5">
        <f t="shared" si="716"/>
        <v>2024</v>
      </c>
      <c r="N2790" s="12">
        <v>3480</v>
      </c>
      <c r="O2790" s="6">
        <f t="shared" si="722"/>
        <v>-3480</v>
      </c>
      <c r="P2790" s="6">
        <f t="shared" si="720"/>
        <v>0</v>
      </c>
      <c r="Q2790" s="7">
        <v>4522822.45</v>
      </c>
      <c r="R2790" s="44" t="str">
        <f>VLOOKUP(F2790,'Set up'!$A$2:$E$70,5,FALSE)</f>
        <v>Trsf</v>
      </c>
      <c r="S2790" s="1" t="s">
        <v>3087</v>
      </c>
    </row>
    <row r="2791" spans="1:19" ht="15" customHeight="1" x14ac:dyDescent="0.35">
      <c r="A2791" s="4">
        <v>45394</v>
      </c>
      <c r="B2791" s="5">
        <f t="shared" si="712"/>
        <v>4</v>
      </c>
      <c r="C2791" s="5">
        <f t="shared" si="713"/>
        <v>2024</v>
      </c>
      <c r="D2791" s="5" t="s">
        <v>2514</v>
      </c>
      <c r="E2791" s="5" t="str">
        <f>VLOOKUP(F2791,'Set up'!$A$2:$C$70,2,FALSE)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up'!$A$2:$C$70,3,FALSE)</f>
        <v>Cash</v>
      </c>
      <c r="J2791" s="5">
        <f>VLOOKUP(F2791,'Set up'!$A$2:$D$70,4,FALSE)</f>
        <v>0</v>
      </c>
      <c r="K2791" s="4">
        <f t="shared" si="714"/>
        <v>45394</v>
      </c>
      <c r="L2791" s="5">
        <f t="shared" si="715"/>
        <v>4</v>
      </c>
      <c r="M2791" s="5">
        <f t="shared" si="716"/>
        <v>2024</v>
      </c>
      <c r="N2791" s="12">
        <v>2340</v>
      </c>
      <c r="O2791" s="6">
        <f t="shared" si="722"/>
        <v>-2340</v>
      </c>
      <c r="P2791" s="6">
        <f t="shared" si="720"/>
        <v>0</v>
      </c>
      <c r="Q2791" s="7">
        <v>4525162.45</v>
      </c>
      <c r="R2791" s="44" t="str">
        <f>VLOOKUP(F2791,'Set up'!$A$2:$E$70,5,FALSE)</f>
        <v>Trsf</v>
      </c>
      <c r="S2791" s="1" t="s">
        <v>3088</v>
      </c>
    </row>
    <row r="2792" spans="1:19" ht="15" customHeight="1" x14ac:dyDescent="0.35">
      <c r="A2792" s="4">
        <v>45394</v>
      </c>
      <c r="B2792" s="5">
        <f t="shared" si="712"/>
        <v>4</v>
      </c>
      <c r="C2792" s="5">
        <f t="shared" si="713"/>
        <v>2024</v>
      </c>
      <c r="D2792" s="5" t="s">
        <v>2514</v>
      </c>
      <c r="E2792" s="5" t="str">
        <f>VLOOKUP(F2792,'Set up'!$A$2:$C$70,2,FALSE)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up'!$A$2:$C$70,3,FALSE)</f>
        <v>Cash</v>
      </c>
      <c r="J2792" s="5">
        <f>VLOOKUP(F2792,'Set up'!$A$2:$D$70,4,FALSE)</f>
        <v>0</v>
      </c>
      <c r="K2792" s="4">
        <f t="shared" si="714"/>
        <v>45394</v>
      </c>
      <c r="L2792" s="5">
        <f t="shared" si="715"/>
        <v>4</v>
      </c>
      <c r="M2792" s="5">
        <f t="shared" si="716"/>
        <v>2024</v>
      </c>
      <c r="N2792" s="12">
        <v>380</v>
      </c>
      <c r="O2792" s="6">
        <f t="shared" si="722"/>
        <v>-380</v>
      </c>
      <c r="P2792" s="6">
        <f t="shared" si="720"/>
        <v>0</v>
      </c>
      <c r="Q2792" s="7">
        <v>4525542.45</v>
      </c>
      <c r="R2792" s="44" t="str">
        <f>VLOOKUP(F2792,'Set up'!$A$2:$E$70,5,FALSE)</f>
        <v>Trsf</v>
      </c>
      <c r="S2792" s="1" t="s">
        <v>3089</v>
      </c>
    </row>
    <row r="2793" spans="1:19" ht="15" customHeight="1" x14ac:dyDescent="0.35">
      <c r="A2793" s="4">
        <v>45394</v>
      </c>
      <c r="B2793" s="5">
        <f t="shared" si="712"/>
        <v>4</v>
      </c>
      <c r="C2793" s="5">
        <f t="shared" si="713"/>
        <v>2024</v>
      </c>
      <c r="D2793" s="5" t="s">
        <v>2514</v>
      </c>
      <c r="E2793" s="5" t="str">
        <f>VLOOKUP(F2793,'Set up'!$A$2:$C$70,2,FALSE)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up'!$A$2:$C$70,3,FALSE)</f>
        <v>Cash</v>
      </c>
      <c r="J2793" s="5">
        <f>VLOOKUP(F2793,'Set up'!$A$2:$D$70,4,FALSE)</f>
        <v>0</v>
      </c>
      <c r="K2793" s="4">
        <f t="shared" si="714"/>
        <v>45394</v>
      </c>
      <c r="L2793" s="5">
        <f t="shared" si="715"/>
        <v>4</v>
      </c>
      <c r="M2793" s="5">
        <f t="shared" si="716"/>
        <v>2024</v>
      </c>
      <c r="N2793" s="12">
        <v>1000</v>
      </c>
      <c r="O2793" s="6">
        <f t="shared" si="722"/>
        <v>-1000</v>
      </c>
      <c r="P2793" s="6">
        <f t="shared" si="720"/>
        <v>0</v>
      </c>
      <c r="Q2793" s="7">
        <v>4526542.45</v>
      </c>
      <c r="R2793" s="44" t="str">
        <f>VLOOKUP(F2793,'Set up'!$A$2:$E$70,5,FALSE)</f>
        <v>Trsf</v>
      </c>
      <c r="S2793" s="1" t="s">
        <v>3090</v>
      </c>
    </row>
    <row r="2794" spans="1:19" ht="15" customHeight="1" x14ac:dyDescent="0.35">
      <c r="A2794" s="4">
        <v>45402</v>
      </c>
      <c r="B2794" s="5">
        <f t="shared" si="712"/>
        <v>4</v>
      </c>
      <c r="C2794" s="5">
        <f t="shared" si="713"/>
        <v>2024</v>
      </c>
      <c r="D2794" s="5" t="s">
        <v>2515</v>
      </c>
      <c r="E2794" s="5" t="str">
        <f>VLOOKUP(F2794,'Set up'!$A$2:$C$70,2,FALSE)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up'!$A$2:$C$70,3,FALSE)</f>
        <v>Cash</v>
      </c>
      <c r="J2794" s="5">
        <f>VLOOKUP(F2794,'Set up'!$A$2:$D$70,4,FALSE)</f>
        <v>0</v>
      </c>
      <c r="K2794" s="4">
        <f t="shared" si="714"/>
        <v>45402</v>
      </c>
      <c r="L2794" s="5">
        <f t="shared" si="715"/>
        <v>4</v>
      </c>
      <c r="M2794" s="5">
        <f t="shared" si="716"/>
        <v>2024</v>
      </c>
      <c r="N2794" s="12">
        <v>1738</v>
      </c>
      <c r="O2794" s="12">
        <f>-500.7-1000-237.3</f>
        <v>-1738</v>
      </c>
      <c r="P2794" s="6">
        <f t="shared" si="720"/>
        <v>0</v>
      </c>
      <c r="Q2794" s="7">
        <v>4528280.45</v>
      </c>
      <c r="R2794" s="44" t="str">
        <f>VLOOKUP(F2794,'Set up'!$A$2:$E$70,5,FALSE)</f>
        <v>Trsf</v>
      </c>
      <c r="S2794" s="1" t="s">
        <v>3896</v>
      </c>
    </row>
    <row r="2795" spans="1:19" ht="15" customHeight="1" x14ac:dyDescent="0.35">
      <c r="A2795" s="4">
        <v>45402</v>
      </c>
      <c r="B2795" s="5">
        <f t="shared" si="712"/>
        <v>4</v>
      </c>
      <c r="C2795" s="5">
        <f t="shared" si="713"/>
        <v>2024</v>
      </c>
      <c r="D2795" s="5" t="s">
        <v>2515</v>
      </c>
      <c r="E2795" s="5" t="str">
        <f>VLOOKUP(F2795,'Set up'!$A$2:$C$70,2,FALSE)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up'!$A$2:$C$70,3,FALSE)</f>
        <v>Cash</v>
      </c>
      <c r="J2795" s="5">
        <f>VLOOKUP(F2795,'Set up'!$A$2:$D$70,4,FALSE)</f>
        <v>0</v>
      </c>
      <c r="K2795" s="4">
        <f t="shared" si="714"/>
        <v>45402</v>
      </c>
      <c r="L2795" s="5">
        <f t="shared" si="715"/>
        <v>4</v>
      </c>
      <c r="M2795" s="5">
        <f t="shared" si="716"/>
        <v>2024</v>
      </c>
      <c r="N2795" s="12">
        <v>187.5</v>
      </c>
      <c r="O2795" s="6">
        <f t="shared" ref="O2795" si="723">-N2795</f>
        <v>-187.5</v>
      </c>
      <c r="P2795" s="6">
        <f t="shared" si="720"/>
        <v>0</v>
      </c>
      <c r="Q2795" s="7">
        <v>4528467.95</v>
      </c>
      <c r="R2795" s="44" t="str">
        <f>VLOOKUP(F2795,'Set up'!$A$2:$E$70,5,FALSE)</f>
        <v>Trsf</v>
      </c>
      <c r="S2795" s="1" t="s">
        <v>3897</v>
      </c>
    </row>
    <row r="2796" spans="1:19" ht="15" customHeight="1" x14ac:dyDescent="0.35">
      <c r="A2796" s="4">
        <v>45404</v>
      </c>
      <c r="B2796" s="5">
        <f t="shared" si="712"/>
        <v>4</v>
      </c>
      <c r="C2796" s="5">
        <f t="shared" si="713"/>
        <v>2024</v>
      </c>
      <c r="D2796" s="5" t="s">
        <v>2516</v>
      </c>
      <c r="E2796" s="5" t="str">
        <f>VLOOKUP(F2796,'Set up'!$A$2:$C$70,2,FALSE)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up'!$A$2:$C$70,3,FALSE)</f>
        <v>120</v>
      </c>
      <c r="J2796" s="5">
        <f>VLOOKUP(F2796,'Set up'!$A$2:$D$70,4,FALSE)</f>
        <v>120</v>
      </c>
      <c r="K2796" s="4">
        <f t="shared" si="714"/>
        <v>45524</v>
      </c>
      <c r="L2796" s="5">
        <f t="shared" si="715"/>
        <v>8</v>
      </c>
      <c r="M2796" s="5">
        <f t="shared" si="716"/>
        <v>2024</v>
      </c>
      <c r="N2796" s="12">
        <v>9768</v>
      </c>
      <c r="O2796" s="6">
        <f t="shared" ref="O2796:O2799" si="724">-N2796</f>
        <v>-9768</v>
      </c>
      <c r="P2796" s="6">
        <f t="shared" si="720"/>
        <v>0</v>
      </c>
      <c r="Q2796" s="7">
        <v>4538235.95</v>
      </c>
      <c r="R2796" s="44" t="str">
        <f>VLOOKUP(F2796,'Set up'!$A$2:$E$70,5,FALSE)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712"/>
        <v>4</v>
      </c>
      <c r="C2797" s="5">
        <f t="shared" si="713"/>
        <v>2024</v>
      </c>
      <c r="D2797" s="5" t="s">
        <v>2516</v>
      </c>
      <c r="E2797" s="5" t="str">
        <f>VLOOKUP(F2797,'Set up'!$A$2:$C$70,2,FALSE)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up'!$A$2:$C$70,3,FALSE)</f>
        <v>120</v>
      </c>
      <c r="J2797" s="5">
        <f>VLOOKUP(F2797,'Set up'!$A$2:$D$70,4,FALSE)</f>
        <v>120</v>
      </c>
      <c r="K2797" s="4">
        <f t="shared" si="714"/>
        <v>45524</v>
      </c>
      <c r="L2797" s="5">
        <f t="shared" si="715"/>
        <v>8</v>
      </c>
      <c r="M2797" s="5">
        <f t="shared" si="716"/>
        <v>2024</v>
      </c>
      <c r="N2797" s="12">
        <v>1740</v>
      </c>
      <c r="O2797" s="6">
        <f t="shared" si="724"/>
        <v>-1740</v>
      </c>
      <c r="P2797" s="6">
        <f t="shared" si="720"/>
        <v>0</v>
      </c>
      <c r="Q2797" s="7">
        <v>4539975.95</v>
      </c>
      <c r="R2797" s="44" t="str">
        <f>VLOOKUP(F2797,'Set up'!$A$2:$E$70,5,FALSE)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712"/>
        <v>4</v>
      </c>
      <c r="C2798" s="5">
        <f t="shared" si="713"/>
        <v>2024</v>
      </c>
      <c r="D2798" s="5" t="s">
        <v>2516</v>
      </c>
      <c r="E2798" s="5" t="str">
        <f>VLOOKUP(F2798,'Set up'!$A$2:$C$70,2,FALSE)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up'!$A$2:$C$70,3,FALSE)</f>
        <v>120</v>
      </c>
      <c r="J2798" s="5">
        <f>VLOOKUP(F2798,'Set up'!$A$2:$D$70,4,FALSE)</f>
        <v>120</v>
      </c>
      <c r="K2798" s="4">
        <f t="shared" si="714"/>
        <v>45524</v>
      </c>
      <c r="L2798" s="5">
        <f t="shared" si="715"/>
        <v>8</v>
      </c>
      <c r="M2798" s="5">
        <f t="shared" si="716"/>
        <v>2024</v>
      </c>
      <c r="N2798" s="12">
        <v>440</v>
      </c>
      <c r="O2798" s="6">
        <f t="shared" si="724"/>
        <v>-440</v>
      </c>
      <c r="P2798" s="6">
        <f t="shared" si="720"/>
        <v>0</v>
      </c>
      <c r="Q2798" s="7">
        <v>4540415.95</v>
      </c>
      <c r="R2798" s="44" t="str">
        <f>VLOOKUP(F2798,'Set up'!$A$2:$E$70,5,FALSE)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712"/>
        <v>4</v>
      </c>
      <c r="C2799" s="5">
        <f t="shared" si="713"/>
        <v>2024</v>
      </c>
      <c r="D2799" s="5" t="s">
        <v>2516</v>
      </c>
      <c r="E2799" s="5" t="str">
        <f>VLOOKUP(F2799,'Set up'!$A$2:$C$70,2,FALSE)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up'!$A$2:$C$70,3,FALSE)</f>
        <v>120</v>
      </c>
      <c r="J2799" s="5">
        <f>VLOOKUP(F2799,'Set up'!$A$2:$D$70,4,FALSE)</f>
        <v>120</v>
      </c>
      <c r="K2799" s="4">
        <f t="shared" si="714"/>
        <v>45524</v>
      </c>
      <c r="L2799" s="5">
        <f t="shared" si="715"/>
        <v>8</v>
      </c>
      <c r="M2799" s="5">
        <f t="shared" si="716"/>
        <v>2024</v>
      </c>
      <c r="N2799" s="12">
        <v>395</v>
      </c>
      <c r="O2799" s="6">
        <f t="shared" si="724"/>
        <v>-395</v>
      </c>
      <c r="P2799" s="6">
        <f t="shared" si="720"/>
        <v>0</v>
      </c>
      <c r="Q2799" s="7">
        <v>4540810.95</v>
      </c>
      <c r="R2799" s="44" t="str">
        <f>VLOOKUP(F2799,'Set up'!$A$2:$E$70,5,FALSE)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712"/>
        <v>4</v>
      </c>
      <c r="C2800" s="5">
        <f t="shared" si="713"/>
        <v>2024</v>
      </c>
      <c r="D2800" s="5" t="s">
        <v>2517</v>
      </c>
      <c r="E2800" s="5" t="str">
        <f>VLOOKUP(F2800,'Set up'!$A$2:$C$70,2,FALSE)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up'!$A$2:$C$70,3,FALSE)</f>
        <v>Cash</v>
      </c>
      <c r="J2800" s="5">
        <f>VLOOKUP(F2800,'Set up'!$A$2:$D$70,4,FALSE)</f>
        <v>0</v>
      </c>
      <c r="K2800" s="4">
        <f t="shared" si="714"/>
        <v>45406</v>
      </c>
      <c r="L2800" s="5">
        <f t="shared" si="715"/>
        <v>4</v>
      </c>
      <c r="M2800" s="5">
        <f t="shared" si="716"/>
        <v>2024</v>
      </c>
      <c r="N2800" s="12">
        <v>1628</v>
      </c>
      <c r="O2800" s="6">
        <f t="shared" ref="O2800:O2805" si="725">-N2800</f>
        <v>-1628</v>
      </c>
      <c r="P2800" s="6">
        <f t="shared" si="720"/>
        <v>0</v>
      </c>
      <c r="Q2800" s="7">
        <v>4542438.95</v>
      </c>
      <c r="R2800" s="44" t="str">
        <f>VLOOKUP(F2800,'Set up'!$A$2:$E$70,5,FALSE)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712"/>
        <v>4</v>
      </c>
      <c r="C2801" s="5">
        <f t="shared" si="713"/>
        <v>2024</v>
      </c>
      <c r="D2801" s="5" t="s">
        <v>2517</v>
      </c>
      <c r="E2801" s="5" t="str">
        <f>VLOOKUP(F2801,'Set up'!$A$2:$C$70,2,FALSE)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up'!$A$2:$C$70,3,FALSE)</f>
        <v>Cash</v>
      </c>
      <c r="J2801" s="5">
        <f>VLOOKUP(F2801,'Set up'!$A$2:$D$70,4,FALSE)</f>
        <v>0</v>
      </c>
      <c r="K2801" s="4">
        <f t="shared" si="714"/>
        <v>45406</v>
      </c>
      <c r="L2801" s="5">
        <f t="shared" si="715"/>
        <v>4</v>
      </c>
      <c r="M2801" s="5">
        <f t="shared" si="716"/>
        <v>2024</v>
      </c>
      <c r="N2801" s="12">
        <v>621</v>
      </c>
      <c r="O2801" s="6">
        <f t="shared" si="725"/>
        <v>-621</v>
      </c>
      <c r="P2801" s="6">
        <f t="shared" si="720"/>
        <v>0</v>
      </c>
      <c r="Q2801" s="7">
        <v>4543059.95</v>
      </c>
      <c r="R2801" s="44" t="str">
        <f>VLOOKUP(F2801,'Set up'!$A$2:$E$70,5,FALSE)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712"/>
        <v>4</v>
      </c>
      <c r="C2802" s="5">
        <f t="shared" si="713"/>
        <v>2024</v>
      </c>
      <c r="D2802" s="5" t="s">
        <v>2517</v>
      </c>
      <c r="E2802" s="5" t="str">
        <f>VLOOKUP(F2802,'Set up'!$A$2:$C$70,2,FALSE)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up'!$A$2:$C$70,3,FALSE)</f>
        <v>Cash</v>
      </c>
      <c r="J2802" s="5">
        <f>VLOOKUP(F2802,'Set up'!$A$2:$D$70,4,FALSE)</f>
        <v>0</v>
      </c>
      <c r="K2802" s="4">
        <f t="shared" si="714"/>
        <v>45406</v>
      </c>
      <c r="L2802" s="5">
        <f t="shared" si="715"/>
        <v>4</v>
      </c>
      <c r="M2802" s="5">
        <f t="shared" si="716"/>
        <v>2024</v>
      </c>
      <c r="N2802" s="12">
        <v>283.8</v>
      </c>
      <c r="O2802" s="6">
        <f t="shared" si="725"/>
        <v>-283.8</v>
      </c>
      <c r="P2802" s="6">
        <f t="shared" si="720"/>
        <v>0</v>
      </c>
      <c r="Q2802" s="7">
        <v>4543343.75</v>
      </c>
      <c r="R2802" s="44" t="str">
        <f>VLOOKUP(F2802,'Set up'!$A$2:$E$70,5,FALSE)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712"/>
        <v>4</v>
      </c>
      <c r="C2803" s="5">
        <f t="shared" si="713"/>
        <v>2024</v>
      </c>
      <c r="D2803" s="5" t="s">
        <v>2517</v>
      </c>
      <c r="E2803" s="5" t="str">
        <f>VLOOKUP(F2803,'Set up'!$A$2:$C$70,2,FALSE)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up'!$A$2:$C$70,3,FALSE)</f>
        <v>Cash</v>
      </c>
      <c r="J2803" s="5">
        <f>VLOOKUP(F2803,'Set up'!$A$2:$D$70,4,FALSE)</f>
        <v>0</v>
      </c>
      <c r="K2803" s="4">
        <f t="shared" si="714"/>
        <v>45406</v>
      </c>
      <c r="L2803" s="5">
        <f t="shared" si="715"/>
        <v>4</v>
      </c>
      <c r="M2803" s="5">
        <f t="shared" si="716"/>
        <v>2024</v>
      </c>
      <c r="N2803" s="12">
        <v>160</v>
      </c>
      <c r="O2803" s="6">
        <f t="shared" si="725"/>
        <v>-160</v>
      </c>
      <c r="P2803" s="6">
        <f t="shared" si="720"/>
        <v>0</v>
      </c>
      <c r="Q2803" s="7">
        <v>4543503.75</v>
      </c>
      <c r="R2803" s="44" t="str">
        <f>VLOOKUP(F2803,'Set up'!$A$2:$E$70,5,FALSE)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712"/>
        <v>4</v>
      </c>
      <c r="C2804" s="5">
        <f t="shared" si="713"/>
        <v>2024</v>
      </c>
      <c r="D2804" s="5" t="s">
        <v>2517</v>
      </c>
      <c r="E2804" s="5" t="str">
        <f>VLOOKUP(F2804,'Set up'!$A$2:$C$70,2,FALSE)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up'!$A$2:$C$70,3,FALSE)</f>
        <v>Cash</v>
      </c>
      <c r="J2804" s="5">
        <f>VLOOKUP(F2804,'Set up'!$A$2:$D$70,4,FALSE)</f>
        <v>0</v>
      </c>
      <c r="K2804" s="4">
        <f t="shared" si="714"/>
        <v>45406</v>
      </c>
      <c r="L2804" s="5">
        <f t="shared" si="715"/>
        <v>4</v>
      </c>
      <c r="M2804" s="5">
        <f t="shared" si="716"/>
        <v>2024</v>
      </c>
      <c r="N2804" s="12">
        <v>165</v>
      </c>
      <c r="O2804" s="6">
        <f t="shared" si="725"/>
        <v>-165</v>
      </c>
      <c r="P2804" s="6">
        <f t="shared" si="720"/>
        <v>0</v>
      </c>
      <c r="Q2804" s="7">
        <v>4543668.75</v>
      </c>
      <c r="R2804" s="44" t="str">
        <f>VLOOKUP(F2804,'Set up'!$A$2:$E$70,5,FALSE)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712"/>
        <v>4</v>
      </c>
      <c r="C2805" s="5">
        <f t="shared" si="713"/>
        <v>2024</v>
      </c>
      <c r="D2805" s="5" t="s">
        <v>2517</v>
      </c>
      <c r="E2805" s="5" t="str">
        <f>VLOOKUP(F2805,'Set up'!$A$2:$C$70,2,FALSE)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up'!$A$2:$C$70,3,FALSE)</f>
        <v>Cash</v>
      </c>
      <c r="J2805" s="5">
        <f>VLOOKUP(F2805,'Set up'!$A$2:$D$70,4,FALSE)</f>
        <v>0</v>
      </c>
      <c r="K2805" s="4">
        <f t="shared" si="714"/>
        <v>45406</v>
      </c>
      <c r="L2805" s="5">
        <f t="shared" si="715"/>
        <v>4</v>
      </c>
      <c r="M2805" s="5">
        <f t="shared" si="716"/>
        <v>2024</v>
      </c>
      <c r="N2805" s="12">
        <v>110</v>
      </c>
      <c r="O2805" s="6">
        <f t="shared" si="725"/>
        <v>-110</v>
      </c>
      <c r="P2805" s="6">
        <f t="shared" si="720"/>
        <v>0</v>
      </c>
      <c r="Q2805" s="7">
        <v>4543778.75</v>
      </c>
      <c r="R2805" s="44" t="str">
        <f>VLOOKUP(F2805,'Set up'!$A$2:$E$70,5,FALSE)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712"/>
        <v>4</v>
      </c>
      <c r="C2806" s="5">
        <f t="shared" si="713"/>
        <v>2024</v>
      </c>
      <c r="D2806" s="5" t="s">
        <v>2517</v>
      </c>
      <c r="E2806" s="5" t="str">
        <f>VLOOKUP(F2806,'Set up'!$A$2:$C$70,2,FALSE)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up'!$A$2:$C$70,3,FALSE)</f>
        <v>Cash</v>
      </c>
      <c r="J2806" s="5">
        <f>VLOOKUP(F2806,'Set up'!$A$2:$D$70,4,FALSE)</f>
        <v>0</v>
      </c>
      <c r="K2806" s="4">
        <f t="shared" si="714"/>
        <v>45406</v>
      </c>
      <c r="L2806" s="5">
        <f t="shared" si="715"/>
        <v>4</v>
      </c>
      <c r="M2806" s="5">
        <f t="shared" si="716"/>
        <v>2024</v>
      </c>
      <c r="N2806" s="12">
        <v>120</v>
      </c>
      <c r="O2806" s="6">
        <f t="shared" ref="O2806" si="726">-N2806</f>
        <v>-120</v>
      </c>
      <c r="P2806" s="6">
        <f t="shared" si="720"/>
        <v>0</v>
      </c>
      <c r="Q2806" s="7">
        <v>4543898.75</v>
      </c>
      <c r="R2806" s="44" t="str">
        <f>VLOOKUP(F2806,'Set up'!$A$2:$E$70,5,FALSE)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712"/>
        <v>4</v>
      </c>
      <c r="C2807" s="5">
        <f t="shared" si="713"/>
        <v>2024</v>
      </c>
      <c r="D2807" s="5" t="s">
        <v>2518</v>
      </c>
      <c r="E2807" s="5" t="str">
        <f>VLOOKUP(F2807,'Set up'!$A$2:$C$70,2,FALSE)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up'!$A$2:$C$70,3,FALSE)</f>
        <v>Cash</v>
      </c>
      <c r="J2807" s="5">
        <f>VLOOKUP(F2807,'Set up'!$A$2:$D$70,4,FALSE)</f>
        <v>0</v>
      </c>
      <c r="K2807" s="4">
        <f t="shared" si="714"/>
        <v>45407</v>
      </c>
      <c r="L2807" s="5">
        <f t="shared" si="715"/>
        <v>4</v>
      </c>
      <c r="M2807" s="5">
        <f t="shared" si="716"/>
        <v>2024</v>
      </c>
      <c r="N2807" s="12">
        <v>1738</v>
      </c>
      <c r="O2807" s="12"/>
      <c r="P2807" s="6">
        <f t="shared" si="720"/>
        <v>1738</v>
      </c>
      <c r="Q2807" s="7">
        <v>4545636.75</v>
      </c>
      <c r="R2807" s="44" t="str">
        <f>VLOOKUP(F2807,'Set up'!$A$2:$E$70,5,FALSE)</f>
        <v>PD Chq</v>
      </c>
    </row>
    <row r="2808" spans="1:19" ht="15" customHeight="1" x14ac:dyDescent="0.35">
      <c r="A2808" s="4">
        <v>45407</v>
      </c>
      <c r="B2808" s="5">
        <f t="shared" si="712"/>
        <v>4</v>
      </c>
      <c r="C2808" s="5">
        <f t="shared" si="713"/>
        <v>2024</v>
      </c>
      <c r="D2808" s="5" t="s">
        <v>2518</v>
      </c>
      <c r="E2808" s="5" t="str">
        <f>VLOOKUP(F2808,'Set up'!$A$2:$C$70,2,FALSE)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up'!$A$2:$C$70,3,FALSE)</f>
        <v>Cash</v>
      </c>
      <c r="J2808" s="5">
        <f>VLOOKUP(F2808,'Set up'!$A$2:$D$70,4,FALSE)</f>
        <v>0</v>
      </c>
      <c r="K2808" s="4">
        <f t="shared" si="714"/>
        <v>45407</v>
      </c>
      <c r="L2808" s="5">
        <f t="shared" si="715"/>
        <v>4</v>
      </c>
      <c r="M2808" s="5">
        <f t="shared" si="716"/>
        <v>2024</v>
      </c>
      <c r="N2808" s="12">
        <v>555</v>
      </c>
      <c r="O2808" s="12"/>
      <c r="P2808" s="6">
        <f t="shared" si="720"/>
        <v>555</v>
      </c>
      <c r="Q2808" s="7">
        <v>4470238.1499999994</v>
      </c>
      <c r="R2808" s="44" t="str">
        <f>VLOOKUP(F2808,'Set up'!$A$2:$E$70,5,FALSE)</f>
        <v>PD Chq</v>
      </c>
    </row>
    <row r="2809" spans="1:19" ht="15" customHeight="1" x14ac:dyDescent="0.35">
      <c r="A2809" s="4">
        <v>45407</v>
      </c>
      <c r="B2809" s="5">
        <f t="shared" si="712"/>
        <v>4</v>
      </c>
      <c r="C2809" s="5">
        <f t="shared" si="713"/>
        <v>2024</v>
      </c>
      <c r="D2809" s="5" t="s">
        <v>2518</v>
      </c>
      <c r="E2809" s="5" t="str">
        <f>VLOOKUP(F2809,'Set up'!$A$2:$C$70,2,FALSE)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up'!$A$2:$C$70,3,FALSE)</f>
        <v>Cash</v>
      </c>
      <c r="J2809" s="5">
        <f>VLOOKUP(F2809,'Set up'!$A$2:$D$70,4,FALSE)</f>
        <v>0</v>
      </c>
      <c r="K2809" s="4">
        <f t="shared" si="714"/>
        <v>45407</v>
      </c>
      <c r="L2809" s="5">
        <f t="shared" si="715"/>
        <v>4</v>
      </c>
      <c r="M2809" s="5">
        <f t="shared" si="716"/>
        <v>2024</v>
      </c>
      <c r="N2809" s="12">
        <v>95</v>
      </c>
      <c r="O2809" s="12"/>
      <c r="P2809" s="6">
        <f t="shared" si="720"/>
        <v>95</v>
      </c>
      <c r="Q2809" s="7">
        <v>4471328.1499999994</v>
      </c>
      <c r="R2809" s="44" t="str">
        <f>VLOOKUP(F2809,'Set up'!$A$2:$E$70,5,FALSE)</f>
        <v>PD Chq</v>
      </c>
    </row>
    <row r="2810" spans="1:19" ht="15" customHeight="1" x14ac:dyDescent="0.35">
      <c r="A2810" s="4">
        <v>45407</v>
      </c>
      <c r="B2810" s="5">
        <f t="shared" si="712"/>
        <v>4</v>
      </c>
      <c r="C2810" s="5">
        <f t="shared" si="713"/>
        <v>2024</v>
      </c>
      <c r="D2810" s="5" t="s">
        <v>2518</v>
      </c>
      <c r="E2810" s="5" t="str">
        <f>VLOOKUP(F2810,'Set up'!$A$2:$C$70,2,FALSE)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up'!$A$2:$C$70,3,FALSE)</f>
        <v>Cash</v>
      </c>
      <c r="J2810" s="5">
        <f>VLOOKUP(F2810,'Set up'!$A$2:$D$70,4,FALSE)</f>
        <v>0</v>
      </c>
      <c r="K2810" s="4">
        <f t="shared" si="714"/>
        <v>45407</v>
      </c>
      <c r="L2810" s="5">
        <f t="shared" si="715"/>
        <v>4</v>
      </c>
      <c r="M2810" s="5">
        <f t="shared" si="716"/>
        <v>2024</v>
      </c>
      <c r="N2810" s="12">
        <v>312.5</v>
      </c>
      <c r="O2810" s="12"/>
      <c r="P2810" s="6">
        <f t="shared" si="720"/>
        <v>312.5</v>
      </c>
      <c r="Q2810" s="7">
        <v>4473173.6499999994</v>
      </c>
      <c r="R2810" s="44" t="str">
        <f>VLOOKUP(F2810,'Set up'!$A$2:$E$70,5,FALSE)</f>
        <v>PD Chq</v>
      </c>
    </row>
    <row r="2811" spans="1:19" ht="15" customHeight="1" x14ac:dyDescent="0.35">
      <c r="A2811" s="4">
        <v>45407</v>
      </c>
      <c r="B2811" s="5">
        <f t="shared" si="712"/>
        <v>4</v>
      </c>
      <c r="C2811" s="5">
        <f t="shared" si="713"/>
        <v>2024</v>
      </c>
      <c r="D2811" s="5" t="s">
        <v>2518</v>
      </c>
      <c r="E2811" s="5" t="str">
        <f>VLOOKUP(F2811,'Set up'!$A$2:$C$70,2,FALSE)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up'!$A$2:$C$70,3,FALSE)</f>
        <v>Cash</v>
      </c>
      <c r="J2811" s="5">
        <f>VLOOKUP(F2811,'Set up'!$A$2:$D$70,4,FALSE)</f>
        <v>0</v>
      </c>
      <c r="K2811" s="4">
        <f t="shared" si="714"/>
        <v>45407</v>
      </c>
      <c r="L2811" s="5">
        <f t="shared" si="715"/>
        <v>4</v>
      </c>
      <c r="M2811" s="5">
        <f t="shared" si="716"/>
        <v>2024</v>
      </c>
      <c r="N2811" s="12">
        <v>480</v>
      </c>
      <c r="O2811" s="12"/>
      <c r="P2811" s="6">
        <f t="shared" si="720"/>
        <v>480</v>
      </c>
      <c r="Q2811" s="7">
        <v>4473761.1499999994</v>
      </c>
      <c r="R2811" s="44" t="str">
        <f>VLOOKUP(F2811,'Set up'!$A$2:$E$70,5,FALSE)</f>
        <v>PD Chq</v>
      </c>
    </row>
    <row r="2812" spans="1:19" ht="15" customHeight="1" x14ac:dyDescent="0.35">
      <c r="A2812" s="4">
        <v>45408</v>
      </c>
      <c r="B2812" s="5">
        <f t="shared" si="712"/>
        <v>4</v>
      </c>
      <c r="C2812" s="5">
        <f t="shared" si="713"/>
        <v>2024</v>
      </c>
      <c r="D2812" s="5" t="s">
        <v>2520</v>
      </c>
      <c r="E2812" s="5" t="str">
        <f>VLOOKUP(F2812,'Set up'!$A$2:$C$70,2,FALSE)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up'!$A$2:$C$70,3,FALSE)</f>
        <v>Cash</v>
      </c>
      <c r="J2812" s="5">
        <f>VLOOKUP(F2812,'Set up'!$A$2:$D$70,4,FALSE)</f>
        <v>0</v>
      </c>
      <c r="K2812" s="4">
        <f t="shared" si="714"/>
        <v>45408</v>
      </c>
      <c r="L2812" s="5">
        <f t="shared" si="715"/>
        <v>4</v>
      </c>
      <c r="M2812" s="5">
        <f t="shared" si="716"/>
        <v>2024</v>
      </c>
      <c r="N2812" s="12">
        <v>1650</v>
      </c>
      <c r="O2812" s="6">
        <f t="shared" ref="O2812:O2816" si="727">-N2812</f>
        <v>-1650</v>
      </c>
      <c r="P2812" s="6">
        <f t="shared" si="720"/>
        <v>0</v>
      </c>
      <c r="Q2812" s="7">
        <v>4475211.1499999994</v>
      </c>
      <c r="R2812" s="44" t="str">
        <f>VLOOKUP(F2812,'Set up'!$A$2:$E$70,5,FALSE)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712"/>
        <v>4</v>
      </c>
      <c r="C2813" s="5">
        <f t="shared" si="713"/>
        <v>2024</v>
      </c>
      <c r="D2813" s="5" t="s">
        <v>2520</v>
      </c>
      <c r="E2813" s="5" t="str">
        <f>VLOOKUP(F2813,'Set up'!$A$2:$C$70,2,FALSE)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up'!$A$2:$C$70,3,FALSE)</f>
        <v>Cash</v>
      </c>
      <c r="J2813" s="5">
        <f>VLOOKUP(F2813,'Set up'!$A$2:$D$70,4,FALSE)</f>
        <v>0</v>
      </c>
      <c r="K2813" s="4">
        <f t="shared" si="714"/>
        <v>45408</v>
      </c>
      <c r="L2813" s="5">
        <f t="shared" si="715"/>
        <v>4</v>
      </c>
      <c r="M2813" s="5">
        <f t="shared" si="716"/>
        <v>2024</v>
      </c>
      <c r="N2813" s="12">
        <v>420</v>
      </c>
      <c r="O2813" s="6">
        <f t="shared" si="727"/>
        <v>-420</v>
      </c>
      <c r="P2813" s="6">
        <f t="shared" si="720"/>
        <v>0</v>
      </c>
      <c r="Q2813" s="7">
        <v>4474091.1499999994</v>
      </c>
      <c r="R2813" s="44" t="str">
        <f>VLOOKUP(F2813,'Set up'!$A$2:$E$70,5,FALSE)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712"/>
        <v>4</v>
      </c>
      <c r="C2814" s="5">
        <f t="shared" si="713"/>
        <v>2024</v>
      </c>
      <c r="D2814" s="5" t="s">
        <v>2520</v>
      </c>
      <c r="E2814" s="5" t="str">
        <f>VLOOKUP(F2814,'Set up'!$A$2:$C$70,2,FALSE)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up'!$A$2:$C$70,3,FALSE)</f>
        <v>Cash</v>
      </c>
      <c r="J2814" s="5">
        <f>VLOOKUP(F2814,'Set up'!$A$2:$D$70,4,FALSE)</f>
        <v>0</v>
      </c>
      <c r="K2814" s="4">
        <f t="shared" si="714"/>
        <v>45408</v>
      </c>
      <c r="L2814" s="5">
        <f t="shared" si="715"/>
        <v>4</v>
      </c>
      <c r="M2814" s="5">
        <f t="shared" si="716"/>
        <v>2024</v>
      </c>
      <c r="N2814" s="12">
        <v>60</v>
      </c>
      <c r="O2814" s="6">
        <f t="shared" si="727"/>
        <v>-60</v>
      </c>
      <c r="P2814" s="6">
        <f t="shared" si="720"/>
        <v>0</v>
      </c>
      <c r="Q2814" s="7">
        <v>4475469.1499999994</v>
      </c>
      <c r="R2814" s="44" t="str">
        <f>VLOOKUP(F2814,'Set up'!$A$2:$E$70,5,FALSE)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712"/>
        <v>4</v>
      </c>
      <c r="C2815" s="5">
        <f t="shared" si="713"/>
        <v>2024</v>
      </c>
      <c r="D2815" s="5" t="s">
        <v>2521</v>
      </c>
      <c r="E2815" s="5" t="str">
        <f>VLOOKUP(F2815,'Set up'!$A$2:$C$70,2,FALSE)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up'!$A$2:$C$70,3,FALSE)</f>
        <v>Cash</v>
      </c>
      <c r="J2815" s="5">
        <f>VLOOKUP(F2815,'Set up'!$A$2:$D$70,4,FALSE)</f>
        <v>0</v>
      </c>
      <c r="K2815" s="4">
        <f t="shared" si="714"/>
        <v>45411</v>
      </c>
      <c r="L2815" s="5">
        <f t="shared" si="715"/>
        <v>4</v>
      </c>
      <c r="M2815" s="5">
        <f t="shared" si="716"/>
        <v>2024</v>
      </c>
      <c r="N2815" s="12">
        <v>420</v>
      </c>
      <c r="O2815" s="6">
        <f t="shared" si="727"/>
        <v>-420</v>
      </c>
      <c r="P2815" s="6">
        <f t="shared" si="720"/>
        <v>0</v>
      </c>
      <c r="Q2815" s="7">
        <v>4476234.1499999994</v>
      </c>
      <c r="R2815" s="44" t="str">
        <f>VLOOKUP(F2815,'Set up'!$A$2:$E$70,5,FALSE)</f>
        <v>Trsf</v>
      </c>
      <c r="S2815" s="1" t="s">
        <v>3898</v>
      </c>
    </row>
    <row r="2816" spans="1:19" ht="15" customHeight="1" x14ac:dyDescent="0.35">
      <c r="A2816" s="4">
        <v>45411</v>
      </c>
      <c r="B2816" s="5">
        <f t="shared" si="712"/>
        <v>4</v>
      </c>
      <c r="C2816" s="5">
        <f t="shared" si="713"/>
        <v>2024</v>
      </c>
      <c r="D2816" s="5" t="s">
        <v>2521</v>
      </c>
      <c r="E2816" s="5" t="str">
        <f>VLOOKUP(F2816,'Set up'!$A$2:$C$70,2,FALSE)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up'!$A$2:$C$70,3,FALSE)</f>
        <v>Cash</v>
      </c>
      <c r="J2816" s="5">
        <f>VLOOKUP(F2816,'Set up'!$A$2:$D$70,4,FALSE)</f>
        <v>0</v>
      </c>
      <c r="K2816" s="4">
        <f t="shared" si="714"/>
        <v>45411</v>
      </c>
      <c r="L2816" s="5">
        <f t="shared" si="715"/>
        <v>4</v>
      </c>
      <c r="M2816" s="5">
        <f t="shared" si="716"/>
        <v>2024</v>
      </c>
      <c r="N2816" s="12">
        <v>110</v>
      </c>
      <c r="O2816" s="6">
        <f t="shared" si="727"/>
        <v>-110</v>
      </c>
      <c r="P2816" s="6">
        <f t="shared" si="720"/>
        <v>0</v>
      </c>
      <c r="Q2816" s="7">
        <v>4476314.1499999994</v>
      </c>
      <c r="R2816" s="44" t="str">
        <f>VLOOKUP(F2816,'Set up'!$A$2:$E$70,5,FALSE)</f>
        <v>Trsf</v>
      </c>
      <c r="S2816" s="1" t="s">
        <v>3899</v>
      </c>
    </row>
    <row r="2817" spans="1:19" ht="15" customHeight="1" x14ac:dyDescent="0.35">
      <c r="A2817" s="4">
        <v>45411</v>
      </c>
      <c r="B2817" s="5">
        <f t="shared" si="712"/>
        <v>4</v>
      </c>
      <c r="C2817" s="5">
        <f t="shared" si="713"/>
        <v>2024</v>
      </c>
      <c r="D2817" s="5" t="s">
        <v>2522</v>
      </c>
      <c r="E2817" s="5" t="str">
        <f>VLOOKUP(F2817,'Set up'!$A$2:$C$70,2,FALSE)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up'!$A$2:$C$70,3,FALSE)</f>
        <v>Cash</v>
      </c>
      <c r="J2817" s="5">
        <f>VLOOKUP(F2817,'Set up'!$A$2:$D$70,4,FALSE)</f>
        <v>0</v>
      </c>
      <c r="K2817" s="4">
        <f t="shared" si="714"/>
        <v>45411</v>
      </c>
      <c r="L2817" s="5">
        <f t="shared" si="715"/>
        <v>4</v>
      </c>
      <c r="M2817" s="5">
        <f t="shared" si="716"/>
        <v>2024</v>
      </c>
      <c r="N2817" s="12">
        <v>474</v>
      </c>
      <c r="O2817" s="6">
        <f t="shared" ref="O2817:O2826" si="728">-N2817</f>
        <v>-474</v>
      </c>
      <c r="P2817" s="6">
        <f t="shared" si="720"/>
        <v>0</v>
      </c>
      <c r="Q2817" s="7">
        <v>4476928.1499999994</v>
      </c>
      <c r="R2817" s="44" t="str">
        <f>VLOOKUP(F2817,'Set up'!$A$2:$E$70,5,FALSE)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712"/>
        <v>4</v>
      </c>
      <c r="C2818" s="5">
        <f t="shared" si="713"/>
        <v>2024</v>
      </c>
      <c r="D2818" s="5" t="s">
        <v>2522</v>
      </c>
      <c r="E2818" s="5" t="str">
        <f>VLOOKUP(F2818,'Set up'!$A$2:$C$70,2,FALSE)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up'!$A$2:$C$70,3,FALSE)</f>
        <v>Cash</v>
      </c>
      <c r="J2818" s="5">
        <f>VLOOKUP(F2818,'Set up'!$A$2:$D$70,4,FALSE)</f>
        <v>0</v>
      </c>
      <c r="K2818" s="4">
        <f t="shared" si="714"/>
        <v>45411</v>
      </c>
      <c r="L2818" s="5">
        <f t="shared" si="715"/>
        <v>4</v>
      </c>
      <c r="M2818" s="5">
        <f t="shared" si="716"/>
        <v>2024</v>
      </c>
      <c r="N2818" s="12">
        <v>185</v>
      </c>
      <c r="O2818" s="6">
        <f t="shared" si="728"/>
        <v>-185</v>
      </c>
      <c r="P2818" s="6">
        <f t="shared" si="720"/>
        <v>0</v>
      </c>
      <c r="Q2818" s="7">
        <v>4483063.1499999994</v>
      </c>
      <c r="R2818" s="44" t="str">
        <f>VLOOKUP(F2818,'Set up'!$A$2:$E$70,5,FALSE)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ref="B2819:B2882" si="729">MONTH(A2819)</f>
        <v>4</v>
      </c>
      <c r="C2819" s="5">
        <f t="shared" ref="C2819:C2882" si="730">YEAR(A2819)</f>
        <v>2024</v>
      </c>
      <c r="D2819" s="5" t="s">
        <v>2525</v>
      </c>
      <c r="E2819" s="5" t="str">
        <f>VLOOKUP(F2819,'Set up'!$A$2:$C$70,2,FALSE)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up'!$A$2:$C$70,3,FALSE)</f>
        <v>60</v>
      </c>
      <c r="J2819" s="5">
        <f>VLOOKUP(F2819,'Set up'!$A$2:$D$70,4,FALSE)</f>
        <v>60</v>
      </c>
      <c r="K2819" s="4">
        <f t="shared" ref="K2819:K2882" si="731">A2819+J2819</f>
        <v>45471</v>
      </c>
      <c r="L2819" s="5">
        <f t="shared" ref="L2819:L2882" si="732">MONTH(K2819)</f>
        <v>6</v>
      </c>
      <c r="M2819" s="5">
        <f t="shared" ref="M2819:M2882" si="733">YEAR(K2819)</f>
        <v>2024</v>
      </c>
      <c r="N2819" s="12">
        <v>3256</v>
      </c>
      <c r="O2819" s="6">
        <f t="shared" si="728"/>
        <v>-3256</v>
      </c>
      <c r="P2819" s="6">
        <f t="shared" si="720"/>
        <v>0</v>
      </c>
      <c r="Q2819" s="7">
        <v>4488222.1499999994</v>
      </c>
      <c r="R2819" s="44" t="str">
        <f>VLOOKUP(F2819,'Set up'!$A$2:$E$70,5,FALSE)</f>
        <v>Chq</v>
      </c>
      <c r="S2819" s="1" t="s">
        <v>3036</v>
      </c>
    </row>
    <row r="2820" spans="1:19" ht="15" customHeight="1" x14ac:dyDescent="0.35">
      <c r="A2820" s="4">
        <v>45411</v>
      </c>
      <c r="B2820" s="5">
        <f t="shared" si="729"/>
        <v>4</v>
      </c>
      <c r="C2820" s="5">
        <f t="shared" si="730"/>
        <v>2024</v>
      </c>
      <c r="D2820" s="5" t="s">
        <v>2525</v>
      </c>
      <c r="E2820" s="5" t="str">
        <f>VLOOKUP(F2820,'Set up'!$A$2:$C$70,2,FALSE)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up'!$A$2:$C$70,3,FALSE)</f>
        <v>60</v>
      </c>
      <c r="J2820" s="5">
        <f>VLOOKUP(F2820,'Set up'!$A$2:$D$70,4,FALSE)</f>
        <v>60</v>
      </c>
      <c r="K2820" s="4">
        <f t="shared" si="731"/>
        <v>45471</v>
      </c>
      <c r="L2820" s="5">
        <f t="shared" si="732"/>
        <v>6</v>
      </c>
      <c r="M2820" s="5">
        <f t="shared" si="733"/>
        <v>2024</v>
      </c>
      <c r="N2820" s="12">
        <v>1628</v>
      </c>
      <c r="O2820" s="6">
        <f t="shared" si="728"/>
        <v>-1628</v>
      </c>
      <c r="P2820" s="6">
        <f t="shared" si="720"/>
        <v>0</v>
      </c>
      <c r="Q2820" s="7">
        <v>4487998.1499999994</v>
      </c>
      <c r="R2820" s="44" t="str">
        <f>VLOOKUP(F2820,'Set up'!$A$2:$E$70,5,FALSE)</f>
        <v>Chq</v>
      </c>
      <c r="S2820" s="1" t="s">
        <v>3036</v>
      </c>
    </row>
    <row r="2821" spans="1:19" ht="15" customHeight="1" x14ac:dyDescent="0.35">
      <c r="A2821" s="4">
        <v>45411</v>
      </c>
      <c r="B2821" s="5">
        <f t="shared" si="729"/>
        <v>4</v>
      </c>
      <c r="C2821" s="5">
        <f t="shared" si="730"/>
        <v>2024</v>
      </c>
      <c r="D2821" s="5" t="s">
        <v>2525</v>
      </c>
      <c r="E2821" s="5" t="str">
        <f>VLOOKUP(F2821,'Set up'!$A$2:$C$70,2,FALSE)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up'!$A$2:$C$70,3,FALSE)</f>
        <v>60</v>
      </c>
      <c r="J2821" s="5">
        <f>VLOOKUP(F2821,'Set up'!$A$2:$D$70,4,FALSE)</f>
        <v>60</v>
      </c>
      <c r="K2821" s="4">
        <f t="shared" si="731"/>
        <v>45471</v>
      </c>
      <c r="L2821" s="5">
        <f t="shared" si="732"/>
        <v>6</v>
      </c>
      <c r="M2821" s="5">
        <f t="shared" si="733"/>
        <v>2024</v>
      </c>
      <c r="N2821" s="12">
        <v>450</v>
      </c>
      <c r="O2821" s="6">
        <f t="shared" si="728"/>
        <v>-450</v>
      </c>
      <c r="P2821" s="6">
        <f t="shared" si="720"/>
        <v>0</v>
      </c>
      <c r="Q2821" s="7">
        <v>4487200.1499999994</v>
      </c>
      <c r="R2821" s="44" t="str">
        <f>VLOOKUP(F2821,'Set up'!$A$2:$E$70,5,FALSE)</f>
        <v>Chq</v>
      </c>
      <c r="S2821" s="1" t="s">
        <v>3036</v>
      </c>
    </row>
    <row r="2822" spans="1:19" ht="15" customHeight="1" x14ac:dyDescent="0.35">
      <c r="A2822" s="4">
        <v>45411</v>
      </c>
      <c r="B2822" s="5">
        <f t="shared" si="729"/>
        <v>4</v>
      </c>
      <c r="C2822" s="5">
        <f t="shared" si="730"/>
        <v>2024</v>
      </c>
      <c r="D2822" s="5" t="s">
        <v>2526</v>
      </c>
      <c r="E2822" s="5" t="str">
        <f>VLOOKUP(F2822,'Set up'!$A$2:$C$70,2,FALSE)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up'!$A$2:$C$70,3,FALSE)</f>
        <v>Cash</v>
      </c>
      <c r="J2822" s="5">
        <f>VLOOKUP(F2822,'Set up'!$A$2:$D$70,4,FALSE)</f>
        <v>0</v>
      </c>
      <c r="K2822" s="4">
        <f t="shared" si="731"/>
        <v>45411</v>
      </c>
      <c r="L2822" s="5">
        <f t="shared" si="732"/>
        <v>4</v>
      </c>
      <c r="M2822" s="5">
        <f t="shared" si="733"/>
        <v>2024</v>
      </c>
      <c r="N2822" s="12">
        <v>437.5</v>
      </c>
      <c r="O2822" s="6">
        <f t="shared" si="728"/>
        <v>-437.5</v>
      </c>
      <c r="P2822" s="6">
        <f t="shared" si="720"/>
        <v>0</v>
      </c>
      <c r="Q2822" s="7">
        <v>4488925.6499999994</v>
      </c>
      <c r="R2822" s="44" t="str">
        <f>VLOOKUP(F2822,'Set up'!$A$2:$E$70,5,FALSE)</f>
        <v>Trsf</v>
      </c>
      <c r="S2822" s="1" t="s">
        <v>3091</v>
      </c>
    </row>
    <row r="2823" spans="1:19" ht="15" customHeight="1" x14ac:dyDescent="0.35">
      <c r="A2823" s="4">
        <v>45411</v>
      </c>
      <c r="B2823" s="5">
        <f t="shared" si="729"/>
        <v>4</v>
      </c>
      <c r="C2823" s="5">
        <f t="shared" si="730"/>
        <v>2024</v>
      </c>
      <c r="D2823" s="5" t="s">
        <v>2526</v>
      </c>
      <c r="E2823" s="5" t="str">
        <f>VLOOKUP(F2823,'Set up'!$A$2:$C$70,2,FALSE)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up'!$A$2:$C$70,3,FALSE)</f>
        <v>Cash</v>
      </c>
      <c r="J2823" s="5">
        <f>VLOOKUP(F2823,'Set up'!$A$2:$D$70,4,FALSE)</f>
        <v>0</v>
      </c>
      <c r="K2823" s="4">
        <f t="shared" si="731"/>
        <v>45411</v>
      </c>
      <c r="L2823" s="5">
        <f t="shared" si="732"/>
        <v>4</v>
      </c>
      <c r="M2823" s="5">
        <f t="shared" si="733"/>
        <v>2024</v>
      </c>
      <c r="N2823" s="12">
        <v>0</v>
      </c>
      <c r="O2823" s="6">
        <f t="shared" si="728"/>
        <v>0</v>
      </c>
      <c r="P2823" s="6">
        <f t="shared" si="720"/>
        <v>0</v>
      </c>
      <c r="Q2823" s="7">
        <v>4489320.6499999994</v>
      </c>
      <c r="R2823" s="44" t="str">
        <f>VLOOKUP(F2823,'Set up'!$A$2:$E$70,5,FALSE)</f>
        <v>Trsf</v>
      </c>
      <c r="S2823" s="1" t="s">
        <v>3092</v>
      </c>
    </row>
    <row r="2824" spans="1:19" ht="15" customHeight="1" x14ac:dyDescent="0.35">
      <c r="A2824" s="4">
        <v>45411</v>
      </c>
      <c r="B2824" s="5">
        <f t="shared" si="729"/>
        <v>4</v>
      </c>
      <c r="C2824" s="5">
        <f t="shared" si="730"/>
        <v>2024</v>
      </c>
      <c r="D2824" s="5" t="s">
        <v>2528</v>
      </c>
      <c r="E2824" s="5" t="str">
        <f>VLOOKUP(F2824,'Set up'!$A$2:$C$70,2,FALSE)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up'!$A$2:$C$70,3,FALSE)</f>
        <v>Cash</v>
      </c>
      <c r="J2824" s="5">
        <f>VLOOKUP(F2824,'Set up'!$A$2:$D$70,4,FALSE)</f>
        <v>0</v>
      </c>
      <c r="K2824" s="4">
        <f t="shared" si="731"/>
        <v>45411</v>
      </c>
      <c r="L2824" s="5">
        <f t="shared" si="732"/>
        <v>4</v>
      </c>
      <c r="M2824" s="5">
        <f t="shared" si="733"/>
        <v>2024</v>
      </c>
      <c r="N2824" s="12">
        <v>11396</v>
      </c>
      <c r="O2824" s="6">
        <f t="shared" si="728"/>
        <v>-11396</v>
      </c>
      <c r="P2824" s="6">
        <f t="shared" si="720"/>
        <v>0</v>
      </c>
      <c r="Q2824" s="7">
        <v>4500811.6499999994</v>
      </c>
      <c r="R2824" s="44" t="str">
        <f>VLOOKUP(F2824,'Set up'!$A$2:$E$70,5,FALSE)</f>
        <v>Trsf</v>
      </c>
      <c r="S2824" s="1" t="s">
        <v>3093</v>
      </c>
    </row>
    <row r="2825" spans="1:19" ht="15" customHeight="1" x14ac:dyDescent="0.35">
      <c r="A2825" s="4">
        <v>45411</v>
      </c>
      <c r="B2825" s="5">
        <f t="shared" si="729"/>
        <v>4</v>
      </c>
      <c r="C2825" s="5">
        <f t="shared" si="730"/>
        <v>2024</v>
      </c>
      <c r="D2825" s="5" t="s">
        <v>2528</v>
      </c>
      <c r="E2825" s="5" t="str">
        <f>VLOOKUP(F2825,'Set up'!$A$2:$C$70,2,FALSE)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up'!$A$2:$C$70,3,FALSE)</f>
        <v>Cash</v>
      </c>
      <c r="J2825" s="5">
        <f>VLOOKUP(F2825,'Set up'!$A$2:$D$70,4,FALSE)</f>
        <v>0</v>
      </c>
      <c r="K2825" s="4">
        <f t="shared" si="731"/>
        <v>45411</v>
      </c>
      <c r="L2825" s="5">
        <f t="shared" si="732"/>
        <v>4</v>
      </c>
      <c r="M2825" s="5">
        <f t="shared" si="733"/>
        <v>2024</v>
      </c>
      <c r="N2825" s="12">
        <v>3654</v>
      </c>
      <c r="O2825" s="6">
        <f t="shared" si="728"/>
        <v>-3654</v>
      </c>
      <c r="P2825" s="6">
        <f t="shared" si="720"/>
        <v>0</v>
      </c>
      <c r="Q2825" s="7">
        <v>4494807.6499999994</v>
      </c>
      <c r="R2825" s="44" t="str">
        <f>VLOOKUP(F2825,'Set up'!$A$2:$E$70,5,FALSE)</f>
        <v>Trsf</v>
      </c>
      <c r="S2825" s="1" t="s">
        <v>3094</v>
      </c>
    </row>
    <row r="2826" spans="1:19" ht="15" customHeight="1" x14ac:dyDescent="0.35">
      <c r="A2826" s="4">
        <v>45411</v>
      </c>
      <c r="B2826" s="5">
        <f t="shared" si="729"/>
        <v>4</v>
      </c>
      <c r="C2826" s="5">
        <f t="shared" si="730"/>
        <v>2024</v>
      </c>
      <c r="D2826" s="5" t="s">
        <v>2528</v>
      </c>
      <c r="E2826" s="5" t="str">
        <f>VLOOKUP(F2826,'Set up'!$A$2:$C$70,2,FALSE)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up'!$A$2:$C$70,3,FALSE)</f>
        <v>Cash</v>
      </c>
      <c r="J2826" s="5">
        <f>VLOOKUP(F2826,'Set up'!$A$2:$D$70,4,FALSE)</f>
        <v>0</v>
      </c>
      <c r="K2826" s="4">
        <f t="shared" si="731"/>
        <v>45411</v>
      </c>
      <c r="L2826" s="5">
        <f t="shared" si="732"/>
        <v>4</v>
      </c>
      <c r="M2826" s="5">
        <f t="shared" si="733"/>
        <v>2024</v>
      </c>
      <c r="N2826" s="12">
        <v>1872</v>
      </c>
      <c r="O2826" s="6">
        <f t="shared" si="728"/>
        <v>-1872</v>
      </c>
      <c r="P2826" s="6">
        <f t="shared" si="720"/>
        <v>0</v>
      </c>
      <c r="Q2826" s="7">
        <v>4493245.6499999994</v>
      </c>
      <c r="R2826" s="44" t="str">
        <f>VLOOKUP(F2826,'Set up'!$A$2:$E$70,5,FALSE)</f>
        <v>Trsf</v>
      </c>
      <c r="S2826" s="1" t="s">
        <v>3095</v>
      </c>
    </row>
    <row r="2827" spans="1:19" ht="15" customHeight="1" x14ac:dyDescent="0.35">
      <c r="A2827" s="4">
        <v>45411</v>
      </c>
      <c r="B2827" s="5">
        <f t="shared" si="729"/>
        <v>4</v>
      </c>
      <c r="C2827" s="5">
        <f t="shared" si="730"/>
        <v>2024</v>
      </c>
      <c r="D2827" s="5" t="s">
        <v>2528</v>
      </c>
      <c r="E2827" s="5" t="str">
        <f>VLOOKUP(F2827,'Set up'!$A$2:$C$70,2,FALSE)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up'!$A$2:$C$70,3,FALSE)</f>
        <v>Cash</v>
      </c>
      <c r="J2827" s="5">
        <f>VLOOKUP(F2827,'Set up'!$A$2:$D$70,4,FALSE)</f>
        <v>0</v>
      </c>
      <c r="K2827" s="4">
        <f t="shared" si="731"/>
        <v>45411</v>
      </c>
      <c r="L2827" s="5">
        <f t="shared" si="732"/>
        <v>4</v>
      </c>
      <c r="M2827" s="5">
        <f t="shared" si="733"/>
        <v>2024</v>
      </c>
      <c r="N2827" s="12">
        <v>1000</v>
      </c>
      <c r="O2827" s="12">
        <f>-680.1-319.9</f>
        <v>-1000</v>
      </c>
      <c r="P2827" s="6">
        <f t="shared" si="720"/>
        <v>0</v>
      </c>
      <c r="Q2827" s="7">
        <v>4494023.6499999994</v>
      </c>
      <c r="R2827" s="44" t="str">
        <f>VLOOKUP(F2827,'Set up'!$A$2:$E$70,5,FALSE)</f>
        <v>Trsf</v>
      </c>
      <c r="S2827" s="1" t="s">
        <v>3096</v>
      </c>
    </row>
    <row r="2828" spans="1:19" ht="15" customHeight="1" x14ac:dyDescent="0.35">
      <c r="A2828" s="4">
        <v>45413</v>
      </c>
      <c r="B2828" s="5">
        <f t="shared" si="729"/>
        <v>5</v>
      </c>
      <c r="C2828" s="5">
        <f t="shared" si="730"/>
        <v>2024</v>
      </c>
      <c r="D2828" s="5" t="s">
        <v>2548</v>
      </c>
      <c r="E2828" s="5" t="str">
        <f>VLOOKUP(F2828,'Set up'!$A$2:$C$70,2,FALSE)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up'!$A$2:$C$70,3,FALSE)</f>
        <v>Cash</v>
      </c>
      <c r="J2828" s="5">
        <f>VLOOKUP(F2828,'Set up'!$A$2:$D$70,4,FALSE)</f>
        <v>0</v>
      </c>
      <c r="K2828" s="4">
        <f t="shared" si="731"/>
        <v>45413</v>
      </c>
      <c r="L2828" s="5">
        <f t="shared" si="732"/>
        <v>5</v>
      </c>
      <c r="M2828" s="5">
        <f t="shared" si="733"/>
        <v>2024</v>
      </c>
      <c r="N2828" s="12">
        <v>1760</v>
      </c>
      <c r="O2828" s="12">
        <f>-545.2-1000-214.8</f>
        <v>-1760</v>
      </c>
      <c r="P2828" s="6">
        <f t="shared" si="720"/>
        <v>0</v>
      </c>
      <c r="Q2828" s="7">
        <v>4522710.45</v>
      </c>
      <c r="R2828" s="44" t="str">
        <f>VLOOKUP(F2828,'Set up'!$A$2:$E$70,5,FALSE)</f>
        <v>Trsf</v>
      </c>
      <c r="S2828" s="1" t="s">
        <v>3900</v>
      </c>
    </row>
    <row r="2829" spans="1:19" ht="15" customHeight="1" x14ac:dyDescent="0.35">
      <c r="A2829" s="4">
        <v>45413</v>
      </c>
      <c r="B2829" s="5">
        <f t="shared" si="729"/>
        <v>5</v>
      </c>
      <c r="C2829" s="5">
        <f t="shared" si="730"/>
        <v>2024</v>
      </c>
      <c r="D2829" s="5" t="s">
        <v>2548</v>
      </c>
      <c r="E2829" s="5" t="str">
        <f>VLOOKUP(F2829,'Set up'!$A$2:$C$70,2,FALSE)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up'!$A$2:$C$70,3,FALSE)</f>
        <v>Cash</v>
      </c>
      <c r="J2829" s="5">
        <f>VLOOKUP(F2829,'Set up'!$A$2:$D$70,4,FALSE)</f>
        <v>0</v>
      </c>
      <c r="K2829" s="4">
        <f t="shared" si="731"/>
        <v>45413</v>
      </c>
      <c r="L2829" s="5">
        <f t="shared" si="732"/>
        <v>5</v>
      </c>
      <c r="M2829" s="5">
        <f t="shared" si="733"/>
        <v>2024</v>
      </c>
      <c r="N2829" s="12">
        <v>405</v>
      </c>
      <c r="O2829" s="6">
        <f t="shared" ref="O2829:O2831" si="734">-N2829</f>
        <v>-405</v>
      </c>
      <c r="P2829" s="6">
        <f t="shared" si="720"/>
        <v>0</v>
      </c>
      <c r="Q2829" s="7">
        <v>4524835.45</v>
      </c>
      <c r="R2829" s="44" t="str">
        <f>VLOOKUP(F2829,'Set up'!$A$2:$E$70,5,FALSE)</f>
        <v>Trsf</v>
      </c>
      <c r="S2829" s="1" t="s">
        <v>3901</v>
      </c>
    </row>
    <row r="2830" spans="1:19" ht="15" customHeight="1" x14ac:dyDescent="0.35">
      <c r="A2830" s="4">
        <v>45413</v>
      </c>
      <c r="B2830" s="5">
        <f t="shared" si="729"/>
        <v>5</v>
      </c>
      <c r="C2830" s="5">
        <f t="shared" si="730"/>
        <v>2024</v>
      </c>
      <c r="D2830" s="5" t="s">
        <v>2548</v>
      </c>
      <c r="E2830" s="5" t="str">
        <f>VLOOKUP(F2830,'Set up'!$A$2:$C$70,2,FALSE)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up'!$A$2:$C$70,3,FALSE)</f>
        <v>Cash</v>
      </c>
      <c r="J2830" s="5">
        <f>VLOOKUP(F2830,'Set up'!$A$2:$D$70,4,FALSE)</f>
        <v>0</v>
      </c>
      <c r="K2830" s="4">
        <f t="shared" si="731"/>
        <v>45413</v>
      </c>
      <c r="L2830" s="5">
        <f t="shared" si="732"/>
        <v>5</v>
      </c>
      <c r="M2830" s="5">
        <f t="shared" si="733"/>
        <v>2024</v>
      </c>
      <c r="N2830" s="12">
        <v>390</v>
      </c>
      <c r="O2830" s="6">
        <f t="shared" si="734"/>
        <v>-390</v>
      </c>
      <c r="P2830" s="6">
        <f t="shared" si="720"/>
        <v>0</v>
      </c>
      <c r="Q2830" s="7">
        <v>4527160.45</v>
      </c>
      <c r="R2830" s="44" t="str">
        <f>VLOOKUP(F2830,'Set up'!$A$2:$E$70,5,FALSE)</f>
        <v>Trsf</v>
      </c>
      <c r="S2830" s="1" t="s">
        <v>3902</v>
      </c>
    </row>
    <row r="2831" spans="1:19" ht="15" customHeight="1" x14ac:dyDescent="0.35">
      <c r="A2831" s="4">
        <v>45413</v>
      </c>
      <c r="B2831" s="5">
        <f t="shared" si="729"/>
        <v>5</v>
      </c>
      <c r="C2831" s="5">
        <f t="shared" si="730"/>
        <v>2024</v>
      </c>
      <c r="D2831" s="5" t="s">
        <v>2548</v>
      </c>
      <c r="E2831" s="5" t="str">
        <f>VLOOKUP(F2831,'Set up'!$A$2:$C$70,2,FALSE)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up'!$A$2:$C$70,3,FALSE)</f>
        <v>Cash</v>
      </c>
      <c r="J2831" s="5">
        <f>VLOOKUP(F2831,'Set up'!$A$2:$D$70,4,FALSE)</f>
        <v>0</v>
      </c>
      <c r="K2831" s="4">
        <f t="shared" si="731"/>
        <v>45413</v>
      </c>
      <c r="L2831" s="5">
        <f t="shared" si="732"/>
        <v>5</v>
      </c>
      <c r="M2831" s="5">
        <f t="shared" si="733"/>
        <v>2024</v>
      </c>
      <c r="N2831" s="12">
        <v>187.5</v>
      </c>
      <c r="O2831" s="6">
        <f t="shared" si="734"/>
        <v>-187.5</v>
      </c>
      <c r="P2831" s="6">
        <f t="shared" si="720"/>
        <v>0</v>
      </c>
      <c r="Q2831" s="7">
        <v>4527337.95</v>
      </c>
      <c r="R2831" s="44" t="str">
        <f>VLOOKUP(F2831,'Set up'!$A$2:$E$70,5,FALSE)</f>
        <v>Trsf</v>
      </c>
      <c r="S2831" s="1" t="s">
        <v>3903</v>
      </c>
    </row>
    <row r="2832" spans="1:19" ht="15" customHeight="1" x14ac:dyDescent="0.35">
      <c r="A2832" s="4">
        <v>45415</v>
      </c>
      <c r="B2832" s="5">
        <f t="shared" si="729"/>
        <v>5</v>
      </c>
      <c r="C2832" s="5">
        <f t="shared" si="730"/>
        <v>2024</v>
      </c>
      <c r="D2832" s="5" t="s">
        <v>2549</v>
      </c>
      <c r="E2832" s="5" t="str">
        <f>VLOOKUP(F2832,'Set up'!$A$2:$C$70,2,FALSE)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up'!$A$2:$C$70,3,FALSE)</f>
        <v>Cash</v>
      </c>
      <c r="J2832" s="5">
        <f>VLOOKUP(F2832,'Set up'!$A$2:$D$70,4,FALSE)</f>
        <v>0</v>
      </c>
      <c r="K2832" s="4">
        <f t="shared" si="731"/>
        <v>45415</v>
      </c>
      <c r="L2832" s="5">
        <f t="shared" si="732"/>
        <v>5</v>
      </c>
      <c r="M2832" s="5">
        <f t="shared" si="733"/>
        <v>2024</v>
      </c>
      <c r="N2832" s="12">
        <v>283.8</v>
      </c>
      <c r="O2832" s="6">
        <f t="shared" ref="O2832:O2839" si="735">-N2832</f>
        <v>-283.8</v>
      </c>
      <c r="P2832" s="6">
        <f t="shared" si="720"/>
        <v>0</v>
      </c>
      <c r="Q2832" s="7">
        <v>4528433.45</v>
      </c>
      <c r="R2832" s="44" t="str">
        <f>VLOOKUP(F2832,'Set up'!$A$2:$E$70,5,FALSE)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729"/>
        <v>5</v>
      </c>
      <c r="C2833" s="5">
        <f t="shared" si="730"/>
        <v>2024</v>
      </c>
      <c r="D2833" s="5" t="s">
        <v>2549</v>
      </c>
      <c r="E2833" s="5" t="str">
        <f>VLOOKUP(F2833,'Set up'!$A$2:$C$70,2,FALSE)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up'!$A$2:$C$70,3,FALSE)</f>
        <v>Cash</v>
      </c>
      <c r="J2833" s="5">
        <f>VLOOKUP(F2833,'Set up'!$A$2:$D$70,4,FALSE)</f>
        <v>0</v>
      </c>
      <c r="K2833" s="4">
        <f t="shared" si="731"/>
        <v>45415</v>
      </c>
      <c r="L2833" s="5">
        <f t="shared" si="732"/>
        <v>5</v>
      </c>
      <c r="M2833" s="5">
        <f t="shared" si="733"/>
        <v>2024</v>
      </c>
      <c r="N2833" s="12">
        <v>160</v>
      </c>
      <c r="O2833" s="6">
        <f t="shared" si="735"/>
        <v>-160</v>
      </c>
      <c r="P2833" s="6">
        <f t="shared" si="720"/>
        <v>0</v>
      </c>
      <c r="Q2833" s="7">
        <v>4530048.45</v>
      </c>
      <c r="R2833" s="44" t="str">
        <f>VLOOKUP(F2833,'Set up'!$A$2:$E$70,5,FALSE)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729"/>
        <v>5</v>
      </c>
      <c r="C2834" s="5">
        <f t="shared" si="730"/>
        <v>2024</v>
      </c>
      <c r="D2834" s="5" t="s">
        <v>2550</v>
      </c>
      <c r="E2834" s="5" t="str">
        <f>VLOOKUP(F2834,'Set up'!$A$2:$C$70,2,FALSE)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up'!$A$2:$C$70,3,FALSE)</f>
        <v>Cash</v>
      </c>
      <c r="J2834" s="5">
        <f>VLOOKUP(F2834,'Set up'!$A$2:$D$70,4,FALSE)</f>
        <v>0</v>
      </c>
      <c r="K2834" s="4">
        <f t="shared" si="731"/>
        <v>45416</v>
      </c>
      <c r="L2834" s="5">
        <f t="shared" si="732"/>
        <v>5</v>
      </c>
      <c r="M2834" s="5">
        <f t="shared" si="733"/>
        <v>2024</v>
      </c>
      <c r="N2834" s="12">
        <v>500</v>
      </c>
      <c r="O2834" s="6">
        <f t="shared" si="735"/>
        <v>-500</v>
      </c>
      <c r="P2834" s="6">
        <f t="shared" si="720"/>
        <v>0</v>
      </c>
      <c r="Q2834" s="7">
        <v>4530575.95</v>
      </c>
      <c r="R2834" s="44" t="str">
        <f>VLOOKUP(F2834,'Set up'!$A$2:$E$70,5,FALSE)</f>
        <v>Trsf</v>
      </c>
      <c r="S2834" s="1" t="s">
        <v>3149</v>
      </c>
    </row>
    <row r="2835" spans="1:19" ht="15" customHeight="1" x14ac:dyDescent="0.35">
      <c r="A2835" s="4">
        <v>45416</v>
      </c>
      <c r="B2835" s="5">
        <f t="shared" si="729"/>
        <v>5</v>
      </c>
      <c r="C2835" s="5">
        <f t="shared" si="730"/>
        <v>2024</v>
      </c>
      <c r="D2835" s="5" t="s">
        <v>2551</v>
      </c>
      <c r="E2835" s="5" t="str">
        <f>VLOOKUP(F2835,'Set up'!$A$2:$C$70,2,FALSE)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up'!$A$2:$C$70,3,FALSE)</f>
        <v>Cash</v>
      </c>
      <c r="J2835" s="5">
        <f>VLOOKUP(F2835,'Set up'!$A$2:$D$70,4,FALSE)</f>
        <v>0</v>
      </c>
      <c r="K2835" s="4">
        <f t="shared" si="731"/>
        <v>45416</v>
      </c>
      <c r="L2835" s="5">
        <f t="shared" si="732"/>
        <v>5</v>
      </c>
      <c r="M2835" s="5">
        <f t="shared" si="733"/>
        <v>2024</v>
      </c>
      <c r="N2835" s="12">
        <v>13024</v>
      </c>
      <c r="O2835" s="6">
        <f t="shared" si="735"/>
        <v>-13024</v>
      </c>
      <c r="P2835" s="6">
        <f t="shared" si="720"/>
        <v>0</v>
      </c>
      <c r="Q2835" s="7">
        <v>4552867.95</v>
      </c>
      <c r="R2835" s="44" t="str">
        <f>VLOOKUP(F2835,'Set up'!$A$2:$E$70,5,FALSE)</f>
        <v>Trsf</v>
      </c>
      <c r="S2835" s="1" t="s">
        <v>3150</v>
      </c>
    </row>
    <row r="2836" spans="1:19" ht="15" customHeight="1" x14ac:dyDescent="0.35">
      <c r="A2836" s="4">
        <v>45416</v>
      </c>
      <c r="B2836" s="5">
        <f t="shared" si="729"/>
        <v>5</v>
      </c>
      <c r="C2836" s="5">
        <f t="shared" si="730"/>
        <v>2024</v>
      </c>
      <c r="D2836" s="5" t="s">
        <v>2551</v>
      </c>
      <c r="E2836" s="5" t="str">
        <f>VLOOKUP(F2836,'Set up'!$A$2:$C$70,2,FALSE)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up'!$A$2:$C$70,3,FALSE)</f>
        <v>Cash</v>
      </c>
      <c r="J2836" s="5">
        <f>VLOOKUP(F2836,'Set up'!$A$2:$D$70,4,FALSE)</f>
        <v>0</v>
      </c>
      <c r="K2836" s="4">
        <f t="shared" si="731"/>
        <v>45416</v>
      </c>
      <c r="L2836" s="5">
        <f t="shared" si="732"/>
        <v>5</v>
      </c>
      <c r="M2836" s="5">
        <f t="shared" si="733"/>
        <v>2024</v>
      </c>
      <c r="N2836" s="12">
        <v>3828</v>
      </c>
      <c r="O2836" s="6">
        <f t="shared" si="735"/>
        <v>-3828</v>
      </c>
      <c r="P2836" s="6">
        <f t="shared" si="720"/>
        <v>0</v>
      </c>
      <c r="Q2836" s="7">
        <v>4545411.95</v>
      </c>
      <c r="R2836" s="44" t="str">
        <f>VLOOKUP(F2836,'Set up'!$A$2:$E$70,5,FALSE)</f>
        <v>Trsf</v>
      </c>
      <c r="S2836" s="1" t="s">
        <v>3151</v>
      </c>
    </row>
    <row r="2837" spans="1:19" ht="15" customHeight="1" x14ac:dyDescent="0.35">
      <c r="A2837" s="4">
        <v>45416</v>
      </c>
      <c r="B2837" s="5">
        <f t="shared" si="729"/>
        <v>5</v>
      </c>
      <c r="C2837" s="5">
        <f t="shared" si="730"/>
        <v>2024</v>
      </c>
      <c r="D2837" s="5" t="s">
        <v>2551</v>
      </c>
      <c r="E2837" s="5" t="str">
        <f>VLOOKUP(F2837,'Set up'!$A$2:$C$70,2,FALSE)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up'!$A$2:$C$70,3,FALSE)</f>
        <v>Cash</v>
      </c>
      <c r="J2837" s="5">
        <f>VLOOKUP(F2837,'Set up'!$A$2:$D$70,4,FALSE)</f>
        <v>0</v>
      </c>
      <c r="K2837" s="4">
        <f t="shared" si="731"/>
        <v>45416</v>
      </c>
      <c r="L2837" s="5">
        <f t="shared" si="732"/>
        <v>5</v>
      </c>
      <c r="M2837" s="5">
        <f t="shared" si="733"/>
        <v>2024</v>
      </c>
      <c r="N2837" s="12">
        <v>2808</v>
      </c>
      <c r="O2837" s="6">
        <f t="shared" si="735"/>
        <v>-2808</v>
      </c>
      <c r="P2837" s="6">
        <f t="shared" ref="P2837:P2900" si="736">SUM(N2837+O2837)</f>
        <v>0</v>
      </c>
      <c r="Q2837" s="7">
        <v>4544831.95</v>
      </c>
      <c r="R2837" s="44" t="str">
        <f>VLOOKUP(F2837,'Set up'!$A$2:$E$70,5,FALSE)</f>
        <v>Trsf</v>
      </c>
      <c r="S2837" s="1" t="s">
        <v>3152</v>
      </c>
    </row>
    <row r="2838" spans="1:19" ht="15" customHeight="1" x14ac:dyDescent="0.35">
      <c r="A2838" s="4">
        <v>45416</v>
      </c>
      <c r="B2838" s="5">
        <f t="shared" si="729"/>
        <v>5</v>
      </c>
      <c r="C2838" s="5">
        <f t="shared" si="730"/>
        <v>2024</v>
      </c>
      <c r="D2838" s="5" t="s">
        <v>2551</v>
      </c>
      <c r="E2838" s="5" t="str">
        <f>VLOOKUP(F2838,'Set up'!$A$2:$C$70,2,FALSE)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up'!$A$2:$C$70,3,FALSE)</f>
        <v>Cash</v>
      </c>
      <c r="J2838" s="5">
        <f>VLOOKUP(F2838,'Set up'!$A$2:$D$70,4,FALSE)</f>
        <v>0</v>
      </c>
      <c r="K2838" s="4">
        <f t="shared" si="731"/>
        <v>45416</v>
      </c>
      <c r="L2838" s="5">
        <f t="shared" si="732"/>
        <v>5</v>
      </c>
      <c r="M2838" s="5">
        <f t="shared" si="733"/>
        <v>2024</v>
      </c>
      <c r="N2838" s="12">
        <v>1000</v>
      </c>
      <c r="O2838" s="6">
        <f t="shared" si="735"/>
        <v>-1000</v>
      </c>
      <c r="P2838" s="6">
        <f t="shared" si="736"/>
        <v>0</v>
      </c>
      <c r="Q2838" s="7">
        <v>4543418.95</v>
      </c>
      <c r="R2838" s="44" t="str">
        <f>VLOOKUP(F2838,'Set up'!$A$2:$E$70,5,FALSE)</f>
        <v>Trsf</v>
      </c>
      <c r="S2838" s="1" t="s">
        <v>3153</v>
      </c>
    </row>
    <row r="2839" spans="1:19" ht="15" customHeight="1" x14ac:dyDescent="0.35">
      <c r="A2839" s="4">
        <v>45416</v>
      </c>
      <c r="B2839" s="5">
        <f t="shared" si="729"/>
        <v>5</v>
      </c>
      <c r="C2839" s="5">
        <f t="shared" si="730"/>
        <v>2024</v>
      </c>
      <c r="D2839" s="5" t="s">
        <v>2551</v>
      </c>
      <c r="E2839" s="5" t="str">
        <f>VLOOKUP(F2839,'Set up'!$A$2:$C$70,2,FALSE)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up'!$A$2:$C$70,3,FALSE)</f>
        <v>Cash</v>
      </c>
      <c r="J2839" s="5">
        <f>VLOOKUP(F2839,'Set up'!$A$2:$D$70,4,FALSE)</f>
        <v>0</v>
      </c>
      <c r="K2839" s="4">
        <f t="shared" si="731"/>
        <v>45416</v>
      </c>
      <c r="L2839" s="5">
        <f t="shared" si="732"/>
        <v>5</v>
      </c>
      <c r="M2839" s="5">
        <f t="shared" si="733"/>
        <v>2024</v>
      </c>
      <c r="N2839" s="12">
        <v>380</v>
      </c>
      <c r="O2839" s="6">
        <f t="shared" si="735"/>
        <v>-380</v>
      </c>
      <c r="P2839" s="6">
        <f t="shared" si="736"/>
        <v>0</v>
      </c>
      <c r="Q2839" s="7">
        <v>4544426.95</v>
      </c>
      <c r="R2839" s="44" t="str">
        <f>VLOOKUP(F2839,'Set up'!$A$2:$E$70,5,FALSE)</f>
        <v>Trsf</v>
      </c>
      <c r="S2839" s="1" t="s">
        <v>3154</v>
      </c>
    </row>
    <row r="2840" spans="1:19" ht="15" customHeight="1" x14ac:dyDescent="0.35">
      <c r="A2840" s="4">
        <v>45419</v>
      </c>
      <c r="B2840" s="5">
        <f t="shared" si="729"/>
        <v>5</v>
      </c>
      <c r="C2840" s="5">
        <f t="shared" si="730"/>
        <v>2024</v>
      </c>
      <c r="D2840" s="5" t="s">
        <v>2553</v>
      </c>
      <c r="E2840" s="5" t="str">
        <f>VLOOKUP(F2840,'Set up'!$A$2:$C$70,2,FALSE)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up'!$A$2:$C$70,3,FALSE)</f>
        <v>Cash</v>
      </c>
      <c r="J2840" s="5">
        <f>VLOOKUP(F2840,'Set up'!$A$2:$D$70,4,FALSE)</f>
        <v>0</v>
      </c>
      <c r="K2840" s="4">
        <f t="shared" si="731"/>
        <v>45419</v>
      </c>
      <c r="L2840" s="5">
        <f t="shared" si="732"/>
        <v>5</v>
      </c>
      <c r="M2840" s="5">
        <f t="shared" si="733"/>
        <v>2024</v>
      </c>
      <c r="N2840" s="12">
        <v>3476</v>
      </c>
      <c r="O2840" s="12">
        <f>-3000-476</f>
        <v>-3476</v>
      </c>
      <c r="P2840" s="6">
        <f t="shared" si="736"/>
        <v>0</v>
      </c>
      <c r="Q2840" s="7">
        <v>4548143.95</v>
      </c>
      <c r="R2840" s="44" t="str">
        <f>VLOOKUP(F2840,'Set up'!$A$2:$E$70,5,FALSE)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729"/>
        <v>5</v>
      </c>
      <c r="C2841" s="5">
        <f t="shared" si="730"/>
        <v>2024</v>
      </c>
      <c r="D2841" s="5" t="s">
        <v>2553</v>
      </c>
      <c r="E2841" s="5" t="str">
        <f>VLOOKUP(F2841,'Set up'!$A$2:$C$70,2,FALSE)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up'!$A$2:$C$70,3,FALSE)</f>
        <v>Cash</v>
      </c>
      <c r="J2841" s="5">
        <f>VLOOKUP(F2841,'Set up'!$A$2:$D$70,4,FALSE)</f>
        <v>0</v>
      </c>
      <c r="K2841" s="4">
        <f t="shared" si="731"/>
        <v>45419</v>
      </c>
      <c r="L2841" s="5">
        <f t="shared" si="732"/>
        <v>5</v>
      </c>
      <c r="M2841" s="5">
        <f t="shared" si="733"/>
        <v>2024</v>
      </c>
      <c r="N2841" s="12">
        <v>405</v>
      </c>
      <c r="O2841" s="6">
        <f t="shared" ref="O2841:O2850" si="737">-N2841</f>
        <v>-405</v>
      </c>
      <c r="P2841" s="6">
        <f t="shared" si="736"/>
        <v>0</v>
      </c>
      <c r="Q2841" s="7">
        <v>4545356.75</v>
      </c>
      <c r="R2841" s="44" t="str">
        <f>VLOOKUP(F2841,'Set up'!$A$2:$E$70,5,FALSE)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729"/>
        <v>5</v>
      </c>
      <c r="C2842" s="5">
        <f t="shared" si="730"/>
        <v>2024</v>
      </c>
      <c r="D2842" s="5" t="s">
        <v>2553</v>
      </c>
      <c r="E2842" s="5" t="str">
        <f>VLOOKUP(F2842,'Set up'!$A$2:$C$70,2,FALSE)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up'!$A$2:$C$70,3,FALSE)</f>
        <v>Cash</v>
      </c>
      <c r="J2842" s="5">
        <f>VLOOKUP(F2842,'Set up'!$A$2:$D$70,4,FALSE)</f>
        <v>0</v>
      </c>
      <c r="K2842" s="4">
        <f t="shared" si="731"/>
        <v>45419</v>
      </c>
      <c r="L2842" s="5">
        <f t="shared" si="732"/>
        <v>5</v>
      </c>
      <c r="M2842" s="5">
        <f t="shared" si="733"/>
        <v>2024</v>
      </c>
      <c r="N2842" s="12">
        <v>220</v>
      </c>
      <c r="O2842" s="6">
        <f t="shared" si="737"/>
        <v>-220</v>
      </c>
      <c r="P2842" s="6">
        <f t="shared" si="736"/>
        <v>0</v>
      </c>
      <c r="Q2842" s="7">
        <v>4545331.75</v>
      </c>
      <c r="R2842" s="44" t="str">
        <f>VLOOKUP(F2842,'Set up'!$A$2:$E$70,5,FALSE)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729"/>
        <v>5</v>
      </c>
      <c r="C2843" s="5">
        <f t="shared" si="730"/>
        <v>2024</v>
      </c>
      <c r="D2843" s="5" t="s">
        <v>2553</v>
      </c>
      <c r="E2843" s="5" t="str">
        <f>VLOOKUP(F2843,'Set up'!$A$2:$C$70,2,FALSE)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up'!$A$2:$C$70,3,FALSE)</f>
        <v>Cash</v>
      </c>
      <c r="J2843" s="5">
        <f>VLOOKUP(F2843,'Set up'!$A$2:$D$70,4,FALSE)</f>
        <v>0</v>
      </c>
      <c r="K2843" s="4">
        <f t="shared" si="731"/>
        <v>45419</v>
      </c>
      <c r="L2843" s="5">
        <f t="shared" si="732"/>
        <v>5</v>
      </c>
      <c r="M2843" s="5">
        <f t="shared" si="733"/>
        <v>2024</v>
      </c>
      <c r="N2843" s="12">
        <v>567.6</v>
      </c>
      <c r="O2843" s="6">
        <f t="shared" si="737"/>
        <v>-567.6</v>
      </c>
      <c r="P2843" s="6">
        <f t="shared" si="736"/>
        <v>0</v>
      </c>
      <c r="Q2843" s="7">
        <v>4545844.3499999996</v>
      </c>
      <c r="R2843" s="44" t="str">
        <f>VLOOKUP(F2843,'Set up'!$A$2:$E$70,5,FALSE)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729"/>
        <v>5</v>
      </c>
      <c r="C2844" s="5">
        <f t="shared" si="730"/>
        <v>2024</v>
      </c>
      <c r="D2844" s="5" t="s">
        <v>2553</v>
      </c>
      <c r="E2844" s="5" t="str">
        <f>VLOOKUP(F2844,'Set up'!$A$2:$C$70,2,FALSE)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up'!$A$2:$C$70,3,FALSE)</f>
        <v>Cash</v>
      </c>
      <c r="J2844" s="5">
        <f>VLOOKUP(F2844,'Set up'!$A$2:$D$70,4,FALSE)</f>
        <v>0</v>
      </c>
      <c r="K2844" s="4">
        <f t="shared" si="731"/>
        <v>45419</v>
      </c>
      <c r="L2844" s="5">
        <f t="shared" si="732"/>
        <v>5</v>
      </c>
      <c r="M2844" s="5">
        <f t="shared" si="733"/>
        <v>2024</v>
      </c>
      <c r="N2844" s="12">
        <v>120</v>
      </c>
      <c r="O2844" s="6">
        <f t="shared" si="737"/>
        <v>-120</v>
      </c>
      <c r="P2844" s="6">
        <f t="shared" si="736"/>
        <v>0</v>
      </c>
      <c r="Q2844" s="7">
        <v>4545506.75</v>
      </c>
      <c r="R2844" s="44" t="str">
        <f>VLOOKUP(F2844,'Set up'!$A$2:$E$70,5,FALSE)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729"/>
        <v>5</v>
      </c>
      <c r="C2845" s="5">
        <f t="shared" si="730"/>
        <v>2024</v>
      </c>
      <c r="D2845" s="5" t="s">
        <v>2553</v>
      </c>
      <c r="E2845" s="5" t="str">
        <f>VLOOKUP(F2845,'Set up'!$A$2:$C$70,2,FALSE)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up'!$A$2:$C$70,3,FALSE)</f>
        <v>Cash</v>
      </c>
      <c r="J2845" s="5">
        <f>VLOOKUP(F2845,'Set up'!$A$2:$D$70,4,FALSE)</f>
        <v>0</v>
      </c>
      <c r="K2845" s="4">
        <f t="shared" si="731"/>
        <v>45419</v>
      </c>
      <c r="L2845" s="5">
        <f t="shared" si="732"/>
        <v>5</v>
      </c>
      <c r="M2845" s="5">
        <f t="shared" si="733"/>
        <v>2024</v>
      </c>
      <c r="N2845" s="12">
        <v>55.2</v>
      </c>
      <c r="O2845" s="6">
        <f t="shared" si="737"/>
        <v>-55.2</v>
      </c>
      <c r="P2845" s="6">
        <f t="shared" si="736"/>
        <v>0</v>
      </c>
      <c r="Q2845" s="7">
        <v>4545561.95</v>
      </c>
      <c r="R2845" s="44" t="str">
        <f>VLOOKUP(F2845,'Set up'!$A$2:$E$70,5,FALSE)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729"/>
        <v>5</v>
      </c>
      <c r="C2846" s="5">
        <f t="shared" si="730"/>
        <v>2024</v>
      </c>
      <c r="D2846" s="5" t="s">
        <v>2554</v>
      </c>
      <c r="E2846" s="5" t="str">
        <f>VLOOKUP(F2846,'Set up'!$A$2:$C$70,2,FALSE)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up'!$A$2:$C$70,3,FALSE)</f>
        <v>30</v>
      </c>
      <c r="J2846" s="5">
        <f>VLOOKUP(F2846,'Set up'!$A$2:$D$70,4,FALSE)</f>
        <v>30</v>
      </c>
      <c r="K2846" s="4">
        <f t="shared" si="731"/>
        <v>45451</v>
      </c>
      <c r="L2846" s="5">
        <f t="shared" si="732"/>
        <v>6</v>
      </c>
      <c r="M2846" s="5">
        <f t="shared" si="733"/>
        <v>2024</v>
      </c>
      <c r="N2846" s="12">
        <v>5280</v>
      </c>
      <c r="O2846" s="6">
        <f t="shared" si="737"/>
        <v>-5280</v>
      </c>
      <c r="P2846" s="6">
        <f t="shared" si="736"/>
        <v>0</v>
      </c>
      <c r="Q2846" s="7">
        <v>4552524.75</v>
      </c>
      <c r="R2846" s="44" t="str">
        <f>VLOOKUP(F2846,'Set up'!$A$2:$E$70,5,FALSE)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729"/>
        <v>5</v>
      </c>
      <c r="C2847" s="5">
        <f t="shared" si="730"/>
        <v>2024</v>
      </c>
      <c r="D2847" s="5" t="s">
        <v>2554</v>
      </c>
      <c r="E2847" s="5" t="str">
        <f>VLOOKUP(F2847,'Set up'!$A$2:$C$70,2,FALSE)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up'!$A$2:$C$70,3,FALSE)</f>
        <v>30</v>
      </c>
      <c r="J2847" s="5">
        <f>VLOOKUP(F2847,'Set up'!$A$2:$D$70,4,FALSE)</f>
        <v>30</v>
      </c>
      <c r="K2847" s="4">
        <f t="shared" si="731"/>
        <v>45451</v>
      </c>
      <c r="L2847" s="5">
        <f t="shared" si="732"/>
        <v>6</v>
      </c>
      <c r="M2847" s="5">
        <f t="shared" si="733"/>
        <v>2024</v>
      </c>
      <c r="N2847" s="12">
        <v>421.2</v>
      </c>
      <c r="O2847" s="6">
        <f t="shared" si="737"/>
        <v>-421.2</v>
      </c>
      <c r="P2847" s="6">
        <f t="shared" si="736"/>
        <v>0</v>
      </c>
      <c r="Q2847" s="7">
        <v>4548220.95</v>
      </c>
      <c r="R2847" s="44" t="str">
        <f>VLOOKUP(F2847,'Set up'!$A$2:$E$70,5,FALSE)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729"/>
        <v>5</v>
      </c>
      <c r="C2848" s="5">
        <f t="shared" si="730"/>
        <v>2024</v>
      </c>
      <c r="D2848" s="5" t="s">
        <v>2554</v>
      </c>
      <c r="E2848" s="5" t="str">
        <f>VLOOKUP(F2848,'Set up'!$A$2:$C$70,2,FALSE)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up'!$A$2:$C$70,3,FALSE)</f>
        <v>30</v>
      </c>
      <c r="J2848" s="5">
        <f>VLOOKUP(F2848,'Set up'!$A$2:$D$70,4,FALSE)</f>
        <v>30</v>
      </c>
      <c r="K2848" s="4">
        <f t="shared" si="731"/>
        <v>45451</v>
      </c>
      <c r="L2848" s="5">
        <f t="shared" si="732"/>
        <v>6</v>
      </c>
      <c r="M2848" s="5">
        <f t="shared" si="733"/>
        <v>2024</v>
      </c>
      <c r="N2848" s="12">
        <v>421.2</v>
      </c>
      <c r="O2848" s="6">
        <f t="shared" si="737"/>
        <v>-421.2</v>
      </c>
      <c r="P2848" s="6">
        <f t="shared" si="736"/>
        <v>0</v>
      </c>
      <c r="Q2848" s="7">
        <v>4548315.95</v>
      </c>
      <c r="R2848" s="44" t="str">
        <f>VLOOKUP(F2848,'Set up'!$A$2:$E$70,5,FALSE)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729"/>
        <v>5</v>
      </c>
      <c r="C2849" s="5">
        <f t="shared" si="730"/>
        <v>2024</v>
      </c>
      <c r="D2849" s="5" t="s">
        <v>2554</v>
      </c>
      <c r="E2849" s="5" t="str">
        <f>VLOOKUP(F2849,'Set up'!$A$2:$C$70,2,FALSE)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up'!$A$2:$C$70,3,FALSE)</f>
        <v>30</v>
      </c>
      <c r="J2849" s="5">
        <f>VLOOKUP(F2849,'Set up'!$A$2:$D$70,4,FALSE)</f>
        <v>30</v>
      </c>
      <c r="K2849" s="4">
        <f t="shared" si="731"/>
        <v>45451</v>
      </c>
      <c r="L2849" s="5">
        <f t="shared" si="732"/>
        <v>6</v>
      </c>
      <c r="M2849" s="5">
        <f t="shared" si="733"/>
        <v>2024</v>
      </c>
      <c r="N2849" s="12">
        <v>240</v>
      </c>
      <c r="O2849" s="6">
        <f t="shared" si="737"/>
        <v>-240</v>
      </c>
      <c r="P2849" s="6">
        <f t="shared" si="736"/>
        <v>0</v>
      </c>
      <c r="Q2849" s="7">
        <v>4548447.25</v>
      </c>
      <c r="R2849" s="44" t="str">
        <f>VLOOKUP(F2849,'Set up'!$A$2:$E$70,5,FALSE)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729"/>
        <v>5</v>
      </c>
      <c r="C2850" s="5">
        <f t="shared" si="730"/>
        <v>2024</v>
      </c>
      <c r="D2850" s="5" t="s">
        <v>2554</v>
      </c>
      <c r="E2850" s="5" t="str">
        <f>VLOOKUP(F2850,'Set up'!$A$2:$C$70,2,FALSE)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up'!$A$2:$C$70,3,FALSE)</f>
        <v>30</v>
      </c>
      <c r="J2850" s="5">
        <f>VLOOKUP(F2850,'Set up'!$A$2:$D$70,4,FALSE)</f>
        <v>30</v>
      </c>
      <c r="K2850" s="4">
        <f t="shared" si="731"/>
        <v>45451</v>
      </c>
      <c r="L2850" s="5">
        <f t="shared" si="732"/>
        <v>6</v>
      </c>
      <c r="M2850" s="5">
        <f t="shared" si="733"/>
        <v>2024</v>
      </c>
      <c r="N2850" s="12">
        <v>312.5</v>
      </c>
      <c r="O2850" s="6">
        <f t="shared" si="737"/>
        <v>-312.5</v>
      </c>
      <c r="P2850" s="6">
        <f t="shared" si="736"/>
        <v>0</v>
      </c>
      <c r="Q2850" s="7">
        <v>4548999.75</v>
      </c>
      <c r="R2850" s="44" t="str">
        <f>VLOOKUP(F2850,'Set up'!$A$2:$E$70,5,FALSE)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729"/>
        <v>5</v>
      </c>
      <c r="C2851" s="5">
        <f t="shared" si="730"/>
        <v>2024</v>
      </c>
      <c r="D2851" s="5" t="s">
        <v>2557</v>
      </c>
      <c r="E2851" s="5" t="str">
        <f>VLOOKUP(F2851,'Set up'!$A$2:$C$70,2,FALSE)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up'!$A$2:$C$70,3,FALSE)</f>
        <v>Cash</v>
      </c>
      <c r="J2851" s="5">
        <f>VLOOKUP(F2851,'Set up'!$A$2:$D$70,4,FALSE)</f>
        <v>0</v>
      </c>
      <c r="K2851" s="4">
        <f t="shared" si="731"/>
        <v>45422</v>
      </c>
      <c r="L2851" s="5">
        <f t="shared" si="732"/>
        <v>5</v>
      </c>
      <c r="M2851" s="5">
        <f t="shared" si="733"/>
        <v>2024</v>
      </c>
      <c r="N2851" s="12">
        <v>3476</v>
      </c>
      <c r="O2851" s="6">
        <f t="shared" ref="O2851:O2857" si="738">-N2851</f>
        <v>-3476</v>
      </c>
      <c r="P2851" s="6">
        <f t="shared" si="736"/>
        <v>0</v>
      </c>
      <c r="Q2851" s="7">
        <v>4553813.25</v>
      </c>
      <c r="R2851" s="44" t="str">
        <f>VLOOKUP(F2851,'Set up'!$A$2:$E$70,5,FALSE)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729"/>
        <v>5</v>
      </c>
      <c r="C2852" s="5">
        <f t="shared" si="730"/>
        <v>2024</v>
      </c>
      <c r="D2852" s="5" t="s">
        <v>2557</v>
      </c>
      <c r="E2852" s="5" t="str">
        <f>VLOOKUP(F2852,'Set up'!$A$2:$C$70,2,FALSE)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up'!$A$2:$C$70,3,FALSE)</f>
        <v>Cash</v>
      </c>
      <c r="J2852" s="5">
        <f>VLOOKUP(F2852,'Set up'!$A$2:$D$70,4,FALSE)</f>
        <v>0</v>
      </c>
      <c r="K2852" s="4">
        <f t="shared" si="731"/>
        <v>45422</v>
      </c>
      <c r="L2852" s="5">
        <f t="shared" si="732"/>
        <v>5</v>
      </c>
      <c r="M2852" s="5">
        <f t="shared" si="733"/>
        <v>2024</v>
      </c>
      <c r="N2852" s="12">
        <v>1350</v>
      </c>
      <c r="O2852" s="6">
        <f t="shared" si="738"/>
        <v>-1350</v>
      </c>
      <c r="P2852" s="6">
        <f t="shared" si="736"/>
        <v>0</v>
      </c>
      <c r="Q2852" s="7">
        <v>4552107.25</v>
      </c>
      <c r="R2852" s="44" t="str">
        <f>VLOOKUP(F2852,'Set up'!$A$2:$E$70,5,FALSE)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729"/>
        <v>5</v>
      </c>
      <c r="C2853" s="5">
        <f t="shared" si="730"/>
        <v>2024</v>
      </c>
      <c r="D2853" s="5" t="s">
        <v>2557</v>
      </c>
      <c r="E2853" s="5" t="str">
        <f>VLOOKUP(F2853,'Set up'!$A$2:$C$70,2,FALSE)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up'!$A$2:$C$70,3,FALSE)</f>
        <v>Cash</v>
      </c>
      <c r="J2853" s="5">
        <f>VLOOKUP(F2853,'Set up'!$A$2:$D$70,4,FALSE)</f>
        <v>0</v>
      </c>
      <c r="K2853" s="4">
        <f t="shared" si="731"/>
        <v>45422</v>
      </c>
      <c r="L2853" s="5">
        <f t="shared" si="732"/>
        <v>5</v>
      </c>
      <c r="M2853" s="5">
        <f t="shared" si="733"/>
        <v>2024</v>
      </c>
      <c r="N2853" s="12">
        <v>220</v>
      </c>
      <c r="O2853" s="6">
        <f t="shared" si="738"/>
        <v>-220</v>
      </c>
      <c r="P2853" s="6">
        <f t="shared" si="736"/>
        <v>0</v>
      </c>
      <c r="Q2853" s="7">
        <v>4551037.25</v>
      </c>
      <c r="R2853" s="44" t="str">
        <f>VLOOKUP(F2853,'Set up'!$A$2:$E$70,5,FALSE)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729"/>
        <v>5</v>
      </c>
      <c r="C2854" s="5">
        <f t="shared" si="730"/>
        <v>2024</v>
      </c>
      <c r="D2854" s="5" t="s">
        <v>2557</v>
      </c>
      <c r="E2854" s="5" t="str">
        <f>VLOOKUP(F2854,'Set up'!$A$2:$C$70,2,FALSE)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up'!$A$2:$C$70,3,FALSE)</f>
        <v>Cash</v>
      </c>
      <c r="J2854" s="5">
        <f>VLOOKUP(F2854,'Set up'!$A$2:$D$70,4,FALSE)</f>
        <v>0</v>
      </c>
      <c r="K2854" s="4">
        <f t="shared" si="731"/>
        <v>45422</v>
      </c>
      <c r="L2854" s="5">
        <f t="shared" si="732"/>
        <v>5</v>
      </c>
      <c r="M2854" s="5">
        <f t="shared" si="733"/>
        <v>2024</v>
      </c>
      <c r="N2854" s="12">
        <v>96</v>
      </c>
      <c r="O2854" s="6">
        <f t="shared" si="738"/>
        <v>-96</v>
      </c>
      <c r="P2854" s="6">
        <f t="shared" si="736"/>
        <v>0</v>
      </c>
      <c r="Q2854" s="7">
        <v>4551333.25</v>
      </c>
      <c r="R2854" s="44" t="str">
        <f>VLOOKUP(F2854,'Set up'!$A$2:$E$70,5,FALSE)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729"/>
        <v>5</v>
      </c>
      <c r="C2855" s="5">
        <f t="shared" si="730"/>
        <v>2024</v>
      </c>
      <c r="D2855" s="5" t="s">
        <v>2557</v>
      </c>
      <c r="E2855" s="5" t="str">
        <f>VLOOKUP(F2855,'Set up'!$A$2:$C$70,2,FALSE)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up'!$A$2:$C$70,3,FALSE)</f>
        <v>Cash</v>
      </c>
      <c r="J2855" s="5">
        <f>VLOOKUP(F2855,'Set up'!$A$2:$D$70,4,FALSE)</f>
        <v>0</v>
      </c>
      <c r="K2855" s="4">
        <f t="shared" si="731"/>
        <v>45422</v>
      </c>
      <c r="L2855" s="5">
        <f t="shared" si="732"/>
        <v>5</v>
      </c>
      <c r="M2855" s="5">
        <f t="shared" si="733"/>
        <v>2024</v>
      </c>
      <c r="N2855" s="12">
        <v>275</v>
      </c>
      <c r="O2855" s="6">
        <f t="shared" si="738"/>
        <v>-275</v>
      </c>
      <c r="P2855" s="6">
        <f t="shared" si="736"/>
        <v>0</v>
      </c>
      <c r="Q2855" s="7">
        <v>4551622.25</v>
      </c>
      <c r="R2855" s="44" t="str">
        <f>VLOOKUP(F2855,'Set up'!$A$2:$E$70,5,FALSE)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729"/>
        <v>5</v>
      </c>
      <c r="C2856" s="5">
        <f t="shared" si="730"/>
        <v>2024</v>
      </c>
      <c r="D2856" s="5" t="s">
        <v>2557</v>
      </c>
      <c r="E2856" s="5" t="str">
        <f>VLOOKUP(F2856,'Set up'!$A$2:$C$70,2,FALSE)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up'!$A$2:$C$70,3,FALSE)</f>
        <v>Cash</v>
      </c>
      <c r="J2856" s="5">
        <f>VLOOKUP(F2856,'Set up'!$A$2:$D$70,4,FALSE)</f>
        <v>0</v>
      </c>
      <c r="K2856" s="4">
        <f t="shared" si="731"/>
        <v>45422</v>
      </c>
      <c r="L2856" s="5">
        <f t="shared" si="732"/>
        <v>5</v>
      </c>
      <c r="M2856" s="5">
        <f t="shared" si="733"/>
        <v>2024</v>
      </c>
      <c r="N2856" s="12">
        <v>160</v>
      </c>
      <c r="O2856" s="6">
        <f t="shared" si="738"/>
        <v>-160</v>
      </c>
      <c r="P2856" s="6">
        <f t="shared" si="736"/>
        <v>0</v>
      </c>
      <c r="Q2856" s="7">
        <v>4551981.25</v>
      </c>
      <c r="R2856" s="44" t="str">
        <f>VLOOKUP(F2856,'Set up'!$A$2:$E$70,5,FALSE)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729"/>
        <v>5</v>
      </c>
      <c r="C2857" s="5">
        <f t="shared" si="730"/>
        <v>2024</v>
      </c>
      <c r="D2857" s="5" t="s">
        <v>2559</v>
      </c>
      <c r="E2857" s="5" t="str">
        <f>VLOOKUP(F2857,'Set up'!$A$2:$C$70,2,FALSE)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up'!$A$2:$C$70,3,FALSE)</f>
        <v>Cash</v>
      </c>
      <c r="J2857" s="5">
        <f>VLOOKUP(F2857,'Set up'!$A$2:$D$70,4,FALSE)</f>
        <v>0</v>
      </c>
      <c r="K2857" s="4">
        <f t="shared" si="731"/>
        <v>45421</v>
      </c>
      <c r="L2857" s="5">
        <f t="shared" si="732"/>
        <v>5</v>
      </c>
      <c r="M2857" s="5">
        <f t="shared" si="733"/>
        <v>2024</v>
      </c>
      <c r="N2857" s="12">
        <v>437.5</v>
      </c>
      <c r="O2857" s="6">
        <f t="shared" si="738"/>
        <v>-437.5</v>
      </c>
      <c r="P2857" s="6">
        <f t="shared" si="736"/>
        <v>0</v>
      </c>
      <c r="Q2857" s="7">
        <v>4552443.75</v>
      </c>
      <c r="R2857" s="44" t="str">
        <f>VLOOKUP(F2857,'Set up'!$A$2:$E$70,5,FALSE)</f>
        <v>Trsf</v>
      </c>
      <c r="S2857" s="1" t="s">
        <v>3155</v>
      </c>
    </row>
    <row r="2858" spans="1:19" ht="15" customHeight="1" x14ac:dyDescent="0.35">
      <c r="A2858" s="4">
        <v>45421</v>
      </c>
      <c r="B2858" s="5">
        <f t="shared" si="729"/>
        <v>5</v>
      </c>
      <c r="C2858" s="5">
        <f t="shared" si="730"/>
        <v>2024</v>
      </c>
      <c r="D2858" s="5" t="s">
        <v>2560</v>
      </c>
      <c r="E2858" s="5" t="str">
        <f>VLOOKUP(F2858,'Set up'!$A$2:$C$70,2,FALSE)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up'!$A$2:$C$70,3,FALSE)</f>
        <v>Cash</v>
      </c>
      <c r="J2858" s="5">
        <f>VLOOKUP(F2858,'Set up'!$A$2:$D$70,4,FALSE)</f>
        <v>0</v>
      </c>
      <c r="K2858" s="4">
        <f t="shared" si="731"/>
        <v>45421</v>
      </c>
      <c r="L2858" s="5">
        <f t="shared" si="732"/>
        <v>5</v>
      </c>
      <c r="M2858" s="5">
        <f t="shared" si="733"/>
        <v>2024</v>
      </c>
      <c r="N2858" s="12">
        <v>11396</v>
      </c>
      <c r="O2858" s="6">
        <f>-2702.6-8693.4</f>
        <v>-11396</v>
      </c>
      <c r="P2858" s="6">
        <f t="shared" si="736"/>
        <v>0</v>
      </c>
      <c r="Q2858" s="7">
        <v>4566658.25</v>
      </c>
      <c r="R2858" s="44" t="str">
        <f>VLOOKUP(F2858,'Set up'!$A$2:$E$70,5,FALSE)</f>
        <v>Trsf</v>
      </c>
      <c r="S2858" s="1" t="s">
        <v>3156</v>
      </c>
    </row>
    <row r="2859" spans="1:19" ht="15" customHeight="1" x14ac:dyDescent="0.35">
      <c r="A2859" s="4">
        <v>45421</v>
      </c>
      <c r="B2859" s="5">
        <f t="shared" si="729"/>
        <v>5</v>
      </c>
      <c r="C2859" s="5">
        <f t="shared" si="730"/>
        <v>2024</v>
      </c>
      <c r="D2859" s="5" t="s">
        <v>2560</v>
      </c>
      <c r="E2859" s="5" t="str">
        <f>VLOOKUP(F2859,'Set up'!$A$2:$C$70,2,FALSE)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up'!$A$2:$C$70,3,FALSE)</f>
        <v>Cash</v>
      </c>
      <c r="J2859" s="5">
        <f>VLOOKUP(F2859,'Set up'!$A$2:$D$70,4,FALSE)</f>
        <v>0</v>
      </c>
      <c r="K2859" s="4">
        <f t="shared" si="731"/>
        <v>45421</v>
      </c>
      <c r="L2859" s="5">
        <f t="shared" si="732"/>
        <v>5</v>
      </c>
      <c r="M2859" s="5">
        <f t="shared" si="733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up'!$A$2:$E$70,5,FALSE)</f>
        <v>Trsf</v>
      </c>
      <c r="S2859" s="1" t="s">
        <v>3148</v>
      </c>
    </row>
    <row r="2860" spans="1:19" ht="15" customHeight="1" x14ac:dyDescent="0.35">
      <c r="A2860" s="4">
        <v>45421</v>
      </c>
      <c r="B2860" s="5">
        <f t="shared" si="729"/>
        <v>5</v>
      </c>
      <c r="C2860" s="5">
        <f t="shared" si="730"/>
        <v>2024</v>
      </c>
      <c r="D2860" s="5" t="s">
        <v>2560</v>
      </c>
      <c r="E2860" s="5" t="str">
        <f>VLOOKUP(F2860,'Set up'!$A$2:$C$70,2,FALSE)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up'!$A$2:$C$70,3,FALSE)</f>
        <v>Cash</v>
      </c>
      <c r="J2860" s="5">
        <f>VLOOKUP(F2860,'Set up'!$A$2:$D$70,4,FALSE)</f>
        <v>0</v>
      </c>
      <c r="K2860" s="4">
        <f t="shared" si="731"/>
        <v>45421</v>
      </c>
      <c r="L2860" s="5">
        <f t="shared" si="732"/>
        <v>5</v>
      </c>
      <c r="M2860" s="5">
        <f t="shared" si="733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up'!$A$2:$E$70,5,FALSE)</f>
        <v>Trsf</v>
      </c>
      <c r="S2860" s="1" t="s">
        <v>3148</v>
      </c>
    </row>
    <row r="2861" spans="1:19" ht="15" customHeight="1" x14ac:dyDescent="0.35">
      <c r="A2861" s="4">
        <v>45421</v>
      </c>
      <c r="B2861" s="5">
        <f t="shared" si="729"/>
        <v>5</v>
      </c>
      <c r="C2861" s="5">
        <f t="shared" si="730"/>
        <v>2024</v>
      </c>
      <c r="D2861" s="5" t="s">
        <v>2560</v>
      </c>
      <c r="E2861" s="5" t="str">
        <f>VLOOKUP(F2861,'Set up'!$A$2:$C$70,2,FALSE)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up'!$A$2:$C$70,3,FALSE)</f>
        <v>Cash</v>
      </c>
      <c r="J2861" s="5">
        <f>VLOOKUP(F2861,'Set up'!$A$2:$D$70,4,FALSE)</f>
        <v>0</v>
      </c>
      <c r="K2861" s="4">
        <f t="shared" si="731"/>
        <v>45421</v>
      </c>
      <c r="L2861" s="5">
        <f t="shared" si="732"/>
        <v>5</v>
      </c>
      <c r="M2861" s="5">
        <f t="shared" si="733"/>
        <v>2024</v>
      </c>
      <c r="N2861" s="12">
        <v>1000</v>
      </c>
      <c r="O2861" s="6">
        <f>-N2861</f>
        <v>-1000</v>
      </c>
      <c r="P2861" s="6">
        <f t="shared" si="736"/>
        <v>0</v>
      </c>
      <c r="Q2861" s="7">
        <v>4558777.75</v>
      </c>
      <c r="R2861" s="44" t="str">
        <f>VLOOKUP(F2861,'Set up'!$A$2:$E$70,5,FALSE)</f>
        <v>Trsf</v>
      </c>
      <c r="S2861" s="1" t="s">
        <v>3157</v>
      </c>
    </row>
    <row r="2862" spans="1:19" ht="15" customHeight="1" x14ac:dyDescent="0.35">
      <c r="A2862" s="4">
        <v>45421</v>
      </c>
      <c r="B2862" s="5">
        <f t="shared" si="729"/>
        <v>5</v>
      </c>
      <c r="C2862" s="5">
        <f t="shared" si="730"/>
        <v>2024</v>
      </c>
      <c r="D2862" s="5" t="s">
        <v>2560</v>
      </c>
      <c r="E2862" s="5" t="str">
        <f>VLOOKUP(F2862,'Set up'!$A$2:$C$70,2,FALSE)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up'!$A$2:$C$70,3,FALSE)</f>
        <v>Cash</v>
      </c>
      <c r="J2862" s="5">
        <f>VLOOKUP(F2862,'Set up'!$A$2:$D$70,4,FALSE)</f>
        <v>0</v>
      </c>
      <c r="K2862" s="4">
        <f t="shared" si="731"/>
        <v>45421</v>
      </c>
      <c r="L2862" s="5">
        <f t="shared" si="732"/>
        <v>5</v>
      </c>
      <c r="M2862" s="5">
        <f t="shared" si="733"/>
        <v>2024</v>
      </c>
      <c r="N2862" s="12">
        <v>380</v>
      </c>
      <c r="O2862" s="6">
        <f>-N2862</f>
        <v>-380</v>
      </c>
      <c r="P2862" s="6">
        <f t="shared" si="736"/>
        <v>0</v>
      </c>
      <c r="Q2862" s="7">
        <v>4558157.75</v>
      </c>
      <c r="R2862" s="44" t="str">
        <f>VLOOKUP(F2862,'Set up'!$A$2:$E$70,5,FALSE)</f>
        <v>Trsf</v>
      </c>
      <c r="S2862" s="1" t="s">
        <v>3158</v>
      </c>
    </row>
    <row r="2863" spans="1:19" ht="15" customHeight="1" x14ac:dyDescent="0.35">
      <c r="A2863" s="4">
        <v>45422</v>
      </c>
      <c r="B2863" s="5">
        <f t="shared" si="729"/>
        <v>5</v>
      </c>
      <c r="C2863" s="5">
        <f t="shared" si="730"/>
        <v>2024</v>
      </c>
      <c r="D2863" s="5" t="s">
        <v>2561</v>
      </c>
      <c r="E2863" s="5" t="str">
        <f>VLOOKUP(F2863,'Set up'!$A$2:$C$70,2,FALSE)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up'!$A$2:$C$70,3,FALSE)</f>
        <v>Cash</v>
      </c>
      <c r="J2863" s="5">
        <f>VLOOKUP(F2863,'Set up'!$A$2:$D$70,4,FALSE)</f>
        <v>0</v>
      </c>
      <c r="K2863" s="4">
        <f t="shared" si="731"/>
        <v>45422</v>
      </c>
      <c r="L2863" s="5">
        <f t="shared" si="732"/>
        <v>5</v>
      </c>
      <c r="M2863" s="5">
        <f t="shared" si="733"/>
        <v>2024</v>
      </c>
      <c r="N2863" s="12">
        <v>1760</v>
      </c>
      <c r="O2863" s="12">
        <f>-302.7-700-500-257.3</f>
        <v>-1760</v>
      </c>
      <c r="P2863" s="6">
        <f t="shared" si="736"/>
        <v>0</v>
      </c>
      <c r="Q2863" s="7">
        <v>4570933.75</v>
      </c>
      <c r="R2863" s="44" t="str">
        <f>VLOOKUP(F2863,'Set up'!$A$2:$E$70,5,FALSE)</f>
        <v>Trsf</v>
      </c>
      <c r="S2863" s="1" t="s">
        <v>4060</v>
      </c>
    </row>
    <row r="2864" spans="1:19" ht="15" customHeight="1" x14ac:dyDescent="0.35">
      <c r="A2864" s="4">
        <v>45422</v>
      </c>
      <c r="B2864" s="5">
        <f t="shared" si="729"/>
        <v>5</v>
      </c>
      <c r="C2864" s="5">
        <f t="shared" si="730"/>
        <v>2024</v>
      </c>
      <c r="D2864" s="5" t="s">
        <v>2561</v>
      </c>
      <c r="E2864" s="5" t="str">
        <f>VLOOKUP(F2864,'Set up'!$A$2:$C$70,2,FALSE)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up'!$A$2:$C$70,3,FALSE)</f>
        <v>Cash</v>
      </c>
      <c r="J2864" s="5">
        <f>VLOOKUP(F2864,'Set up'!$A$2:$D$70,4,FALSE)</f>
        <v>0</v>
      </c>
      <c r="K2864" s="4">
        <f t="shared" si="731"/>
        <v>45422</v>
      </c>
      <c r="L2864" s="5">
        <f t="shared" si="732"/>
        <v>5</v>
      </c>
      <c r="M2864" s="5">
        <f t="shared" si="733"/>
        <v>2024</v>
      </c>
      <c r="N2864" s="12">
        <v>405</v>
      </c>
      <c r="O2864" s="12">
        <f>-242.7-162.3</f>
        <v>-405</v>
      </c>
      <c r="P2864" s="6">
        <f t="shared" si="736"/>
        <v>0</v>
      </c>
      <c r="Q2864" s="7">
        <v>4573232.75</v>
      </c>
      <c r="R2864" s="44" t="str">
        <f>VLOOKUP(F2864,'Set up'!$A$2:$E$70,5,FALSE)</f>
        <v>Trsf</v>
      </c>
      <c r="S2864" s="1" t="s">
        <v>4061</v>
      </c>
    </row>
    <row r="2865" spans="1:19" ht="15" customHeight="1" x14ac:dyDescent="0.35">
      <c r="A2865" s="4">
        <v>45422</v>
      </c>
      <c r="B2865" s="5">
        <f t="shared" si="729"/>
        <v>5</v>
      </c>
      <c r="C2865" s="5">
        <f t="shared" si="730"/>
        <v>2024</v>
      </c>
      <c r="D2865" s="5" t="s">
        <v>2561</v>
      </c>
      <c r="E2865" s="5" t="str">
        <f>VLOOKUP(F2865,'Set up'!$A$2:$C$70,2,FALSE)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up'!$A$2:$C$70,3,FALSE)</f>
        <v>Cash</v>
      </c>
      <c r="J2865" s="5">
        <f>VLOOKUP(F2865,'Set up'!$A$2:$D$70,4,FALSE)</f>
        <v>0</v>
      </c>
      <c r="K2865" s="4">
        <f t="shared" si="731"/>
        <v>45422</v>
      </c>
      <c r="L2865" s="5">
        <f t="shared" si="732"/>
        <v>5</v>
      </c>
      <c r="M2865" s="5">
        <f t="shared" si="733"/>
        <v>2024</v>
      </c>
      <c r="N2865" s="12">
        <v>187.5</v>
      </c>
      <c r="O2865" s="6">
        <f t="shared" ref="O2865" si="739">-N2865</f>
        <v>-187.5</v>
      </c>
      <c r="P2865" s="6">
        <f t="shared" si="736"/>
        <v>0</v>
      </c>
      <c r="Q2865" s="7">
        <v>4574887.25</v>
      </c>
      <c r="R2865" s="44" t="str">
        <f>VLOOKUP(F2865,'Set up'!$A$2:$E$70,5,FALSE)</f>
        <v>Trsf</v>
      </c>
      <c r="S2865" s="1" t="s">
        <v>4062</v>
      </c>
    </row>
    <row r="2866" spans="1:19" ht="15" customHeight="1" x14ac:dyDescent="0.35">
      <c r="A2866" s="4">
        <v>45422</v>
      </c>
      <c r="B2866" s="5">
        <f t="shared" si="729"/>
        <v>5</v>
      </c>
      <c r="C2866" s="5">
        <f t="shared" si="730"/>
        <v>2024</v>
      </c>
      <c r="D2866" s="5" t="s">
        <v>2561</v>
      </c>
      <c r="E2866" s="5" t="str">
        <f>VLOOKUP(F2866,'Set up'!$A$2:$C$70,2,FALSE)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up'!$A$2:$C$70,3,FALSE)</f>
        <v>Cash</v>
      </c>
      <c r="J2866" s="5">
        <f>VLOOKUP(F2866,'Set up'!$A$2:$D$70,4,FALSE)</f>
        <v>0</v>
      </c>
      <c r="K2866" s="4">
        <f t="shared" si="731"/>
        <v>45422</v>
      </c>
      <c r="L2866" s="5">
        <f t="shared" si="732"/>
        <v>5</v>
      </c>
      <c r="M2866" s="5">
        <f t="shared" si="733"/>
        <v>2024</v>
      </c>
      <c r="N2866" s="12">
        <v>160</v>
      </c>
      <c r="O2866" s="12">
        <f>-150.2-9.8</f>
        <v>-160</v>
      </c>
      <c r="P2866" s="6">
        <f t="shared" si="736"/>
        <v>0</v>
      </c>
      <c r="Q2866" s="7">
        <v>4575859.75</v>
      </c>
      <c r="R2866" s="44" t="str">
        <f>VLOOKUP(F2866,'Set up'!$A$2:$E$70,5,FALSE)</f>
        <v>Trsf</v>
      </c>
      <c r="S2866" s="1" t="s">
        <v>4063</v>
      </c>
    </row>
    <row r="2867" spans="1:19" ht="15" customHeight="1" x14ac:dyDescent="0.35">
      <c r="A2867" s="4">
        <v>45422</v>
      </c>
      <c r="B2867" s="5">
        <f t="shared" si="729"/>
        <v>5</v>
      </c>
      <c r="C2867" s="5">
        <f t="shared" si="730"/>
        <v>2024</v>
      </c>
      <c r="D2867" s="5" t="s">
        <v>2562</v>
      </c>
      <c r="E2867" s="5" t="str">
        <f>VLOOKUP(F2867,'Set up'!$A$2:$C$70,2,FALSE)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up'!$A$2:$C$70,3,FALSE)</f>
        <v>120</v>
      </c>
      <c r="J2867" s="5">
        <f>VLOOKUP(F2867,'Set up'!$A$2:$D$70,4,FALSE)</f>
        <v>120</v>
      </c>
      <c r="K2867" s="4">
        <f t="shared" si="731"/>
        <v>45542</v>
      </c>
      <c r="L2867" s="5">
        <f t="shared" si="732"/>
        <v>9</v>
      </c>
      <c r="M2867" s="5">
        <f t="shared" si="733"/>
        <v>2024</v>
      </c>
      <c r="N2867" s="12">
        <v>9768</v>
      </c>
      <c r="O2867" s="6">
        <f t="shared" ref="O2867:O2872" si="740">-N2867</f>
        <v>-9768</v>
      </c>
      <c r="P2867" s="6">
        <f t="shared" si="736"/>
        <v>0</v>
      </c>
      <c r="Q2867" s="7">
        <v>4532478.45</v>
      </c>
      <c r="R2867" s="44" t="str">
        <f>VLOOKUP(F2867,'Set up'!$A$2:$E$70,5,FALSE)</f>
        <v>Trsf</v>
      </c>
      <c r="S2867" s="1" t="s">
        <v>3065</v>
      </c>
    </row>
    <row r="2868" spans="1:19" ht="15" customHeight="1" x14ac:dyDescent="0.35">
      <c r="A2868" s="4">
        <v>45422</v>
      </c>
      <c r="B2868" s="5">
        <f t="shared" si="729"/>
        <v>5</v>
      </c>
      <c r="C2868" s="5">
        <f t="shared" si="730"/>
        <v>2024</v>
      </c>
      <c r="D2868" s="5" t="s">
        <v>2562</v>
      </c>
      <c r="E2868" s="5" t="str">
        <f>VLOOKUP(F2868,'Set up'!$A$2:$C$70,2,FALSE)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up'!$A$2:$C$70,3,FALSE)</f>
        <v>120</v>
      </c>
      <c r="J2868" s="5">
        <f>VLOOKUP(F2868,'Set up'!$A$2:$D$70,4,FALSE)</f>
        <v>120</v>
      </c>
      <c r="K2868" s="4">
        <f t="shared" si="731"/>
        <v>45542</v>
      </c>
      <c r="L2868" s="5">
        <f t="shared" si="732"/>
        <v>9</v>
      </c>
      <c r="M2868" s="5">
        <f t="shared" si="733"/>
        <v>2024</v>
      </c>
      <c r="N2868" s="12">
        <v>1740</v>
      </c>
      <c r="O2868" s="6">
        <f t="shared" si="740"/>
        <v>-1740</v>
      </c>
      <c r="P2868" s="6">
        <f t="shared" si="736"/>
        <v>0</v>
      </c>
      <c r="Q2868" s="7">
        <v>4526575.45</v>
      </c>
      <c r="R2868" s="44" t="str">
        <f>VLOOKUP(F2868,'Set up'!$A$2:$E$70,5,FALSE)</f>
        <v>Trsf</v>
      </c>
      <c r="S2868" s="1" t="s">
        <v>3065</v>
      </c>
    </row>
    <row r="2869" spans="1:19" ht="15" customHeight="1" x14ac:dyDescent="0.35">
      <c r="A2869" s="4">
        <v>45422</v>
      </c>
      <c r="B2869" s="5">
        <f t="shared" si="729"/>
        <v>5</v>
      </c>
      <c r="C2869" s="5">
        <f t="shared" si="730"/>
        <v>2024</v>
      </c>
      <c r="D2869" s="5" t="s">
        <v>2562</v>
      </c>
      <c r="E2869" s="5" t="str">
        <f>VLOOKUP(F2869,'Set up'!$A$2:$C$70,2,FALSE)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up'!$A$2:$C$70,3,FALSE)</f>
        <v>120</v>
      </c>
      <c r="J2869" s="5">
        <f>VLOOKUP(F2869,'Set up'!$A$2:$D$70,4,FALSE)</f>
        <v>120</v>
      </c>
      <c r="K2869" s="4">
        <f t="shared" si="731"/>
        <v>45542</v>
      </c>
      <c r="L2869" s="5">
        <f t="shared" si="732"/>
        <v>9</v>
      </c>
      <c r="M2869" s="5">
        <f t="shared" si="733"/>
        <v>2024</v>
      </c>
      <c r="N2869" s="12">
        <v>575</v>
      </c>
      <c r="O2869" s="6">
        <f t="shared" si="740"/>
        <v>-575</v>
      </c>
      <c r="P2869" s="6">
        <f t="shared" si="736"/>
        <v>0</v>
      </c>
      <c r="Q2869" s="7">
        <v>4527735.45</v>
      </c>
      <c r="R2869" s="44" t="str">
        <f>VLOOKUP(F2869,'Set up'!$A$2:$E$70,5,FALSE)</f>
        <v>Trsf</v>
      </c>
      <c r="S2869" s="1" t="s">
        <v>3065</v>
      </c>
    </row>
    <row r="2870" spans="1:19" ht="15" customHeight="1" x14ac:dyDescent="0.35">
      <c r="A2870" s="4">
        <v>45422</v>
      </c>
      <c r="B2870" s="5">
        <f t="shared" si="729"/>
        <v>5</v>
      </c>
      <c r="C2870" s="5">
        <f t="shared" si="730"/>
        <v>2024</v>
      </c>
      <c r="D2870" s="5" t="s">
        <v>2562</v>
      </c>
      <c r="E2870" s="5" t="str">
        <f>VLOOKUP(F2870,'Set up'!$A$2:$C$70,2,FALSE)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up'!$A$2:$C$70,3,FALSE)</f>
        <v>120</v>
      </c>
      <c r="J2870" s="5">
        <f>VLOOKUP(F2870,'Set up'!$A$2:$D$70,4,FALSE)</f>
        <v>120</v>
      </c>
      <c r="K2870" s="4">
        <f t="shared" si="731"/>
        <v>45542</v>
      </c>
      <c r="L2870" s="5">
        <f t="shared" si="732"/>
        <v>9</v>
      </c>
      <c r="M2870" s="5">
        <f t="shared" si="733"/>
        <v>2024</v>
      </c>
      <c r="N2870" s="12">
        <v>440</v>
      </c>
      <c r="O2870" s="6">
        <f t="shared" si="740"/>
        <v>-440</v>
      </c>
      <c r="P2870" s="6">
        <f t="shared" si="736"/>
        <v>0</v>
      </c>
      <c r="Q2870" s="7">
        <v>4527777.95</v>
      </c>
      <c r="R2870" s="44" t="str">
        <f>VLOOKUP(F2870,'Set up'!$A$2:$E$70,5,FALSE)</f>
        <v>Trsf</v>
      </c>
      <c r="S2870" s="1" t="s">
        <v>3065</v>
      </c>
    </row>
    <row r="2871" spans="1:19" ht="15" customHeight="1" x14ac:dyDescent="0.35">
      <c r="A2871" s="4">
        <v>45422</v>
      </c>
      <c r="B2871" s="5">
        <f t="shared" si="729"/>
        <v>5</v>
      </c>
      <c r="C2871" s="5">
        <f t="shared" si="730"/>
        <v>2024</v>
      </c>
      <c r="D2871" s="5" t="s">
        <v>2562</v>
      </c>
      <c r="E2871" s="5" t="str">
        <f>VLOOKUP(F2871,'Set up'!$A$2:$C$70,2,FALSE)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up'!$A$2:$C$70,3,FALSE)</f>
        <v>120</v>
      </c>
      <c r="J2871" s="5">
        <f>VLOOKUP(F2871,'Set up'!$A$2:$D$70,4,FALSE)</f>
        <v>120</v>
      </c>
      <c r="K2871" s="4">
        <f t="shared" si="731"/>
        <v>45542</v>
      </c>
      <c r="L2871" s="5">
        <f t="shared" si="732"/>
        <v>9</v>
      </c>
      <c r="M2871" s="5">
        <f t="shared" si="733"/>
        <v>2024</v>
      </c>
      <c r="N2871" s="12">
        <v>420</v>
      </c>
      <c r="O2871" s="6">
        <f t="shared" si="740"/>
        <v>-420</v>
      </c>
      <c r="P2871" s="6">
        <f t="shared" si="736"/>
        <v>0</v>
      </c>
      <c r="Q2871" s="7">
        <v>4528853.45</v>
      </c>
      <c r="R2871" s="44" t="str">
        <f>VLOOKUP(F2871,'Set up'!$A$2:$E$70,5,FALSE)</f>
        <v>Trsf</v>
      </c>
      <c r="S2871" s="1" t="s">
        <v>3065</v>
      </c>
    </row>
    <row r="2872" spans="1:19" ht="15" customHeight="1" x14ac:dyDescent="0.35">
      <c r="A2872" s="4">
        <v>45422</v>
      </c>
      <c r="B2872" s="5">
        <f t="shared" si="729"/>
        <v>5</v>
      </c>
      <c r="C2872" s="5">
        <f t="shared" si="730"/>
        <v>2024</v>
      </c>
      <c r="D2872" s="5" t="s">
        <v>2562</v>
      </c>
      <c r="E2872" s="5" t="str">
        <f>VLOOKUP(F2872,'Set up'!$A$2:$C$70,2,FALSE)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up'!$A$2:$C$70,3,FALSE)</f>
        <v>120</v>
      </c>
      <c r="J2872" s="5">
        <f>VLOOKUP(F2872,'Set up'!$A$2:$D$70,4,FALSE)</f>
        <v>120</v>
      </c>
      <c r="K2872" s="4">
        <f t="shared" si="731"/>
        <v>45542</v>
      </c>
      <c r="L2872" s="5">
        <f t="shared" si="732"/>
        <v>9</v>
      </c>
      <c r="M2872" s="5">
        <f t="shared" si="733"/>
        <v>2024</v>
      </c>
      <c r="N2872" s="12">
        <v>395</v>
      </c>
      <c r="O2872" s="6">
        <f t="shared" si="740"/>
        <v>-395</v>
      </c>
      <c r="P2872" s="6">
        <f t="shared" si="736"/>
        <v>0</v>
      </c>
      <c r="Q2872" s="7">
        <v>4530443.45</v>
      </c>
      <c r="R2872" s="44" t="str">
        <f>VLOOKUP(F2872,'Set up'!$A$2:$E$70,5,FALSE)</f>
        <v>Trsf</v>
      </c>
      <c r="S2872" s="1" t="s">
        <v>3065</v>
      </c>
    </row>
    <row r="2873" spans="1:19" ht="15" customHeight="1" x14ac:dyDescent="0.35">
      <c r="A2873" s="4">
        <v>45426</v>
      </c>
      <c r="B2873" s="5">
        <f t="shared" si="729"/>
        <v>5</v>
      </c>
      <c r="C2873" s="5">
        <f t="shared" si="730"/>
        <v>2024</v>
      </c>
      <c r="D2873" s="5" t="s">
        <v>2563</v>
      </c>
      <c r="E2873" s="5" t="str">
        <f>VLOOKUP(F2873,'Set up'!$A$2:$C$70,2,FALSE)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up'!$A$2:$C$70,3,FALSE)</f>
        <v>Cash</v>
      </c>
      <c r="J2873" s="5">
        <f>VLOOKUP(F2873,'Set up'!$A$2:$D$70,4,FALSE)</f>
        <v>0</v>
      </c>
      <c r="K2873" s="4">
        <f t="shared" si="731"/>
        <v>45426</v>
      </c>
      <c r="L2873" s="5">
        <f t="shared" si="732"/>
        <v>5</v>
      </c>
      <c r="M2873" s="5">
        <f t="shared" si="733"/>
        <v>2024</v>
      </c>
      <c r="N2873" s="12">
        <v>696</v>
      </c>
      <c r="O2873" s="6">
        <f>-N2873</f>
        <v>-696</v>
      </c>
      <c r="P2873" s="6">
        <f t="shared" si="736"/>
        <v>0</v>
      </c>
      <c r="Q2873" s="7">
        <v>4531271.95</v>
      </c>
      <c r="R2873" s="44" t="str">
        <f>VLOOKUP(F2873,'Set up'!$A$2:$E$70,5,FALSE)</f>
        <v>Trsf</v>
      </c>
      <c r="S2873" s="1" t="s">
        <v>3159</v>
      </c>
    </row>
    <row r="2874" spans="1:19" ht="15" customHeight="1" x14ac:dyDescent="0.35">
      <c r="A2874" s="4">
        <v>45426</v>
      </c>
      <c r="B2874" s="5">
        <f t="shared" si="729"/>
        <v>5</v>
      </c>
      <c r="C2874" s="5">
        <f t="shared" si="730"/>
        <v>2024</v>
      </c>
      <c r="D2874" s="5" t="s">
        <v>2563</v>
      </c>
      <c r="E2874" s="5" t="str">
        <f>VLOOKUP(F2874,'Set up'!$A$2:$C$70,2,FALSE)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up'!$A$2:$C$70,3,FALSE)</f>
        <v>Cash</v>
      </c>
      <c r="J2874" s="5">
        <f>VLOOKUP(F2874,'Set up'!$A$2:$D$70,4,FALSE)</f>
        <v>0</v>
      </c>
      <c r="K2874" s="4">
        <f t="shared" si="731"/>
        <v>45426</v>
      </c>
      <c r="L2874" s="5">
        <f t="shared" si="732"/>
        <v>5</v>
      </c>
      <c r="M2874" s="5">
        <f t="shared" si="733"/>
        <v>2024</v>
      </c>
      <c r="N2874" s="12">
        <v>468</v>
      </c>
      <c r="O2874" s="6">
        <f>-N2874</f>
        <v>-468</v>
      </c>
      <c r="P2874" s="6">
        <f t="shared" si="736"/>
        <v>0</v>
      </c>
      <c r="Q2874" s="7">
        <v>4553335.95</v>
      </c>
      <c r="R2874" s="44" t="str">
        <f>VLOOKUP(F2874,'Set up'!$A$2:$E$70,5,FALSE)</f>
        <v>Trsf</v>
      </c>
      <c r="S2874" s="1" t="s">
        <v>3160</v>
      </c>
    </row>
    <row r="2875" spans="1:19" ht="15" customHeight="1" x14ac:dyDescent="0.35">
      <c r="A2875" s="4">
        <v>45426</v>
      </c>
      <c r="B2875" s="5">
        <f t="shared" si="729"/>
        <v>5</v>
      </c>
      <c r="C2875" s="5">
        <f t="shared" si="730"/>
        <v>2024</v>
      </c>
      <c r="D2875" s="5" t="s">
        <v>2563</v>
      </c>
      <c r="E2875" s="5" t="str">
        <f>VLOOKUP(F2875,'Set up'!$A$2:$C$70,2,FALSE)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up'!$A$2:$C$70,3,FALSE)</f>
        <v>Cash</v>
      </c>
      <c r="J2875" s="5">
        <f>VLOOKUP(F2875,'Set up'!$A$2:$D$70,4,FALSE)</f>
        <v>0</v>
      </c>
      <c r="K2875" s="4">
        <f t="shared" si="731"/>
        <v>45426</v>
      </c>
      <c r="L2875" s="5">
        <f t="shared" si="732"/>
        <v>5</v>
      </c>
      <c r="M2875" s="5">
        <f t="shared" si="733"/>
        <v>2024</v>
      </c>
      <c r="N2875" s="12">
        <v>1000</v>
      </c>
      <c r="O2875" s="6">
        <f>-N2875</f>
        <v>-1000</v>
      </c>
      <c r="P2875" s="6">
        <f t="shared" si="736"/>
        <v>0</v>
      </c>
      <c r="Q2875" s="7">
        <v>4546411.95</v>
      </c>
      <c r="R2875" s="44" t="str">
        <f>VLOOKUP(F2875,'Set up'!$A$2:$E$70,5,FALSE)</f>
        <v>Trsf</v>
      </c>
      <c r="S2875" s="1" t="s">
        <v>3157</v>
      </c>
    </row>
    <row r="2876" spans="1:19" ht="15" customHeight="1" x14ac:dyDescent="0.35">
      <c r="A2876" s="4">
        <v>45426</v>
      </c>
      <c r="B2876" s="5">
        <f t="shared" si="729"/>
        <v>5</v>
      </c>
      <c r="C2876" s="5">
        <f t="shared" si="730"/>
        <v>2024</v>
      </c>
      <c r="D2876" s="5" t="s">
        <v>2563</v>
      </c>
      <c r="E2876" s="5" t="str">
        <f>VLOOKUP(F2876,'Set up'!$A$2:$C$70,2,FALSE)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up'!$A$2:$C$70,3,FALSE)</f>
        <v>Cash</v>
      </c>
      <c r="J2876" s="5">
        <f>VLOOKUP(F2876,'Set up'!$A$2:$D$70,4,FALSE)</f>
        <v>0</v>
      </c>
      <c r="K2876" s="4">
        <f t="shared" si="731"/>
        <v>45426</v>
      </c>
      <c r="L2876" s="5">
        <f t="shared" si="732"/>
        <v>5</v>
      </c>
      <c r="M2876" s="5">
        <f t="shared" si="733"/>
        <v>2024</v>
      </c>
      <c r="N2876" s="12">
        <v>380</v>
      </c>
      <c r="O2876" s="6">
        <f>-N2876</f>
        <v>-380</v>
      </c>
      <c r="P2876" s="6">
        <f t="shared" si="736"/>
        <v>0</v>
      </c>
      <c r="Q2876" s="7">
        <v>4545211.95</v>
      </c>
      <c r="R2876" s="44" t="str">
        <f>VLOOKUP(F2876,'Set up'!$A$2:$E$70,5,FALSE)</f>
        <v>Trsf</v>
      </c>
      <c r="S2876" s="1" t="s">
        <v>3158</v>
      </c>
    </row>
    <row r="2877" spans="1:19" ht="15" customHeight="1" x14ac:dyDescent="0.35">
      <c r="A2877" s="4">
        <v>45429</v>
      </c>
      <c r="B2877" s="5">
        <f t="shared" si="729"/>
        <v>5</v>
      </c>
      <c r="C2877" s="5">
        <f t="shared" si="730"/>
        <v>2024</v>
      </c>
      <c r="D2877" s="5" t="s">
        <v>2564</v>
      </c>
      <c r="E2877" s="5" t="str">
        <f>VLOOKUP(F2877,'Set up'!$A$2:$C$70,2,FALSE)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up'!$A$2:$C$70,3,FALSE)</f>
        <v>Cash</v>
      </c>
      <c r="J2877" s="5">
        <f>VLOOKUP(F2877,'Set up'!$A$2:$D$70,4,FALSE)</f>
        <v>0</v>
      </c>
      <c r="K2877" s="4">
        <f t="shared" si="731"/>
        <v>45429</v>
      </c>
      <c r="L2877" s="5">
        <f t="shared" si="732"/>
        <v>5</v>
      </c>
      <c r="M2877" s="5">
        <f t="shared" si="733"/>
        <v>2024</v>
      </c>
      <c r="N2877" s="12">
        <v>312.5</v>
      </c>
      <c r="O2877" s="6">
        <f>-N2877</f>
        <v>-312.5</v>
      </c>
      <c r="P2877" s="6">
        <f t="shared" si="736"/>
        <v>0</v>
      </c>
      <c r="Q2877" s="7">
        <v>4543731.45</v>
      </c>
      <c r="R2877" s="44" t="str">
        <f>VLOOKUP(F2877,'Set up'!$A$2:$E$70,5,FALSE)</f>
        <v>Trsf</v>
      </c>
      <c r="S2877" s="1" t="s">
        <v>3161</v>
      </c>
    </row>
    <row r="2878" spans="1:19" ht="15" customHeight="1" x14ac:dyDescent="0.35">
      <c r="A2878" s="4">
        <v>45429</v>
      </c>
      <c r="B2878" s="5">
        <f t="shared" si="729"/>
        <v>5</v>
      </c>
      <c r="C2878" s="5">
        <f t="shared" si="730"/>
        <v>2024</v>
      </c>
      <c r="D2878" s="5" t="s">
        <v>2565</v>
      </c>
      <c r="E2878" s="5" t="str">
        <f>VLOOKUP(F2878,'Set up'!$A$2:$C$70,2,FALSE)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up'!$A$2:$C$70,3,FALSE)</f>
        <v>Cash</v>
      </c>
      <c r="J2878" s="5">
        <f>VLOOKUP(F2878,'Set up'!$A$2:$D$70,4,FALSE)</f>
        <v>0</v>
      </c>
      <c r="K2878" s="4">
        <f t="shared" si="731"/>
        <v>45429</v>
      </c>
      <c r="L2878" s="5">
        <f t="shared" si="732"/>
        <v>5</v>
      </c>
      <c r="M2878" s="5">
        <f t="shared" si="733"/>
        <v>2024</v>
      </c>
      <c r="N2878" s="12">
        <v>8140</v>
      </c>
      <c r="O2878" s="12">
        <f>-1778.1-6361.9</f>
        <v>-8140</v>
      </c>
      <c r="P2878" s="6">
        <f t="shared" si="736"/>
        <v>0</v>
      </c>
      <c r="Q2878" s="7">
        <v>4552566.95</v>
      </c>
      <c r="R2878" s="44" t="str">
        <f>VLOOKUP(F2878,'Set up'!$A$2:$E$70,5,FALSE)</f>
        <v>Trsf</v>
      </c>
      <c r="S2878" s="1" t="s">
        <v>3162</v>
      </c>
    </row>
    <row r="2879" spans="1:19" ht="15" customHeight="1" x14ac:dyDescent="0.35">
      <c r="A2879" s="4">
        <v>45429</v>
      </c>
      <c r="B2879" s="5">
        <f t="shared" si="729"/>
        <v>5</v>
      </c>
      <c r="C2879" s="5">
        <f t="shared" si="730"/>
        <v>2024</v>
      </c>
      <c r="D2879" s="5" t="s">
        <v>2565</v>
      </c>
      <c r="E2879" s="5" t="str">
        <f>VLOOKUP(F2879,'Set up'!$A$2:$C$70,2,FALSE)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up'!$A$2:$C$70,3,FALSE)</f>
        <v>Cash</v>
      </c>
      <c r="J2879" s="5">
        <f>VLOOKUP(F2879,'Set up'!$A$2:$D$70,4,FALSE)</f>
        <v>0</v>
      </c>
      <c r="K2879" s="4">
        <f t="shared" si="731"/>
        <v>45429</v>
      </c>
      <c r="L2879" s="5">
        <f t="shared" si="732"/>
        <v>5</v>
      </c>
      <c r="M2879" s="5">
        <f t="shared" si="733"/>
        <v>2024</v>
      </c>
      <c r="N2879" s="12">
        <v>2610</v>
      </c>
      <c r="O2879" s="6">
        <f>-N2879</f>
        <v>-2610</v>
      </c>
      <c r="P2879" s="6">
        <f t="shared" si="736"/>
        <v>0</v>
      </c>
      <c r="Q2879" s="7">
        <v>4550753.95</v>
      </c>
      <c r="R2879" s="44" t="str">
        <f>VLOOKUP(F2879,'Set up'!$A$2:$E$70,5,FALSE)</f>
        <v>Trsf</v>
      </c>
      <c r="S2879" s="1" t="s">
        <v>3163</v>
      </c>
    </row>
    <row r="2880" spans="1:19" ht="15" customHeight="1" x14ac:dyDescent="0.35">
      <c r="A2880" s="4">
        <v>45429</v>
      </c>
      <c r="B2880" s="5">
        <f t="shared" si="729"/>
        <v>5</v>
      </c>
      <c r="C2880" s="5">
        <f t="shared" si="730"/>
        <v>2024</v>
      </c>
      <c r="D2880" s="5" t="s">
        <v>2565</v>
      </c>
      <c r="E2880" s="5" t="str">
        <f>VLOOKUP(F2880,'Set up'!$A$2:$C$70,2,FALSE)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up'!$A$2:$C$70,3,FALSE)</f>
        <v>Cash</v>
      </c>
      <c r="J2880" s="5">
        <f>VLOOKUP(F2880,'Set up'!$A$2:$D$70,4,FALSE)</f>
        <v>0</v>
      </c>
      <c r="K2880" s="4">
        <f t="shared" si="731"/>
        <v>45429</v>
      </c>
      <c r="L2880" s="5">
        <f t="shared" si="732"/>
        <v>5</v>
      </c>
      <c r="M2880" s="5">
        <f t="shared" si="733"/>
        <v>2024</v>
      </c>
      <c r="N2880" s="12">
        <v>1872</v>
      </c>
      <c r="O2880" s="6">
        <f>-N2880</f>
        <v>-1872</v>
      </c>
      <c r="P2880" s="6">
        <f t="shared" si="736"/>
        <v>0</v>
      </c>
      <c r="Q2880" s="7">
        <v>4547228.75</v>
      </c>
      <c r="R2880" s="44" t="str">
        <f>VLOOKUP(F2880,'Set up'!$A$2:$E$70,5,FALSE)</f>
        <v>Trsf</v>
      </c>
      <c r="S2880" s="1" t="s">
        <v>3164</v>
      </c>
    </row>
    <row r="2881" spans="1:19" ht="15" customHeight="1" x14ac:dyDescent="0.35">
      <c r="A2881" s="4">
        <v>45429</v>
      </c>
      <c r="B2881" s="5">
        <f t="shared" si="729"/>
        <v>5</v>
      </c>
      <c r="C2881" s="5">
        <f t="shared" si="730"/>
        <v>2024</v>
      </c>
      <c r="D2881" s="5" t="s">
        <v>2565</v>
      </c>
      <c r="E2881" s="5" t="str">
        <f>VLOOKUP(F2881,'Set up'!$A$2:$C$70,2,FALSE)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up'!$A$2:$C$70,3,FALSE)</f>
        <v>Cash</v>
      </c>
      <c r="J2881" s="5">
        <f>VLOOKUP(F2881,'Set up'!$A$2:$D$70,4,FALSE)</f>
        <v>0</v>
      </c>
      <c r="K2881" s="4">
        <f t="shared" si="731"/>
        <v>45429</v>
      </c>
      <c r="L2881" s="5">
        <f t="shared" si="732"/>
        <v>5</v>
      </c>
      <c r="M2881" s="5">
        <f t="shared" si="733"/>
        <v>2024</v>
      </c>
      <c r="N2881" s="12">
        <v>1000</v>
      </c>
      <c r="O2881" s="6">
        <f>-N2881</f>
        <v>-1000</v>
      </c>
      <c r="P2881" s="6">
        <f t="shared" si="736"/>
        <v>0</v>
      </c>
      <c r="Q2881" s="7">
        <v>4546331.75</v>
      </c>
      <c r="R2881" s="44" t="str">
        <f>VLOOKUP(F2881,'Set up'!$A$2:$E$70,5,FALSE)</f>
        <v>Trsf</v>
      </c>
      <c r="S2881" s="1" t="s">
        <v>3165</v>
      </c>
    </row>
    <row r="2882" spans="1:19" ht="15" customHeight="1" x14ac:dyDescent="0.35">
      <c r="A2882" s="4">
        <v>45432</v>
      </c>
      <c r="B2882" s="5">
        <f t="shared" si="729"/>
        <v>5</v>
      </c>
      <c r="C2882" s="5">
        <f t="shared" si="730"/>
        <v>2024</v>
      </c>
      <c r="D2882" s="5" t="s">
        <v>2566</v>
      </c>
      <c r="E2882" s="5" t="str">
        <f>VLOOKUP(F2882,'Set up'!$A$2:$C$70,2,FALSE)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up'!$A$2:$C$70,3,FALSE)</f>
        <v>Cash</v>
      </c>
      <c r="J2882" s="5">
        <f>VLOOKUP(F2882,'Set up'!$A$2:$D$70,4,FALSE)</f>
        <v>0</v>
      </c>
      <c r="K2882" s="4">
        <f t="shared" si="731"/>
        <v>45432</v>
      </c>
      <c r="L2882" s="5">
        <f t="shared" si="732"/>
        <v>5</v>
      </c>
      <c r="M2882" s="5">
        <f t="shared" si="733"/>
        <v>2024</v>
      </c>
      <c r="N2882" s="12">
        <v>1760</v>
      </c>
      <c r="O2882" s="12"/>
      <c r="P2882" s="6">
        <f t="shared" si="736"/>
        <v>1760</v>
      </c>
      <c r="Q2882" s="7">
        <v>4547604.3499999996</v>
      </c>
      <c r="R2882" s="44" t="str">
        <f>VLOOKUP(F2882,'Set up'!$A$2:$E$70,5,FALSE)</f>
        <v>PD Chq</v>
      </c>
    </row>
    <row r="2883" spans="1:19" ht="15" customHeight="1" x14ac:dyDescent="0.35">
      <c r="A2883" s="4">
        <v>45432</v>
      </c>
      <c r="B2883" s="5">
        <f t="shared" ref="B2883:B2946" si="741">MONTH(A2883)</f>
        <v>5</v>
      </c>
      <c r="C2883" s="5">
        <f t="shared" ref="C2883:C2946" si="742">YEAR(A2883)</f>
        <v>2024</v>
      </c>
      <c r="D2883" s="5" t="s">
        <v>2566</v>
      </c>
      <c r="E2883" s="5" t="str">
        <f>VLOOKUP(F2883,'Set up'!$A$2:$C$70,2,FALSE)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up'!$A$2:$C$70,3,FALSE)</f>
        <v>Cash</v>
      </c>
      <c r="J2883" s="5">
        <f>VLOOKUP(F2883,'Set up'!$A$2:$D$70,4,FALSE)</f>
        <v>0</v>
      </c>
      <c r="K2883" s="4">
        <f t="shared" ref="K2883:K2946" si="743">A2883+J2883</f>
        <v>45432</v>
      </c>
      <c r="L2883" s="5">
        <f t="shared" ref="L2883:L2946" si="744">MONTH(K2883)</f>
        <v>5</v>
      </c>
      <c r="M2883" s="5">
        <f t="shared" ref="M2883:M2946" si="745">YEAR(K2883)</f>
        <v>2024</v>
      </c>
      <c r="N2883" s="12">
        <v>555</v>
      </c>
      <c r="O2883" s="12"/>
      <c r="P2883" s="6">
        <f t="shared" si="736"/>
        <v>555</v>
      </c>
      <c r="Q2883" s="7">
        <v>4546061.75</v>
      </c>
      <c r="R2883" s="44" t="str">
        <f>VLOOKUP(F2883,'Set up'!$A$2:$E$70,5,FALSE)</f>
        <v>PD Chq</v>
      </c>
    </row>
    <row r="2884" spans="1:19" ht="15" customHeight="1" x14ac:dyDescent="0.35">
      <c r="A2884" s="4">
        <v>45432</v>
      </c>
      <c r="B2884" s="5">
        <f t="shared" si="741"/>
        <v>5</v>
      </c>
      <c r="C2884" s="5">
        <f t="shared" si="742"/>
        <v>2024</v>
      </c>
      <c r="D2884" s="5" t="s">
        <v>2566</v>
      </c>
      <c r="E2884" s="5" t="str">
        <f>VLOOKUP(F2884,'Set up'!$A$2:$C$70,2,FALSE)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up'!$A$2:$C$70,3,FALSE)</f>
        <v>Cash</v>
      </c>
      <c r="J2884" s="5">
        <f>VLOOKUP(F2884,'Set up'!$A$2:$D$70,4,FALSE)</f>
        <v>0</v>
      </c>
      <c r="K2884" s="4">
        <f t="shared" si="743"/>
        <v>45432</v>
      </c>
      <c r="L2884" s="5">
        <f t="shared" si="744"/>
        <v>5</v>
      </c>
      <c r="M2884" s="5">
        <f t="shared" si="745"/>
        <v>2024</v>
      </c>
      <c r="N2884" s="12">
        <v>95</v>
      </c>
      <c r="O2884" s="12"/>
      <c r="P2884" s="6">
        <f t="shared" si="736"/>
        <v>95</v>
      </c>
      <c r="Q2884" s="7">
        <v>4545656.95</v>
      </c>
      <c r="R2884" s="44" t="str">
        <f>VLOOKUP(F2884,'Set up'!$A$2:$E$70,5,FALSE)</f>
        <v>PD Chq</v>
      </c>
    </row>
    <row r="2885" spans="1:19" ht="15" customHeight="1" x14ac:dyDescent="0.35">
      <c r="A2885" s="4">
        <v>45432</v>
      </c>
      <c r="B2885" s="5">
        <f t="shared" si="741"/>
        <v>5</v>
      </c>
      <c r="C2885" s="5">
        <f t="shared" si="742"/>
        <v>2024</v>
      </c>
      <c r="D2885" s="5" t="s">
        <v>2566</v>
      </c>
      <c r="E2885" s="5" t="str">
        <f>VLOOKUP(F2885,'Set up'!$A$2:$C$70,2,FALSE)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up'!$A$2:$C$70,3,FALSE)</f>
        <v>Cash</v>
      </c>
      <c r="J2885" s="5">
        <f>VLOOKUP(F2885,'Set up'!$A$2:$D$70,4,FALSE)</f>
        <v>0</v>
      </c>
      <c r="K2885" s="4">
        <f t="shared" si="743"/>
        <v>45432</v>
      </c>
      <c r="L2885" s="5">
        <f t="shared" si="744"/>
        <v>5</v>
      </c>
      <c r="M2885" s="5">
        <f t="shared" si="745"/>
        <v>2024</v>
      </c>
      <c r="N2885" s="12">
        <v>312.5</v>
      </c>
      <c r="O2885" s="12"/>
      <c r="P2885" s="6">
        <f t="shared" si="736"/>
        <v>312.5</v>
      </c>
      <c r="Q2885" s="7">
        <v>4552837.25</v>
      </c>
      <c r="R2885" s="44" t="str">
        <f>VLOOKUP(F2885,'Set up'!$A$2:$E$70,5,FALSE)</f>
        <v>PD Chq</v>
      </c>
    </row>
    <row r="2886" spans="1:19" ht="15" customHeight="1" x14ac:dyDescent="0.35">
      <c r="A2886" s="4">
        <v>45437</v>
      </c>
      <c r="B2886" s="5">
        <f t="shared" si="741"/>
        <v>5</v>
      </c>
      <c r="C2886" s="5">
        <f t="shared" si="742"/>
        <v>2024</v>
      </c>
      <c r="D2886" s="5" t="s">
        <v>2567</v>
      </c>
      <c r="E2886" s="5" t="str">
        <f>VLOOKUP(F2886,'Set up'!$A$2:$C$70,2,FALSE)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up'!$A$2:$C$70,3,FALSE)</f>
        <v>Cash</v>
      </c>
      <c r="J2886" s="5">
        <f>VLOOKUP(F2886,'Set up'!$A$2:$D$70,4,FALSE)</f>
        <v>0</v>
      </c>
      <c r="K2886" s="4">
        <f t="shared" si="743"/>
        <v>45437</v>
      </c>
      <c r="L2886" s="5">
        <f t="shared" si="744"/>
        <v>5</v>
      </c>
      <c r="M2886" s="5">
        <f t="shared" si="745"/>
        <v>2024</v>
      </c>
      <c r="N2886" s="12">
        <v>1760</v>
      </c>
      <c r="O2886" s="12"/>
      <c r="P2886" s="6">
        <f t="shared" si="736"/>
        <v>1760</v>
      </c>
      <c r="Q2886" s="7">
        <v>4549980.95</v>
      </c>
      <c r="R2886" s="44" t="str">
        <f>VLOOKUP(F2886,'Set up'!$A$2:$E$70,5,FALSE)</f>
        <v>PD Chq</v>
      </c>
    </row>
    <row r="2887" spans="1:19" ht="15" customHeight="1" x14ac:dyDescent="0.35">
      <c r="A2887" s="4">
        <v>45437</v>
      </c>
      <c r="B2887" s="5">
        <f t="shared" si="741"/>
        <v>5</v>
      </c>
      <c r="C2887" s="5">
        <f t="shared" si="742"/>
        <v>2024</v>
      </c>
      <c r="D2887" s="5" t="s">
        <v>2567</v>
      </c>
      <c r="E2887" s="5" t="str">
        <f>VLOOKUP(F2887,'Set up'!$A$2:$C$70,2,FALSE)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up'!$A$2:$C$70,3,FALSE)</f>
        <v>Cash</v>
      </c>
      <c r="J2887" s="5">
        <f>VLOOKUP(F2887,'Set up'!$A$2:$D$70,4,FALSE)</f>
        <v>0</v>
      </c>
      <c r="K2887" s="4">
        <f t="shared" si="743"/>
        <v>45437</v>
      </c>
      <c r="L2887" s="5">
        <f t="shared" si="744"/>
        <v>5</v>
      </c>
      <c r="M2887" s="5">
        <f t="shared" si="745"/>
        <v>2024</v>
      </c>
      <c r="N2887" s="12">
        <v>555</v>
      </c>
      <c r="O2887" s="12"/>
      <c r="P2887" s="6">
        <f t="shared" si="736"/>
        <v>555</v>
      </c>
      <c r="Q2887" s="7">
        <v>4548870.95</v>
      </c>
      <c r="R2887" s="44" t="str">
        <f>VLOOKUP(F2887,'Set up'!$A$2:$E$70,5,FALSE)</f>
        <v>PD Chq</v>
      </c>
    </row>
    <row r="2888" spans="1:19" ht="15" customHeight="1" x14ac:dyDescent="0.35">
      <c r="A2888" s="4">
        <v>45437</v>
      </c>
      <c r="B2888" s="5">
        <f t="shared" si="741"/>
        <v>5</v>
      </c>
      <c r="C2888" s="5">
        <f t="shared" si="742"/>
        <v>2024</v>
      </c>
      <c r="D2888" s="5" t="s">
        <v>2567</v>
      </c>
      <c r="E2888" s="5" t="str">
        <f>VLOOKUP(F2888,'Set up'!$A$2:$C$70,2,FALSE)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up'!$A$2:$C$70,3,FALSE)</f>
        <v>Cash</v>
      </c>
      <c r="J2888" s="5">
        <f>VLOOKUP(F2888,'Set up'!$A$2:$D$70,4,FALSE)</f>
        <v>0</v>
      </c>
      <c r="K2888" s="4">
        <f t="shared" si="743"/>
        <v>45437</v>
      </c>
      <c r="L2888" s="5">
        <f t="shared" si="744"/>
        <v>5</v>
      </c>
      <c r="M2888" s="5">
        <f t="shared" si="745"/>
        <v>2024</v>
      </c>
      <c r="N2888" s="12">
        <v>95</v>
      </c>
      <c r="O2888" s="12"/>
      <c r="P2888" s="6">
        <f t="shared" si="736"/>
        <v>95</v>
      </c>
      <c r="Q2888" s="7">
        <v>4548542.25</v>
      </c>
      <c r="R2888" s="44" t="str">
        <f>VLOOKUP(F2888,'Set up'!$A$2:$E$70,5,FALSE)</f>
        <v>PD Chq</v>
      </c>
    </row>
    <row r="2889" spans="1:19" ht="15" customHeight="1" x14ac:dyDescent="0.35">
      <c r="A2889" s="4">
        <v>45440</v>
      </c>
      <c r="B2889" s="5">
        <f t="shared" si="741"/>
        <v>5</v>
      </c>
      <c r="C2889" s="5">
        <f t="shared" si="742"/>
        <v>2024</v>
      </c>
      <c r="D2889" s="5" t="s">
        <v>2568</v>
      </c>
      <c r="E2889" s="5" t="str">
        <f>VLOOKUP(F2889,'Set up'!$A$2:$C$70,2,FALSE)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up'!$A$2:$C$70,3,FALSE)</f>
        <v>Cash</v>
      </c>
      <c r="J2889" s="5">
        <f>VLOOKUP(F2889,'Set up'!$A$2:$D$70,4,FALSE)</f>
        <v>0</v>
      </c>
      <c r="K2889" s="4">
        <f t="shared" si="743"/>
        <v>45440</v>
      </c>
      <c r="L2889" s="5">
        <f t="shared" si="744"/>
        <v>5</v>
      </c>
      <c r="M2889" s="5">
        <f t="shared" si="745"/>
        <v>2024</v>
      </c>
      <c r="N2889" s="12">
        <v>1760</v>
      </c>
      <c r="O2889" s="12">
        <f>-490.2-500-500-269.8</f>
        <v>-1760</v>
      </c>
      <c r="P2889" s="6">
        <f t="shared" si="736"/>
        <v>0</v>
      </c>
      <c r="Q2889" s="7">
        <v>4550759.75</v>
      </c>
      <c r="R2889" s="44" t="str">
        <f>VLOOKUP(F2889,'Set up'!$A$2:$E$70,5,FALSE)</f>
        <v>Trsf</v>
      </c>
      <c r="S2889" s="1" t="s">
        <v>4064</v>
      </c>
    </row>
    <row r="2890" spans="1:19" ht="15" customHeight="1" x14ac:dyDescent="0.35">
      <c r="A2890" s="4">
        <v>45440</v>
      </c>
      <c r="B2890" s="5">
        <f t="shared" si="741"/>
        <v>5</v>
      </c>
      <c r="C2890" s="5">
        <f t="shared" si="742"/>
        <v>2024</v>
      </c>
      <c r="D2890" s="5" t="s">
        <v>2568</v>
      </c>
      <c r="E2890" s="5" t="str">
        <f>VLOOKUP(F2890,'Set up'!$A$2:$C$70,2,FALSE)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up'!$A$2:$C$70,3,FALSE)</f>
        <v>Cash</v>
      </c>
      <c r="J2890" s="5">
        <f>VLOOKUP(F2890,'Set up'!$A$2:$D$70,4,FALSE)</f>
        <v>0</v>
      </c>
      <c r="K2890" s="4">
        <f t="shared" si="743"/>
        <v>45440</v>
      </c>
      <c r="L2890" s="5">
        <f t="shared" si="744"/>
        <v>5</v>
      </c>
      <c r="M2890" s="5">
        <f t="shared" si="745"/>
        <v>2024</v>
      </c>
      <c r="N2890" s="12">
        <v>405</v>
      </c>
      <c r="O2890" s="12">
        <f>-230.2</f>
        <v>-230.2</v>
      </c>
      <c r="P2890" s="6">
        <f t="shared" si="736"/>
        <v>174.8</v>
      </c>
      <c r="Q2890" s="7">
        <v>4554218.25</v>
      </c>
      <c r="R2890" s="44" t="str">
        <f>VLOOKUP(F2890,'Set up'!$A$2:$E$70,5,FALSE)</f>
        <v>Trsf</v>
      </c>
      <c r="S2890" s="1" t="s">
        <v>4065</v>
      </c>
    </row>
    <row r="2891" spans="1:19" ht="15" customHeight="1" x14ac:dyDescent="0.35">
      <c r="A2891" s="4">
        <v>45440</v>
      </c>
      <c r="B2891" s="5">
        <f t="shared" si="741"/>
        <v>5</v>
      </c>
      <c r="C2891" s="5">
        <f t="shared" si="742"/>
        <v>2024</v>
      </c>
      <c r="D2891" s="5" t="s">
        <v>2568</v>
      </c>
      <c r="E2891" s="5" t="str">
        <f>VLOOKUP(F2891,'Set up'!$A$2:$C$70,2,FALSE)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up'!$A$2:$C$70,3,FALSE)</f>
        <v>Cash</v>
      </c>
      <c r="J2891" s="5">
        <f>VLOOKUP(F2891,'Set up'!$A$2:$D$70,4,FALSE)</f>
        <v>0</v>
      </c>
      <c r="K2891" s="4">
        <f t="shared" si="743"/>
        <v>45440</v>
      </c>
      <c r="L2891" s="5">
        <f t="shared" si="744"/>
        <v>5</v>
      </c>
      <c r="M2891" s="5">
        <f t="shared" si="745"/>
        <v>2024</v>
      </c>
      <c r="N2891" s="12">
        <v>110</v>
      </c>
      <c r="O2891" s="12"/>
      <c r="P2891" s="6">
        <f t="shared" si="736"/>
        <v>110</v>
      </c>
      <c r="Q2891" s="7">
        <v>4552217.25</v>
      </c>
      <c r="R2891" s="44" t="str">
        <f>VLOOKUP(F2891,'Set up'!$A$2:$E$70,5,FALSE)</f>
        <v>Trsf</v>
      </c>
    </row>
    <row r="2892" spans="1:19" ht="15" customHeight="1" x14ac:dyDescent="0.35">
      <c r="A2892" s="4">
        <v>45440</v>
      </c>
      <c r="B2892" s="5">
        <f t="shared" si="741"/>
        <v>5</v>
      </c>
      <c r="C2892" s="5">
        <f t="shared" si="742"/>
        <v>2024</v>
      </c>
      <c r="D2892" s="5" t="s">
        <v>2568</v>
      </c>
      <c r="E2892" s="5" t="str">
        <f>VLOOKUP(F2892,'Set up'!$A$2:$C$70,2,FALSE)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up'!$A$2:$C$70,3,FALSE)</f>
        <v>Cash</v>
      </c>
      <c r="J2892" s="5">
        <f>VLOOKUP(F2892,'Set up'!$A$2:$D$70,4,FALSE)</f>
        <v>0</v>
      </c>
      <c r="K2892" s="4">
        <f t="shared" si="743"/>
        <v>45440</v>
      </c>
      <c r="L2892" s="5">
        <f t="shared" si="744"/>
        <v>5</v>
      </c>
      <c r="M2892" s="5">
        <f t="shared" si="745"/>
        <v>2024</v>
      </c>
      <c r="N2892" s="12">
        <v>150</v>
      </c>
      <c r="O2892" s="12"/>
      <c r="P2892" s="6">
        <f t="shared" si="736"/>
        <v>150</v>
      </c>
      <c r="Q2892" s="7">
        <v>4551187.25</v>
      </c>
      <c r="R2892" s="44" t="str">
        <f>VLOOKUP(F2892,'Set up'!$A$2:$E$70,5,FALSE)</f>
        <v>Trsf</v>
      </c>
    </row>
    <row r="2893" spans="1:19" ht="15" customHeight="1" x14ac:dyDescent="0.35">
      <c r="A2893" s="4">
        <v>45440</v>
      </c>
      <c r="B2893" s="5">
        <f t="shared" si="741"/>
        <v>5</v>
      </c>
      <c r="C2893" s="5">
        <f t="shared" si="742"/>
        <v>2024</v>
      </c>
      <c r="D2893" s="5" t="s">
        <v>2568</v>
      </c>
      <c r="E2893" s="5" t="str">
        <f>VLOOKUP(F2893,'Set up'!$A$2:$C$70,2,FALSE)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up'!$A$2:$C$70,3,FALSE)</f>
        <v>Cash</v>
      </c>
      <c r="J2893" s="5">
        <f>VLOOKUP(F2893,'Set up'!$A$2:$D$70,4,FALSE)</f>
        <v>0</v>
      </c>
      <c r="K2893" s="4">
        <f t="shared" si="743"/>
        <v>45440</v>
      </c>
      <c r="L2893" s="5">
        <f t="shared" si="744"/>
        <v>5</v>
      </c>
      <c r="M2893" s="5">
        <f t="shared" si="745"/>
        <v>2024</v>
      </c>
      <c r="N2893" s="12">
        <v>283.8</v>
      </c>
      <c r="O2893" s="12"/>
      <c r="P2893" s="6">
        <f t="shared" si="736"/>
        <v>283.8</v>
      </c>
      <c r="Q2893" s="7">
        <v>4551617.05</v>
      </c>
      <c r="R2893" s="44" t="str">
        <f>VLOOKUP(F2893,'Set up'!$A$2:$E$70,5,FALSE)</f>
        <v>Trsf</v>
      </c>
    </row>
    <row r="2894" spans="1:19" ht="15" customHeight="1" x14ac:dyDescent="0.35">
      <c r="A2894" s="4">
        <v>45440</v>
      </c>
      <c r="B2894" s="5">
        <f t="shared" si="741"/>
        <v>5</v>
      </c>
      <c r="C2894" s="5">
        <f t="shared" si="742"/>
        <v>2024</v>
      </c>
      <c r="D2894" s="5" t="s">
        <v>2569</v>
      </c>
      <c r="E2894" s="5" t="str">
        <f>VLOOKUP(F2894,'Set up'!$A$2:$C$70,2,FALSE)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up'!$A$2:$C$70,3,FALSE)</f>
        <v>Cash</v>
      </c>
      <c r="J2894" s="5">
        <f>VLOOKUP(F2894,'Set up'!$A$2:$D$70,4,FALSE)</f>
        <v>0</v>
      </c>
      <c r="K2894" s="4">
        <f t="shared" si="743"/>
        <v>45440</v>
      </c>
      <c r="L2894" s="5">
        <f t="shared" si="744"/>
        <v>5</v>
      </c>
      <c r="M2894" s="5">
        <f t="shared" si="745"/>
        <v>2024</v>
      </c>
      <c r="N2894" s="12">
        <v>1650</v>
      </c>
      <c r="O2894" s="6">
        <f t="shared" ref="O2894:O2901" si="746">-N2894</f>
        <v>-1650</v>
      </c>
      <c r="P2894" s="6">
        <f t="shared" si="736"/>
        <v>0</v>
      </c>
      <c r="Q2894" s="7">
        <v>4553272.25</v>
      </c>
      <c r="R2894" s="44" t="str">
        <f>VLOOKUP(F2894,'Set up'!$A$2:$E$70,5,FALSE)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741"/>
        <v>5</v>
      </c>
      <c r="C2895" s="5">
        <f t="shared" si="742"/>
        <v>2024</v>
      </c>
      <c r="D2895" s="5" t="s">
        <v>2569</v>
      </c>
      <c r="E2895" s="5" t="str">
        <f>VLOOKUP(F2895,'Set up'!$A$2:$C$70,2,FALSE)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up'!$A$2:$C$70,3,FALSE)</f>
        <v>Cash</v>
      </c>
      <c r="J2895" s="5">
        <f>VLOOKUP(F2895,'Set up'!$A$2:$D$70,4,FALSE)</f>
        <v>0</v>
      </c>
      <c r="K2895" s="4">
        <f t="shared" si="743"/>
        <v>45440</v>
      </c>
      <c r="L2895" s="5">
        <f t="shared" si="744"/>
        <v>5</v>
      </c>
      <c r="M2895" s="5">
        <f t="shared" si="745"/>
        <v>2024</v>
      </c>
      <c r="N2895" s="12">
        <v>840</v>
      </c>
      <c r="O2895" s="6">
        <f t="shared" si="746"/>
        <v>-840</v>
      </c>
      <c r="P2895" s="6">
        <f t="shared" si="736"/>
        <v>0</v>
      </c>
      <c r="Q2895" s="7">
        <v>4552821.25</v>
      </c>
      <c r="R2895" s="44" t="str">
        <f>VLOOKUP(F2895,'Set up'!$A$2:$E$70,5,FALSE)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741"/>
        <v>5</v>
      </c>
      <c r="C2896" s="5">
        <f t="shared" si="742"/>
        <v>2024</v>
      </c>
      <c r="D2896" s="5" t="s">
        <v>2569</v>
      </c>
      <c r="E2896" s="5" t="str">
        <f>VLOOKUP(F2896,'Set up'!$A$2:$C$70,2,FALSE)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up'!$A$2:$C$70,3,FALSE)</f>
        <v>Cash</v>
      </c>
      <c r="J2896" s="5">
        <f>VLOOKUP(F2896,'Set up'!$A$2:$D$70,4,FALSE)</f>
        <v>0</v>
      </c>
      <c r="K2896" s="4">
        <f t="shared" si="743"/>
        <v>45440</v>
      </c>
      <c r="L2896" s="5">
        <f t="shared" si="744"/>
        <v>5</v>
      </c>
      <c r="M2896" s="5">
        <f t="shared" si="745"/>
        <v>2024</v>
      </c>
      <c r="N2896" s="12">
        <v>280</v>
      </c>
      <c r="O2896" s="6">
        <f t="shared" si="746"/>
        <v>-280</v>
      </c>
      <c r="P2896" s="6">
        <f t="shared" si="736"/>
        <v>0</v>
      </c>
      <c r="Q2896" s="7">
        <v>4552723.75</v>
      </c>
      <c r="R2896" s="44" t="str">
        <f>VLOOKUP(F2896,'Set up'!$A$2:$E$70,5,FALSE)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741"/>
        <v>5</v>
      </c>
      <c r="C2897" s="5">
        <f t="shared" si="742"/>
        <v>2024</v>
      </c>
      <c r="D2897" s="5" t="s">
        <v>2569</v>
      </c>
      <c r="E2897" s="5" t="str">
        <f>VLOOKUP(F2897,'Set up'!$A$2:$C$70,2,FALSE)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up'!$A$2:$C$70,3,FALSE)</f>
        <v>Cash</v>
      </c>
      <c r="J2897" s="5">
        <f>VLOOKUP(F2897,'Set up'!$A$2:$D$70,4,FALSE)</f>
        <v>0</v>
      </c>
      <c r="K2897" s="4">
        <f t="shared" si="743"/>
        <v>45440</v>
      </c>
      <c r="L2897" s="5">
        <f t="shared" si="744"/>
        <v>5</v>
      </c>
      <c r="M2897" s="5">
        <f t="shared" si="745"/>
        <v>2024</v>
      </c>
      <c r="N2897" s="12">
        <v>320</v>
      </c>
      <c r="O2897" s="6">
        <f t="shared" si="746"/>
        <v>-320</v>
      </c>
      <c r="P2897" s="6">
        <f t="shared" si="736"/>
        <v>0</v>
      </c>
      <c r="Q2897" s="7">
        <v>4566978.25</v>
      </c>
      <c r="R2897" s="44" t="str">
        <f>VLOOKUP(F2897,'Set up'!$A$2:$E$70,5,FALSE)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741"/>
        <v>5</v>
      </c>
      <c r="C2898" s="5">
        <f t="shared" si="742"/>
        <v>2024</v>
      </c>
      <c r="D2898" s="5" t="s">
        <v>2569</v>
      </c>
      <c r="E2898" s="5" t="str">
        <f>VLOOKUP(F2898,'Set up'!$A$2:$C$70,2,FALSE)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up'!$A$2:$C$70,3,FALSE)</f>
        <v>Cash</v>
      </c>
      <c r="J2898" s="5">
        <f>VLOOKUP(F2898,'Set up'!$A$2:$D$70,4,FALSE)</f>
        <v>0</v>
      </c>
      <c r="K2898" s="4">
        <f t="shared" si="743"/>
        <v>45440</v>
      </c>
      <c r="L2898" s="5">
        <f t="shared" si="744"/>
        <v>5</v>
      </c>
      <c r="M2898" s="5">
        <f t="shared" si="745"/>
        <v>2024</v>
      </c>
      <c r="N2898" s="12">
        <v>283.8</v>
      </c>
      <c r="O2898" s="6">
        <f t="shared" si="746"/>
        <v>-283.8</v>
      </c>
      <c r="P2898" s="6">
        <f t="shared" si="736"/>
        <v>0</v>
      </c>
      <c r="Q2898" s="7">
        <v>4560828.05</v>
      </c>
      <c r="R2898" s="44" t="str">
        <f>VLOOKUP(F2898,'Set up'!$A$2:$E$70,5,FALSE)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741"/>
        <v>5</v>
      </c>
      <c r="C2899" s="5">
        <f t="shared" si="742"/>
        <v>2024</v>
      </c>
      <c r="D2899" s="5" t="s">
        <v>2572</v>
      </c>
      <c r="E2899" s="5" t="str">
        <f>VLOOKUP(F2899,'Set up'!$A$2:$C$70,2,FALSE)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up'!$A$2:$C$70,3,FALSE)</f>
        <v>Cash</v>
      </c>
      <c r="J2899" s="5">
        <f>VLOOKUP(F2899,'Set up'!$A$2:$D$70,4,FALSE)</f>
        <v>0</v>
      </c>
      <c r="K2899" s="4">
        <f t="shared" si="743"/>
        <v>45441</v>
      </c>
      <c r="L2899" s="5">
        <f t="shared" si="744"/>
        <v>5</v>
      </c>
      <c r="M2899" s="5">
        <f t="shared" si="745"/>
        <v>2024</v>
      </c>
      <c r="N2899" s="12">
        <v>240</v>
      </c>
      <c r="O2899" s="6">
        <f t="shared" si="746"/>
        <v>-240</v>
      </c>
      <c r="P2899" s="6">
        <f t="shared" si="736"/>
        <v>0</v>
      </c>
      <c r="Q2899" s="7">
        <v>4575939.75</v>
      </c>
      <c r="R2899" s="44" t="str">
        <f>VLOOKUP(F2899,'Set up'!$A$2:$E$70,5,FALSE)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741"/>
        <v>5</v>
      </c>
      <c r="C2900" s="5">
        <f t="shared" si="742"/>
        <v>2024</v>
      </c>
      <c r="D2900" s="5" t="s">
        <v>2572</v>
      </c>
      <c r="E2900" s="5" t="str">
        <f>VLOOKUP(F2900,'Set up'!$A$2:$C$70,2,FALSE)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up'!$A$2:$C$70,3,FALSE)</f>
        <v>Cash</v>
      </c>
      <c r="J2900" s="5">
        <f>VLOOKUP(F2900,'Set up'!$A$2:$D$70,4,FALSE)</f>
        <v>0</v>
      </c>
      <c r="K2900" s="4">
        <f t="shared" si="743"/>
        <v>45441</v>
      </c>
      <c r="L2900" s="5">
        <f t="shared" si="744"/>
        <v>5</v>
      </c>
      <c r="M2900" s="5">
        <f t="shared" si="745"/>
        <v>2024</v>
      </c>
      <c r="N2900" s="12">
        <v>225</v>
      </c>
      <c r="O2900" s="6">
        <f t="shared" si="746"/>
        <v>-225</v>
      </c>
      <c r="P2900" s="6">
        <f t="shared" si="736"/>
        <v>0</v>
      </c>
      <c r="Q2900" s="7">
        <v>4522935.45</v>
      </c>
      <c r="R2900" s="44" t="str">
        <f>VLOOKUP(F2900,'Set up'!$A$2:$E$70,5,FALSE)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741"/>
        <v>5</v>
      </c>
      <c r="C2901" s="5">
        <f t="shared" si="742"/>
        <v>2024</v>
      </c>
      <c r="D2901" s="5" t="s">
        <v>2572</v>
      </c>
      <c r="E2901" s="5" t="str">
        <f>VLOOKUP(F2901,'Set up'!$A$2:$C$70,2,FALSE)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up'!$A$2:$C$70,3,FALSE)</f>
        <v>Cash</v>
      </c>
      <c r="J2901" s="5">
        <f>VLOOKUP(F2901,'Set up'!$A$2:$D$70,4,FALSE)</f>
        <v>0</v>
      </c>
      <c r="K2901" s="4">
        <f t="shared" si="743"/>
        <v>45441</v>
      </c>
      <c r="L2901" s="5">
        <f t="shared" si="744"/>
        <v>5</v>
      </c>
      <c r="M2901" s="5">
        <f t="shared" si="745"/>
        <v>2024</v>
      </c>
      <c r="N2901" s="12">
        <v>258</v>
      </c>
      <c r="O2901" s="6">
        <f t="shared" si="746"/>
        <v>-258</v>
      </c>
      <c r="P2901" s="6">
        <f t="shared" ref="P2901:P2964" si="747">SUM(N2901+O2901)</f>
        <v>0</v>
      </c>
      <c r="Q2901" s="7">
        <v>4525093.45</v>
      </c>
      <c r="R2901" s="44" t="str">
        <f>VLOOKUP(F2901,'Set up'!$A$2:$E$70,5,FALSE)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741"/>
        <v>5</v>
      </c>
      <c r="C2902" s="5">
        <f t="shared" si="742"/>
        <v>2024</v>
      </c>
      <c r="D2902" s="5" t="s">
        <v>2575</v>
      </c>
      <c r="E2902" s="5" t="str">
        <f>VLOOKUP(F2902,'Set up'!$A$2:$C$70,2,FALSE)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up'!$A$2:$C$70,3,FALSE)</f>
        <v>Cash</v>
      </c>
      <c r="J2902" s="5">
        <f>VLOOKUP(F2902,'Set up'!$A$2:$D$70,4,FALSE)</f>
        <v>0</v>
      </c>
      <c r="K2902" s="4">
        <f t="shared" si="743"/>
        <v>45441</v>
      </c>
      <c r="L2902" s="5">
        <f t="shared" si="744"/>
        <v>5</v>
      </c>
      <c r="M2902" s="5">
        <f t="shared" si="745"/>
        <v>2024</v>
      </c>
      <c r="N2902" s="12">
        <v>1672</v>
      </c>
      <c r="O2902" s="6">
        <f t="shared" ref="O2902:O2904" si="748">-N2902</f>
        <v>-1672</v>
      </c>
      <c r="P2902" s="6">
        <f t="shared" si="747"/>
        <v>0</v>
      </c>
      <c r="Q2902" s="7">
        <v>4528832.45</v>
      </c>
      <c r="R2902" s="44" t="str">
        <f>VLOOKUP(F2902,'Set up'!$A$2:$E$70,5,FALSE)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741"/>
        <v>5</v>
      </c>
      <c r="C2903" s="5">
        <f t="shared" si="742"/>
        <v>2024</v>
      </c>
      <c r="D2903" s="5" t="s">
        <v>2575</v>
      </c>
      <c r="E2903" s="5" t="str">
        <f>VLOOKUP(F2903,'Set up'!$A$2:$C$70,2,FALSE)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up'!$A$2:$C$70,3,FALSE)</f>
        <v>Cash</v>
      </c>
      <c r="J2903" s="5">
        <f>VLOOKUP(F2903,'Set up'!$A$2:$D$70,4,FALSE)</f>
        <v>0</v>
      </c>
      <c r="K2903" s="4">
        <f t="shared" si="743"/>
        <v>45441</v>
      </c>
      <c r="L2903" s="5">
        <f t="shared" si="744"/>
        <v>5</v>
      </c>
      <c r="M2903" s="5">
        <f t="shared" si="745"/>
        <v>2024</v>
      </c>
      <c r="N2903" s="12">
        <v>630</v>
      </c>
      <c r="O2903" s="6">
        <f t="shared" si="748"/>
        <v>-630</v>
      </c>
      <c r="P2903" s="6">
        <f t="shared" si="747"/>
        <v>0</v>
      </c>
      <c r="Q2903" s="7">
        <v>4527967.95</v>
      </c>
      <c r="R2903" s="44" t="str">
        <f>VLOOKUP(F2903,'Set up'!$A$2:$E$70,5,FALSE)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741"/>
        <v>5</v>
      </c>
      <c r="C2904" s="5">
        <f t="shared" si="742"/>
        <v>2024</v>
      </c>
      <c r="D2904" s="5" t="s">
        <v>2575</v>
      </c>
      <c r="E2904" s="5" t="str">
        <f>VLOOKUP(F2904,'Set up'!$A$2:$C$70,2,FALSE)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up'!$A$2:$C$70,3,FALSE)</f>
        <v>Cash</v>
      </c>
      <c r="J2904" s="5">
        <f>VLOOKUP(F2904,'Set up'!$A$2:$D$70,4,FALSE)</f>
        <v>0</v>
      </c>
      <c r="K2904" s="4">
        <f t="shared" si="743"/>
        <v>45441</v>
      </c>
      <c r="L2904" s="5">
        <f t="shared" si="744"/>
        <v>5</v>
      </c>
      <c r="M2904" s="5">
        <f t="shared" si="745"/>
        <v>2024</v>
      </c>
      <c r="N2904" s="12">
        <v>110</v>
      </c>
      <c r="O2904" s="6">
        <f t="shared" si="748"/>
        <v>-110</v>
      </c>
      <c r="P2904" s="6">
        <f t="shared" si="747"/>
        <v>0</v>
      </c>
      <c r="Q2904" s="7">
        <v>4528543.45</v>
      </c>
      <c r="R2904" s="44" t="str">
        <f>VLOOKUP(F2904,'Set up'!$A$2:$E$70,5,FALSE)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741"/>
        <v>5</v>
      </c>
      <c r="C2905" s="5">
        <f t="shared" si="742"/>
        <v>2024</v>
      </c>
      <c r="D2905" s="5" t="s">
        <v>2576</v>
      </c>
      <c r="E2905" s="5" t="str">
        <f>VLOOKUP(F2905,'Set up'!$A$2:$C$70,2,FALSE)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up'!$A$2:$C$70,3,FALSE)</f>
        <v>Cash</v>
      </c>
      <c r="J2905" s="5">
        <f>VLOOKUP(F2905,'Set up'!$A$2:$D$70,4,FALSE)</f>
        <v>0</v>
      </c>
      <c r="K2905" s="4">
        <f t="shared" si="743"/>
        <v>45441</v>
      </c>
      <c r="L2905" s="5">
        <f t="shared" si="744"/>
        <v>5</v>
      </c>
      <c r="M2905" s="5">
        <f t="shared" si="745"/>
        <v>2024</v>
      </c>
      <c r="N2905" s="12">
        <v>437.5</v>
      </c>
      <c r="O2905" s="6">
        <f>-N2905</f>
        <v>-437.5</v>
      </c>
      <c r="P2905" s="6">
        <f t="shared" si="747"/>
        <v>0</v>
      </c>
      <c r="Q2905" s="7">
        <v>4530485.95</v>
      </c>
      <c r="R2905" s="44" t="str">
        <f>VLOOKUP(F2905,'Set up'!$A$2:$E$70,5,FALSE)</f>
        <v>Trsf</v>
      </c>
      <c r="S2905" s="1" t="s">
        <v>3166</v>
      </c>
    </row>
    <row r="2906" spans="1:19" ht="15" customHeight="1" x14ac:dyDescent="0.35">
      <c r="A2906" s="4">
        <v>45441</v>
      </c>
      <c r="B2906" s="5">
        <f t="shared" si="741"/>
        <v>5</v>
      </c>
      <c r="C2906" s="5">
        <f t="shared" si="742"/>
        <v>2024</v>
      </c>
      <c r="D2906" s="5" t="s">
        <v>2577</v>
      </c>
      <c r="E2906" s="5" t="str">
        <f>VLOOKUP(F2906,'Set up'!$A$2:$C$70,2,FALSE)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up'!$A$2:$C$70,3,FALSE)</f>
        <v>Cash</v>
      </c>
      <c r="J2906" s="5">
        <f>VLOOKUP(F2906,'Set up'!$A$2:$D$70,4,FALSE)</f>
        <v>0</v>
      </c>
      <c r="K2906" s="4">
        <f t="shared" si="743"/>
        <v>45441</v>
      </c>
      <c r="L2906" s="5">
        <f t="shared" si="744"/>
        <v>5</v>
      </c>
      <c r="M2906" s="5">
        <f t="shared" si="745"/>
        <v>2024</v>
      </c>
      <c r="N2906" s="12">
        <v>11396</v>
      </c>
      <c r="O2906" s="6">
        <f>-N2906</f>
        <v>-11396</v>
      </c>
      <c r="P2906" s="6">
        <f t="shared" si="747"/>
        <v>0</v>
      </c>
      <c r="Q2906" s="7">
        <v>4541971.95</v>
      </c>
      <c r="R2906" s="44" t="str">
        <f>VLOOKUP(F2906,'Set up'!$A$2:$E$70,5,FALSE)</f>
        <v>Trsf</v>
      </c>
      <c r="S2906" s="1" t="s">
        <v>3167</v>
      </c>
    </row>
    <row r="2907" spans="1:19" ht="15" customHeight="1" x14ac:dyDescent="0.35">
      <c r="A2907" s="4">
        <v>45441</v>
      </c>
      <c r="B2907" s="5">
        <f t="shared" si="741"/>
        <v>5</v>
      </c>
      <c r="C2907" s="5">
        <f t="shared" si="742"/>
        <v>2024</v>
      </c>
      <c r="D2907" s="5" t="s">
        <v>2577</v>
      </c>
      <c r="E2907" s="5" t="str">
        <f>VLOOKUP(F2907,'Set up'!$A$2:$C$70,2,FALSE)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up'!$A$2:$C$70,3,FALSE)</f>
        <v>Cash</v>
      </c>
      <c r="J2907" s="5">
        <f>VLOOKUP(F2907,'Set up'!$A$2:$D$70,4,FALSE)</f>
        <v>0</v>
      </c>
      <c r="K2907" s="4">
        <f t="shared" si="743"/>
        <v>45441</v>
      </c>
      <c r="L2907" s="5">
        <f t="shared" si="744"/>
        <v>5</v>
      </c>
      <c r="M2907" s="5">
        <f t="shared" si="745"/>
        <v>2024</v>
      </c>
      <c r="N2907" s="12">
        <v>3480</v>
      </c>
      <c r="O2907" s="6">
        <f>-N2907</f>
        <v>-3480</v>
      </c>
      <c r="P2907" s="6">
        <f t="shared" si="747"/>
        <v>0</v>
      </c>
      <c r="Q2907" s="7">
        <v>4556347.95</v>
      </c>
      <c r="R2907" s="44" t="str">
        <f>VLOOKUP(F2907,'Set up'!$A$2:$E$70,5,FALSE)</f>
        <v>Trsf</v>
      </c>
      <c r="S2907" s="1" t="s">
        <v>3168</v>
      </c>
    </row>
    <row r="2908" spans="1:19" ht="15" customHeight="1" x14ac:dyDescent="0.35">
      <c r="A2908" s="4">
        <v>45441</v>
      </c>
      <c r="B2908" s="5">
        <f t="shared" si="741"/>
        <v>5</v>
      </c>
      <c r="C2908" s="5">
        <f t="shared" si="742"/>
        <v>2024</v>
      </c>
      <c r="D2908" s="5" t="s">
        <v>2577</v>
      </c>
      <c r="E2908" s="5" t="str">
        <f>VLOOKUP(F2908,'Set up'!$A$2:$C$70,2,FALSE)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up'!$A$2:$C$70,3,FALSE)</f>
        <v>Cash</v>
      </c>
      <c r="J2908" s="5">
        <f>VLOOKUP(F2908,'Set up'!$A$2:$D$70,4,FALSE)</f>
        <v>0</v>
      </c>
      <c r="K2908" s="4">
        <f t="shared" si="743"/>
        <v>45441</v>
      </c>
      <c r="L2908" s="5">
        <f t="shared" si="744"/>
        <v>5</v>
      </c>
      <c r="M2908" s="5">
        <f t="shared" si="745"/>
        <v>2024</v>
      </c>
      <c r="N2908" s="12">
        <v>2340</v>
      </c>
      <c r="O2908" s="6">
        <f>-N2908</f>
        <v>-2340</v>
      </c>
      <c r="P2908" s="6">
        <f t="shared" si="747"/>
        <v>0</v>
      </c>
      <c r="Q2908" s="7">
        <v>4547751.95</v>
      </c>
      <c r="R2908" s="44" t="str">
        <f>VLOOKUP(F2908,'Set up'!$A$2:$E$70,5,FALSE)</f>
        <v>Trsf</v>
      </c>
      <c r="S2908" s="1" t="s">
        <v>3169</v>
      </c>
    </row>
    <row r="2909" spans="1:19" ht="15" customHeight="1" x14ac:dyDescent="0.35">
      <c r="A2909" s="4">
        <v>45441</v>
      </c>
      <c r="B2909" s="5">
        <f t="shared" si="741"/>
        <v>5</v>
      </c>
      <c r="C2909" s="5">
        <f t="shared" si="742"/>
        <v>2024</v>
      </c>
      <c r="D2909" s="5" t="s">
        <v>2577</v>
      </c>
      <c r="E2909" s="5" t="str">
        <f>VLOOKUP(F2909,'Set up'!$A$2:$C$70,2,FALSE)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up'!$A$2:$C$70,3,FALSE)</f>
        <v>Cash</v>
      </c>
      <c r="J2909" s="5">
        <f>VLOOKUP(F2909,'Set up'!$A$2:$D$70,4,FALSE)</f>
        <v>0</v>
      </c>
      <c r="K2909" s="4">
        <f t="shared" si="743"/>
        <v>45441</v>
      </c>
      <c r="L2909" s="5">
        <f t="shared" si="744"/>
        <v>5</v>
      </c>
      <c r="M2909" s="5">
        <f t="shared" si="745"/>
        <v>2024</v>
      </c>
      <c r="N2909" s="12">
        <v>2000</v>
      </c>
      <c r="O2909" s="6">
        <f>-N2909</f>
        <v>-2000</v>
      </c>
      <c r="P2909" s="6">
        <f t="shared" si="747"/>
        <v>0</v>
      </c>
      <c r="Q2909" s="7">
        <v>4546831.95</v>
      </c>
      <c r="R2909" s="44" t="str">
        <f>VLOOKUP(F2909,'Set up'!$A$2:$E$70,5,FALSE)</f>
        <v>Trsf</v>
      </c>
      <c r="S2909" s="1" t="s">
        <v>3170</v>
      </c>
    </row>
    <row r="2910" spans="1:19" ht="15" customHeight="1" x14ac:dyDescent="0.35">
      <c r="A2910" s="4">
        <v>45444</v>
      </c>
      <c r="B2910" s="5">
        <f t="shared" si="741"/>
        <v>6</v>
      </c>
      <c r="C2910" s="5">
        <f t="shared" si="742"/>
        <v>2024</v>
      </c>
      <c r="D2910" s="5" t="s">
        <v>2634</v>
      </c>
      <c r="E2910" s="5" t="str">
        <f>VLOOKUP(F2910,'Set up'!$A$2:$C$70,2,FALSE)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up'!$A$2:$C$70,3,FALSE)</f>
        <v>120</v>
      </c>
      <c r="J2910" s="5">
        <f>VLOOKUP(F2910,'Set up'!$A$2:$D$70,4,FALSE)</f>
        <v>120</v>
      </c>
      <c r="K2910" s="4">
        <f t="shared" si="743"/>
        <v>45564</v>
      </c>
      <c r="L2910" s="5">
        <f t="shared" si="744"/>
        <v>9</v>
      </c>
      <c r="M2910" s="5">
        <f t="shared" si="745"/>
        <v>2024</v>
      </c>
      <c r="N2910" s="12">
        <v>13024</v>
      </c>
      <c r="O2910" s="6">
        <f t="shared" ref="O2910:O2916" si="749">-N2910</f>
        <v>-13024</v>
      </c>
      <c r="P2910" s="6">
        <f t="shared" si="747"/>
        <v>0</v>
      </c>
      <c r="Q2910" s="7">
        <v>4519680.45</v>
      </c>
      <c r="R2910" s="44" t="str">
        <f>VLOOKUP(F2910,'Set up'!$A$2:$E$70,5,FALSE)</f>
        <v>Trsf</v>
      </c>
      <c r="S2910" s="1" t="s">
        <v>3147</v>
      </c>
    </row>
    <row r="2911" spans="1:19" ht="15" customHeight="1" x14ac:dyDescent="0.35">
      <c r="A2911" s="4">
        <v>45444</v>
      </c>
      <c r="B2911" s="5">
        <f t="shared" si="741"/>
        <v>6</v>
      </c>
      <c r="C2911" s="5">
        <f t="shared" si="742"/>
        <v>2024</v>
      </c>
      <c r="D2911" s="5" t="s">
        <v>2634</v>
      </c>
      <c r="E2911" s="5" t="str">
        <f>VLOOKUP(F2911,'Set up'!$A$2:$C$70,2,FALSE)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up'!$A$2:$C$70,3,FALSE)</f>
        <v>120</v>
      </c>
      <c r="J2911" s="5">
        <f>VLOOKUP(F2911,'Set up'!$A$2:$D$70,4,FALSE)</f>
        <v>120</v>
      </c>
      <c r="K2911" s="4">
        <f t="shared" si="743"/>
        <v>45564</v>
      </c>
      <c r="L2911" s="5">
        <f t="shared" si="744"/>
        <v>9</v>
      </c>
      <c r="M2911" s="5">
        <f t="shared" si="745"/>
        <v>2024</v>
      </c>
      <c r="N2911" s="12">
        <v>2610</v>
      </c>
      <c r="O2911" s="6">
        <f t="shared" si="749"/>
        <v>-2610</v>
      </c>
      <c r="P2911" s="6">
        <f t="shared" si="747"/>
        <v>0</v>
      </c>
      <c r="Q2911" s="7">
        <v>4512742.45</v>
      </c>
      <c r="R2911" s="44" t="str">
        <f>VLOOKUP(F2911,'Set up'!$A$2:$E$70,5,FALSE)</f>
        <v>Trsf</v>
      </c>
      <c r="S2911" s="1" t="s">
        <v>3147</v>
      </c>
    </row>
    <row r="2912" spans="1:19" ht="15" customHeight="1" x14ac:dyDescent="0.35">
      <c r="A2912" s="4">
        <v>45444</v>
      </c>
      <c r="B2912" s="5">
        <f t="shared" si="741"/>
        <v>6</v>
      </c>
      <c r="C2912" s="5">
        <f t="shared" si="742"/>
        <v>2024</v>
      </c>
      <c r="D2912" s="5" t="s">
        <v>2634</v>
      </c>
      <c r="E2912" s="5" t="str">
        <f>VLOOKUP(F2912,'Set up'!$A$2:$C$70,2,FALSE)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up'!$A$2:$C$70,3,FALSE)</f>
        <v>120</v>
      </c>
      <c r="J2912" s="5">
        <f>VLOOKUP(F2912,'Set up'!$A$2:$D$70,4,FALSE)</f>
        <v>120</v>
      </c>
      <c r="K2912" s="4">
        <f t="shared" si="743"/>
        <v>45564</v>
      </c>
      <c r="L2912" s="5">
        <f t="shared" si="744"/>
        <v>9</v>
      </c>
      <c r="M2912" s="5">
        <f t="shared" si="745"/>
        <v>2024</v>
      </c>
      <c r="N2912" s="12">
        <v>862.5</v>
      </c>
      <c r="O2912" s="6">
        <f t="shared" si="749"/>
        <v>-862.5</v>
      </c>
      <c r="P2912" s="6">
        <f t="shared" si="747"/>
        <v>0</v>
      </c>
      <c r="Q2912" s="7">
        <v>4511669.95</v>
      </c>
      <c r="R2912" s="44" t="str">
        <f>VLOOKUP(F2912,'Set up'!$A$2:$E$70,5,FALSE)</f>
        <v>Trsf</v>
      </c>
      <c r="S2912" s="1" t="s">
        <v>3147</v>
      </c>
    </row>
    <row r="2913" spans="1:21" ht="15" customHeight="1" x14ac:dyDescent="0.35">
      <c r="A2913" s="4">
        <v>45444</v>
      </c>
      <c r="B2913" s="5">
        <f t="shared" si="741"/>
        <v>6</v>
      </c>
      <c r="C2913" s="5">
        <f t="shared" si="742"/>
        <v>2024</v>
      </c>
      <c r="D2913" s="5" t="s">
        <v>2634</v>
      </c>
      <c r="E2913" s="5" t="str">
        <f>VLOOKUP(F2913,'Set up'!$A$2:$C$70,2,FALSE)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up'!$A$2:$C$70,3,FALSE)</f>
        <v>120</v>
      </c>
      <c r="J2913" s="5">
        <f>VLOOKUP(F2913,'Set up'!$A$2:$D$70,4,FALSE)</f>
        <v>120</v>
      </c>
      <c r="K2913" s="4">
        <f t="shared" si="743"/>
        <v>45564</v>
      </c>
      <c r="L2913" s="5">
        <f t="shared" si="744"/>
        <v>9</v>
      </c>
      <c r="M2913" s="5">
        <f t="shared" si="745"/>
        <v>2024</v>
      </c>
      <c r="N2913" s="12">
        <v>440</v>
      </c>
      <c r="O2913" s="6">
        <f t="shared" si="749"/>
        <v>-440</v>
      </c>
      <c r="P2913" s="6">
        <f t="shared" si="747"/>
        <v>0</v>
      </c>
      <c r="Q2913" s="7">
        <v>4511622.45</v>
      </c>
      <c r="R2913" s="44" t="str">
        <f>VLOOKUP(F2913,'Set up'!$A$2:$E$70,5,FALSE)</f>
        <v>Trsf</v>
      </c>
      <c r="S2913" s="1" t="s">
        <v>3147</v>
      </c>
    </row>
    <row r="2914" spans="1:21" ht="15" customHeight="1" x14ac:dyDescent="0.35">
      <c r="A2914" s="4">
        <v>45444</v>
      </c>
      <c r="B2914" s="5">
        <f t="shared" si="741"/>
        <v>6</v>
      </c>
      <c r="C2914" s="5">
        <f t="shared" si="742"/>
        <v>2024</v>
      </c>
      <c r="D2914" s="5" t="s">
        <v>2634</v>
      </c>
      <c r="E2914" s="5" t="str">
        <f>VLOOKUP(F2914,'Set up'!$A$2:$C$70,2,FALSE)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up'!$A$2:$C$70,3,FALSE)</f>
        <v>120</v>
      </c>
      <c r="J2914" s="5">
        <f>VLOOKUP(F2914,'Set up'!$A$2:$D$70,4,FALSE)</f>
        <v>120</v>
      </c>
      <c r="K2914" s="4">
        <f t="shared" si="743"/>
        <v>45564</v>
      </c>
      <c r="L2914" s="5">
        <f t="shared" si="744"/>
        <v>9</v>
      </c>
      <c r="M2914" s="5">
        <f t="shared" si="745"/>
        <v>2024</v>
      </c>
      <c r="N2914" s="12">
        <v>420</v>
      </c>
      <c r="O2914" s="6">
        <f t="shared" si="749"/>
        <v>-420</v>
      </c>
      <c r="P2914" s="6">
        <f t="shared" si="747"/>
        <v>0</v>
      </c>
      <c r="Q2914" s="7">
        <v>4521370.45</v>
      </c>
      <c r="R2914" s="44" t="str">
        <f>VLOOKUP(F2914,'Set up'!$A$2:$E$70,5,FALSE)</f>
        <v>Trsf</v>
      </c>
      <c r="S2914" s="1" t="s">
        <v>3147</v>
      </c>
    </row>
    <row r="2915" spans="1:21" ht="15" customHeight="1" x14ac:dyDescent="0.35">
      <c r="A2915" s="4">
        <v>45444</v>
      </c>
      <c r="B2915" s="5">
        <f t="shared" si="741"/>
        <v>6</v>
      </c>
      <c r="C2915" s="5">
        <f t="shared" si="742"/>
        <v>2024</v>
      </c>
      <c r="D2915" s="5" t="s">
        <v>2634</v>
      </c>
      <c r="E2915" s="5" t="str">
        <f>VLOOKUP(F2915,'Set up'!$A$2:$C$70,2,FALSE)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up'!$A$2:$C$70,3,FALSE)</f>
        <v>120</v>
      </c>
      <c r="J2915" s="5">
        <f>VLOOKUP(F2915,'Set up'!$A$2:$D$70,4,FALSE)</f>
        <v>120</v>
      </c>
      <c r="K2915" s="4">
        <f t="shared" si="743"/>
        <v>45564</v>
      </c>
      <c r="L2915" s="5">
        <f t="shared" si="744"/>
        <v>9</v>
      </c>
      <c r="M2915" s="5">
        <f t="shared" si="745"/>
        <v>2024</v>
      </c>
      <c r="N2915" s="12">
        <v>395</v>
      </c>
      <c r="O2915" s="6">
        <f t="shared" si="749"/>
        <v>-395</v>
      </c>
      <c r="P2915" s="6">
        <f t="shared" si="747"/>
        <v>0</v>
      </c>
      <c r="Q2915" s="7">
        <v>4524825.45</v>
      </c>
      <c r="R2915" s="44" t="str">
        <f>VLOOKUP(F2915,'Set up'!$A$2:$E$70,5,FALSE)</f>
        <v>Trsf</v>
      </c>
      <c r="S2915" s="1" t="s">
        <v>3147</v>
      </c>
    </row>
    <row r="2916" spans="1:21" ht="15" customHeight="1" x14ac:dyDescent="0.35">
      <c r="A2916" s="4">
        <v>45444</v>
      </c>
      <c r="B2916" s="5">
        <f t="shared" si="741"/>
        <v>6</v>
      </c>
      <c r="C2916" s="5">
        <f t="shared" si="742"/>
        <v>2024</v>
      </c>
      <c r="D2916" s="5" t="s">
        <v>2634</v>
      </c>
      <c r="E2916" s="5" t="str">
        <f>VLOOKUP(F2916,'Set up'!$A$2:$C$70,2,FALSE)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up'!$A$2:$C$70,3,FALSE)</f>
        <v>120</v>
      </c>
      <c r="J2916" s="5">
        <f>VLOOKUP(F2916,'Set up'!$A$2:$D$70,4,FALSE)</f>
        <v>120</v>
      </c>
      <c r="K2916" s="4">
        <f t="shared" si="743"/>
        <v>45564</v>
      </c>
      <c r="L2916" s="5">
        <f t="shared" si="744"/>
        <v>9</v>
      </c>
      <c r="M2916" s="5">
        <f t="shared" si="745"/>
        <v>2024</v>
      </c>
      <c r="N2916" s="12">
        <v>230.4</v>
      </c>
      <c r="O2916" s="6">
        <f t="shared" si="749"/>
        <v>-230.4</v>
      </c>
      <c r="P2916" s="6">
        <f t="shared" si="747"/>
        <v>0</v>
      </c>
      <c r="Q2916" s="7">
        <v>4527000.8500000006</v>
      </c>
      <c r="R2916" s="44" t="str">
        <f>VLOOKUP(F2916,'Set up'!$A$2:$E$70,5,FALSE)</f>
        <v>Trsf</v>
      </c>
      <c r="S2916" s="1" t="s">
        <v>3147</v>
      </c>
    </row>
    <row r="2917" spans="1:21" ht="15" customHeight="1" x14ac:dyDescent="0.35">
      <c r="A2917" s="4">
        <v>45444</v>
      </c>
      <c r="B2917" s="5">
        <f t="shared" si="741"/>
        <v>6</v>
      </c>
      <c r="C2917" s="5">
        <f t="shared" si="742"/>
        <v>2024</v>
      </c>
      <c r="D2917" s="5" t="s">
        <v>2636</v>
      </c>
      <c r="E2917" s="5" t="str">
        <f>VLOOKUP(F2917,'Set up'!$A$2:$C$70,2,FALSE)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up'!$A$2:$C$70,3,FALSE)</f>
        <v>Cash</v>
      </c>
      <c r="J2917" s="5">
        <f>VLOOKUP(F2917,'Set up'!$A$2:$D$70,4,FALSE)</f>
        <v>0</v>
      </c>
      <c r="K2917" s="4">
        <f t="shared" si="743"/>
        <v>45444</v>
      </c>
      <c r="L2917" s="5">
        <f t="shared" si="744"/>
        <v>6</v>
      </c>
      <c r="M2917" s="5">
        <f t="shared" si="745"/>
        <v>2024</v>
      </c>
      <c r="N2917" s="12">
        <v>1760</v>
      </c>
      <c r="O2917" s="12"/>
      <c r="P2917" s="6">
        <f t="shared" si="747"/>
        <v>1760</v>
      </c>
      <c r="Q2917" s="7">
        <v>4528910.45</v>
      </c>
      <c r="R2917" s="44" t="str">
        <f>VLOOKUP(F2917,'Set up'!$A$2:$E$70,5,FALSE)</f>
        <v>PD Chq</v>
      </c>
    </row>
    <row r="2918" spans="1:21" ht="15" customHeight="1" x14ac:dyDescent="0.35">
      <c r="A2918" s="4">
        <v>45444</v>
      </c>
      <c r="B2918" s="5">
        <f t="shared" si="741"/>
        <v>6</v>
      </c>
      <c r="C2918" s="5">
        <f t="shared" si="742"/>
        <v>2024</v>
      </c>
      <c r="D2918" s="5" t="s">
        <v>2636</v>
      </c>
      <c r="E2918" s="5" t="str">
        <f>VLOOKUP(F2918,'Set up'!$A$2:$C$70,2,FALSE)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up'!$A$2:$C$70,3,FALSE)</f>
        <v>Cash</v>
      </c>
      <c r="J2918" s="5">
        <f>VLOOKUP(F2918,'Set up'!$A$2:$D$70,4,FALSE)</f>
        <v>0</v>
      </c>
      <c r="K2918" s="4">
        <f t="shared" si="743"/>
        <v>45444</v>
      </c>
      <c r="L2918" s="5">
        <f t="shared" si="744"/>
        <v>6</v>
      </c>
      <c r="M2918" s="5">
        <f t="shared" si="745"/>
        <v>2024</v>
      </c>
      <c r="N2918" s="12">
        <v>555</v>
      </c>
      <c r="O2918" s="12"/>
      <c r="P2918" s="6">
        <f t="shared" si="747"/>
        <v>555</v>
      </c>
      <c r="Q2918" s="7">
        <v>4528705.45</v>
      </c>
      <c r="R2918" s="44" t="str">
        <f>VLOOKUP(F2918,'Set up'!$A$2:$E$70,5,FALSE)</f>
        <v>PD Chq</v>
      </c>
    </row>
    <row r="2919" spans="1:21" ht="15" customHeight="1" x14ac:dyDescent="0.35">
      <c r="A2919" s="4">
        <v>45444</v>
      </c>
      <c r="B2919" s="5">
        <f t="shared" si="741"/>
        <v>6</v>
      </c>
      <c r="C2919" s="5">
        <f t="shared" si="742"/>
        <v>2024</v>
      </c>
      <c r="D2919" s="5" t="s">
        <v>2636</v>
      </c>
      <c r="E2919" s="5" t="str">
        <f>VLOOKUP(F2919,'Set up'!$A$2:$C$70,2,FALSE)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up'!$A$2:$C$70,3,FALSE)</f>
        <v>Cash</v>
      </c>
      <c r="J2919" s="5">
        <f>VLOOKUP(F2919,'Set up'!$A$2:$D$70,4,FALSE)</f>
        <v>0</v>
      </c>
      <c r="K2919" s="4">
        <f t="shared" si="743"/>
        <v>45444</v>
      </c>
      <c r="L2919" s="5">
        <f t="shared" si="744"/>
        <v>6</v>
      </c>
      <c r="M2919" s="5">
        <f t="shared" si="745"/>
        <v>2024</v>
      </c>
      <c r="N2919" s="12">
        <v>95</v>
      </c>
      <c r="O2919" s="12"/>
      <c r="P2919" s="6">
        <f t="shared" si="747"/>
        <v>95</v>
      </c>
      <c r="Q2919" s="7">
        <v>4529983.45</v>
      </c>
      <c r="R2919" s="44" t="str">
        <f>VLOOKUP(F2919,'Set up'!$A$2:$E$70,5,FALSE)</f>
        <v>PD Chq</v>
      </c>
    </row>
    <row r="2920" spans="1:21" ht="15" customHeight="1" x14ac:dyDescent="0.35">
      <c r="A2920" s="4">
        <v>45447</v>
      </c>
      <c r="B2920" s="5">
        <f t="shared" si="741"/>
        <v>6</v>
      </c>
      <c r="C2920" s="5">
        <f t="shared" si="742"/>
        <v>2024</v>
      </c>
      <c r="D2920" s="5" t="s">
        <v>2637</v>
      </c>
      <c r="E2920" s="5" t="str">
        <f>VLOOKUP(F2920,'Set up'!$A$2:$C$70,2,FALSE)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up'!$A$2:$C$70,3,FALSE)</f>
        <v>Cash</v>
      </c>
      <c r="J2920" s="5">
        <f>VLOOKUP(F2920,'Set up'!$A$2:$D$70,4,FALSE)</f>
        <v>0</v>
      </c>
      <c r="K2920" s="4">
        <f t="shared" si="743"/>
        <v>45447</v>
      </c>
      <c r="L2920" s="5">
        <f t="shared" si="744"/>
        <v>6</v>
      </c>
      <c r="M2920" s="5">
        <f t="shared" si="745"/>
        <v>2024</v>
      </c>
      <c r="N2920" s="12">
        <v>1650</v>
      </c>
      <c r="O2920" s="6">
        <f t="shared" ref="O2920:O2922" si="750">-N2920</f>
        <v>-1650</v>
      </c>
      <c r="P2920" s="6">
        <f t="shared" si="747"/>
        <v>0</v>
      </c>
      <c r="Q2920" s="7">
        <v>4531725.95</v>
      </c>
      <c r="R2920" s="44" t="str">
        <f>VLOOKUP(F2920,'Set up'!$A$2:$E$70,5,FALSE)</f>
        <v>Cash</v>
      </c>
      <c r="S2920" s="1" t="s">
        <v>2672</v>
      </c>
    </row>
    <row r="2921" spans="1:21" ht="15" customHeight="1" x14ac:dyDescent="0.35">
      <c r="A2921" s="4">
        <v>45447</v>
      </c>
      <c r="B2921" s="5">
        <f t="shared" si="741"/>
        <v>6</v>
      </c>
      <c r="C2921" s="5">
        <f t="shared" si="742"/>
        <v>2024</v>
      </c>
      <c r="D2921" s="5" t="s">
        <v>2637</v>
      </c>
      <c r="E2921" s="5" t="str">
        <f>VLOOKUP(F2921,'Set up'!$A$2:$C$70,2,FALSE)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up'!$A$2:$C$70,3,FALSE)</f>
        <v>Cash</v>
      </c>
      <c r="J2921" s="5">
        <f>VLOOKUP(F2921,'Set up'!$A$2:$D$70,4,FALSE)</f>
        <v>0</v>
      </c>
      <c r="K2921" s="4">
        <f t="shared" si="743"/>
        <v>45447</v>
      </c>
      <c r="L2921" s="5">
        <f t="shared" si="744"/>
        <v>6</v>
      </c>
      <c r="M2921" s="5">
        <f t="shared" si="745"/>
        <v>2024</v>
      </c>
      <c r="N2921" s="12">
        <v>280</v>
      </c>
      <c r="O2921" s="6">
        <f t="shared" si="750"/>
        <v>-280</v>
      </c>
      <c r="P2921" s="6">
        <f t="shared" si="747"/>
        <v>0</v>
      </c>
      <c r="Q2921" s="7">
        <v>4540123.95</v>
      </c>
      <c r="R2921" s="44" t="str">
        <f>VLOOKUP(F2921,'Set up'!$A$2:$E$70,5,FALSE)</f>
        <v>Cash</v>
      </c>
      <c r="S2921" s="1" t="s">
        <v>2672</v>
      </c>
    </row>
    <row r="2922" spans="1:21" ht="15" customHeight="1" x14ac:dyDescent="0.35">
      <c r="A2922" s="4">
        <v>45447</v>
      </c>
      <c r="B2922" s="5">
        <f t="shared" si="741"/>
        <v>6</v>
      </c>
      <c r="C2922" s="5">
        <f t="shared" si="742"/>
        <v>2024</v>
      </c>
      <c r="D2922" s="5" t="s">
        <v>2637</v>
      </c>
      <c r="E2922" s="5" t="str">
        <f>VLOOKUP(F2922,'Set up'!$A$2:$C$70,2,FALSE)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up'!$A$2:$C$70,3,FALSE)</f>
        <v>Cash</v>
      </c>
      <c r="J2922" s="5">
        <f>VLOOKUP(F2922,'Set up'!$A$2:$D$70,4,FALSE)</f>
        <v>0</v>
      </c>
      <c r="K2922" s="4">
        <f t="shared" si="743"/>
        <v>45447</v>
      </c>
      <c r="L2922" s="5">
        <f t="shared" si="744"/>
        <v>6</v>
      </c>
      <c r="M2922" s="5">
        <f t="shared" si="745"/>
        <v>2024</v>
      </c>
      <c r="N2922" s="12">
        <v>160</v>
      </c>
      <c r="O2922" s="6">
        <f t="shared" si="750"/>
        <v>-160</v>
      </c>
      <c r="P2922" s="6">
        <f t="shared" si="747"/>
        <v>0</v>
      </c>
      <c r="Q2922" s="7">
        <v>4541743.95</v>
      </c>
      <c r="R2922" s="44" t="str">
        <f>VLOOKUP(F2922,'Set up'!$A$2:$E$70,5,FALSE)</f>
        <v>Cash</v>
      </c>
      <c r="S2922" s="1" t="s">
        <v>2672</v>
      </c>
    </row>
    <row r="2923" spans="1:21" ht="15" customHeight="1" x14ac:dyDescent="0.35">
      <c r="A2923" s="4">
        <v>45447</v>
      </c>
      <c r="B2923" s="5">
        <f t="shared" si="741"/>
        <v>6</v>
      </c>
      <c r="C2923" s="5">
        <f t="shared" si="742"/>
        <v>2024</v>
      </c>
      <c r="D2923" s="5" t="s">
        <v>2638</v>
      </c>
      <c r="E2923" s="5" t="str">
        <f>VLOOKUP(F2923,'Set up'!$A$2:$C$70,2,FALSE)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up'!$A$2:$C$70,3,FALSE)</f>
        <v>45</v>
      </c>
      <c r="J2923" s="5">
        <f>VLOOKUP(F2923,'Set up'!$A$2:$D$70,4,FALSE)</f>
        <v>45</v>
      </c>
      <c r="K2923" s="4">
        <f t="shared" si="743"/>
        <v>45492</v>
      </c>
      <c r="L2923" s="5">
        <f t="shared" si="744"/>
        <v>7</v>
      </c>
      <c r="M2923" s="5">
        <f t="shared" si="745"/>
        <v>2024</v>
      </c>
      <c r="N2923" s="12">
        <v>1738</v>
      </c>
      <c r="O2923" s="12">
        <f>-1000-738</f>
        <v>-1738</v>
      </c>
      <c r="P2923" s="6">
        <f t="shared" si="747"/>
        <v>0</v>
      </c>
      <c r="Q2923" s="7">
        <v>4543761.95</v>
      </c>
      <c r="R2923" s="44" t="str">
        <f>VLOOKUP(F2923,'Set up'!$A$2:$E$70,5,FALSE)</f>
        <v>PD Chq</v>
      </c>
      <c r="S2923" s="1" t="s">
        <v>2831</v>
      </c>
      <c r="U2923" s="1" t="s">
        <v>3603</v>
      </c>
    </row>
    <row r="2924" spans="1:21" ht="15" customHeight="1" x14ac:dyDescent="0.35">
      <c r="A2924" s="4">
        <v>45447</v>
      </c>
      <c r="B2924" s="5">
        <f t="shared" si="741"/>
        <v>6</v>
      </c>
      <c r="C2924" s="5">
        <f t="shared" si="742"/>
        <v>2024</v>
      </c>
      <c r="D2924" s="5" t="s">
        <v>2638</v>
      </c>
      <c r="E2924" s="5" t="str">
        <f>VLOOKUP(F2924,'Set up'!$A$2:$C$70,2,FALSE)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up'!$A$2:$C$70,3,FALSE)</f>
        <v>45</v>
      </c>
      <c r="J2924" s="5">
        <f>VLOOKUP(F2924,'Set up'!$A$2:$D$70,4,FALSE)</f>
        <v>45</v>
      </c>
      <c r="K2924" s="4">
        <f t="shared" si="743"/>
        <v>45492</v>
      </c>
      <c r="L2924" s="5">
        <f t="shared" si="744"/>
        <v>7</v>
      </c>
      <c r="M2924" s="5">
        <f t="shared" si="745"/>
        <v>2024</v>
      </c>
      <c r="N2924" s="12">
        <v>220</v>
      </c>
      <c r="O2924" s="6">
        <f>-N2924</f>
        <v>-220</v>
      </c>
      <c r="P2924" s="6">
        <f t="shared" si="747"/>
        <v>0</v>
      </c>
      <c r="Q2924" s="7">
        <v>4542638.95</v>
      </c>
      <c r="R2924" s="44" t="str">
        <f>VLOOKUP(F2924,'Set up'!$A$2:$E$70,5,FALSE)</f>
        <v>PD Chq</v>
      </c>
      <c r="S2924" s="1" t="s">
        <v>2832</v>
      </c>
      <c r="U2924" s="1" t="s">
        <v>3603</v>
      </c>
    </row>
    <row r="2925" spans="1:21" ht="15" customHeight="1" x14ac:dyDescent="0.35">
      <c r="A2925" s="4">
        <v>45448</v>
      </c>
      <c r="B2925" s="5">
        <f t="shared" si="741"/>
        <v>6</v>
      </c>
      <c r="C2925" s="5">
        <f t="shared" si="742"/>
        <v>2024</v>
      </c>
      <c r="D2925" s="5" t="s">
        <v>2639</v>
      </c>
      <c r="E2925" s="5" t="str">
        <f>VLOOKUP(F2925,'Set up'!$A$2:$C$70,2,FALSE)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up'!$A$2:$C$70,3,FALSE)</f>
        <v>Cash</v>
      </c>
      <c r="J2925" s="5">
        <f>VLOOKUP(F2925,'Set up'!$A$2:$D$70,4,FALSE)</f>
        <v>0</v>
      </c>
      <c r="K2925" s="4">
        <f t="shared" si="743"/>
        <v>45448</v>
      </c>
      <c r="L2925" s="5">
        <f t="shared" si="744"/>
        <v>6</v>
      </c>
      <c r="M2925" s="5">
        <f t="shared" si="745"/>
        <v>2024</v>
      </c>
      <c r="N2925" s="12">
        <v>283.8</v>
      </c>
      <c r="O2925" s="6">
        <f t="shared" ref="O2925" si="751">-N2925</f>
        <v>-283.8</v>
      </c>
      <c r="P2925" s="6">
        <f t="shared" si="747"/>
        <v>0</v>
      </c>
      <c r="Q2925" s="7">
        <v>4544330.75</v>
      </c>
      <c r="R2925" s="44" t="str">
        <f>VLOOKUP(F2925,'Set up'!$A$2:$E$70,5,FALSE)</f>
        <v>Cash</v>
      </c>
      <c r="S2925" s="1" t="s">
        <v>2673</v>
      </c>
    </row>
    <row r="2926" spans="1:21" ht="15" customHeight="1" x14ac:dyDescent="0.35">
      <c r="A2926" s="4">
        <v>45449</v>
      </c>
      <c r="B2926" s="5">
        <f t="shared" si="741"/>
        <v>6</v>
      </c>
      <c r="C2926" s="5">
        <f t="shared" si="742"/>
        <v>2024</v>
      </c>
      <c r="D2926" s="5" t="s">
        <v>2640</v>
      </c>
      <c r="E2926" s="5" t="str">
        <f>VLOOKUP(F2926,'Set up'!$A$2:$C$70,2,FALSE)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up'!$A$2:$C$70,3,FALSE)</f>
        <v>Cash</v>
      </c>
      <c r="J2926" s="5">
        <f>VLOOKUP(F2926,'Set up'!$A$2:$D$70,4,FALSE)</f>
        <v>0</v>
      </c>
      <c r="K2926" s="4">
        <f t="shared" si="743"/>
        <v>45449</v>
      </c>
      <c r="L2926" s="5">
        <f t="shared" si="744"/>
        <v>6</v>
      </c>
      <c r="M2926" s="5">
        <f t="shared" si="745"/>
        <v>2024</v>
      </c>
      <c r="N2926" s="12">
        <v>625</v>
      </c>
      <c r="O2926" s="6">
        <f>-N2926</f>
        <v>-625</v>
      </c>
      <c r="P2926" s="6">
        <f t="shared" si="747"/>
        <v>0</v>
      </c>
      <c r="Q2926" s="7">
        <v>4545292.95</v>
      </c>
      <c r="R2926" s="44" t="str">
        <f>VLOOKUP(F2926,'Set up'!$A$2:$E$70,5,FALSE)</f>
        <v>Trsf</v>
      </c>
      <c r="S2926" s="1" t="s">
        <v>3171</v>
      </c>
    </row>
    <row r="2927" spans="1:21" ht="15" customHeight="1" x14ac:dyDescent="0.35">
      <c r="A2927" s="4">
        <v>45449</v>
      </c>
      <c r="B2927" s="5">
        <f t="shared" si="741"/>
        <v>6</v>
      </c>
      <c r="C2927" s="5">
        <f t="shared" si="742"/>
        <v>2024</v>
      </c>
      <c r="D2927" s="5" t="s">
        <v>2641</v>
      </c>
      <c r="E2927" s="5" t="str">
        <f>VLOOKUP(F2927,'Set up'!$A$2:$C$70,2,FALSE)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up'!$A$2:$C$70,3,FALSE)</f>
        <v>Cash</v>
      </c>
      <c r="J2927" s="5">
        <f>VLOOKUP(F2927,'Set up'!$A$2:$D$70,4,FALSE)</f>
        <v>0</v>
      </c>
      <c r="K2927" s="4">
        <f t="shared" si="743"/>
        <v>45449</v>
      </c>
      <c r="L2927" s="5">
        <f t="shared" si="744"/>
        <v>6</v>
      </c>
      <c r="M2927" s="5">
        <f t="shared" si="745"/>
        <v>2024</v>
      </c>
      <c r="N2927" s="12">
        <v>16280</v>
      </c>
      <c r="O2927" s="6">
        <f>-N2927</f>
        <v>-16280</v>
      </c>
      <c r="P2927" s="6">
        <f t="shared" si="747"/>
        <v>0</v>
      </c>
      <c r="Q2927" s="7">
        <v>4561231.75</v>
      </c>
      <c r="R2927" s="44" t="str">
        <f>VLOOKUP(F2927,'Set up'!$A$2:$E$70,5,FALSE)</f>
        <v>Trsf</v>
      </c>
      <c r="S2927" s="1" t="s">
        <v>3172</v>
      </c>
    </row>
    <row r="2928" spans="1:21" ht="15" customHeight="1" x14ac:dyDescent="0.35">
      <c r="A2928" s="4">
        <v>45449</v>
      </c>
      <c r="B2928" s="5">
        <f t="shared" si="741"/>
        <v>6</v>
      </c>
      <c r="C2928" s="5">
        <f t="shared" si="742"/>
        <v>2024</v>
      </c>
      <c r="D2928" s="5" t="s">
        <v>2641</v>
      </c>
      <c r="E2928" s="5" t="str">
        <f>VLOOKUP(F2928,'Set up'!$A$2:$C$70,2,FALSE)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up'!$A$2:$C$70,3,FALSE)</f>
        <v>Cash</v>
      </c>
      <c r="J2928" s="5">
        <f>VLOOKUP(F2928,'Set up'!$A$2:$D$70,4,FALSE)</f>
        <v>0</v>
      </c>
      <c r="K2928" s="4">
        <f t="shared" si="743"/>
        <v>45449</v>
      </c>
      <c r="L2928" s="5">
        <f t="shared" si="744"/>
        <v>6</v>
      </c>
      <c r="M2928" s="5">
        <f t="shared" si="745"/>
        <v>2024</v>
      </c>
      <c r="N2928" s="12">
        <v>5220</v>
      </c>
      <c r="O2928" s="12">
        <f>-1597.6-3622.4</f>
        <v>-5220</v>
      </c>
      <c r="P2928" s="6">
        <f t="shared" si="747"/>
        <v>0</v>
      </c>
      <c r="Q2928" s="7">
        <v>4550331.75</v>
      </c>
      <c r="R2928" s="44" t="str">
        <f>VLOOKUP(F2928,'Set up'!$A$2:$E$70,5,FALSE)</f>
        <v>Trsf</v>
      </c>
      <c r="S2928" s="1" t="s">
        <v>3173</v>
      </c>
    </row>
    <row r="2929" spans="1:19" ht="15" customHeight="1" x14ac:dyDescent="0.35">
      <c r="A2929" s="4">
        <v>45449</v>
      </c>
      <c r="B2929" s="5">
        <f t="shared" si="741"/>
        <v>6</v>
      </c>
      <c r="C2929" s="5">
        <f t="shared" si="742"/>
        <v>2024</v>
      </c>
      <c r="D2929" s="5" t="s">
        <v>2641</v>
      </c>
      <c r="E2929" s="5" t="str">
        <f>VLOOKUP(F2929,'Set up'!$A$2:$C$70,2,FALSE)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up'!$A$2:$C$70,3,FALSE)</f>
        <v>Cash</v>
      </c>
      <c r="J2929" s="5">
        <f>VLOOKUP(F2929,'Set up'!$A$2:$D$70,4,FALSE)</f>
        <v>0</v>
      </c>
      <c r="K2929" s="4">
        <f t="shared" si="743"/>
        <v>45449</v>
      </c>
      <c r="L2929" s="5">
        <f t="shared" si="744"/>
        <v>6</v>
      </c>
      <c r="M2929" s="5">
        <f t="shared" si="745"/>
        <v>2024</v>
      </c>
      <c r="N2929" s="12">
        <v>3510</v>
      </c>
      <c r="O2929" s="6">
        <f>-N2929</f>
        <v>-3510</v>
      </c>
      <c r="P2929" s="6">
        <f t="shared" si="747"/>
        <v>0</v>
      </c>
      <c r="Q2929" s="7">
        <v>4548786.75</v>
      </c>
      <c r="R2929" s="44" t="str">
        <f>VLOOKUP(F2929,'Set up'!$A$2:$E$70,5,FALSE)</f>
        <v>Trsf</v>
      </c>
      <c r="S2929" s="1" t="s">
        <v>3174</v>
      </c>
    </row>
    <row r="2930" spans="1:19" ht="15" customHeight="1" x14ac:dyDescent="0.35">
      <c r="A2930" s="4">
        <v>45449</v>
      </c>
      <c r="B2930" s="5">
        <f t="shared" si="741"/>
        <v>6</v>
      </c>
      <c r="C2930" s="5">
        <f t="shared" si="742"/>
        <v>2024</v>
      </c>
      <c r="D2930" s="5" t="s">
        <v>2641</v>
      </c>
      <c r="E2930" s="5" t="str">
        <f>VLOOKUP(F2930,'Set up'!$A$2:$C$70,2,FALSE)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up'!$A$2:$C$70,3,FALSE)</f>
        <v>Cash</v>
      </c>
      <c r="J2930" s="5">
        <f>VLOOKUP(F2930,'Set up'!$A$2:$D$70,4,FALSE)</f>
        <v>0</v>
      </c>
      <c r="K2930" s="4">
        <f t="shared" si="743"/>
        <v>45449</v>
      </c>
      <c r="L2930" s="5">
        <f t="shared" si="744"/>
        <v>6</v>
      </c>
      <c r="M2930" s="5">
        <f t="shared" si="745"/>
        <v>2024</v>
      </c>
      <c r="N2930" s="12">
        <v>570</v>
      </c>
      <c r="O2930" s="6">
        <f>-N2930</f>
        <v>-570</v>
      </c>
      <c r="P2930" s="6">
        <f t="shared" si="747"/>
        <v>0</v>
      </c>
      <c r="Q2930" s="7">
        <v>4545956.75</v>
      </c>
      <c r="R2930" s="44" t="str">
        <f>VLOOKUP(F2930,'Set up'!$A$2:$E$70,5,FALSE)</f>
        <v>Trsf</v>
      </c>
      <c r="S2930" s="1" t="s">
        <v>3175</v>
      </c>
    </row>
    <row r="2931" spans="1:19" ht="15" customHeight="1" x14ac:dyDescent="0.35">
      <c r="A2931" s="4">
        <v>45449</v>
      </c>
      <c r="B2931" s="5">
        <f t="shared" si="741"/>
        <v>6</v>
      </c>
      <c r="C2931" s="5">
        <f t="shared" si="742"/>
        <v>2024</v>
      </c>
      <c r="D2931" s="5" t="s">
        <v>2641</v>
      </c>
      <c r="E2931" s="5" t="str">
        <f>VLOOKUP(F2931,'Set up'!$A$2:$C$70,2,FALSE)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up'!$A$2:$C$70,3,FALSE)</f>
        <v>Cash</v>
      </c>
      <c r="J2931" s="5">
        <f>VLOOKUP(F2931,'Set up'!$A$2:$D$70,4,FALSE)</f>
        <v>0</v>
      </c>
      <c r="K2931" s="4">
        <f t="shared" si="743"/>
        <v>45449</v>
      </c>
      <c r="L2931" s="5">
        <f t="shared" si="744"/>
        <v>6</v>
      </c>
      <c r="M2931" s="5">
        <f t="shared" si="745"/>
        <v>2024</v>
      </c>
      <c r="N2931" s="12">
        <v>220</v>
      </c>
      <c r="O2931" s="6">
        <f>-N2931</f>
        <v>-220</v>
      </c>
      <c r="P2931" s="6">
        <f t="shared" si="747"/>
        <v>0</v>
      </c>
      <c r="Q2931" s="7">
        <v>4545726.75</v>
      </c>
      <c r="R2931" s="44" t="str">
        <f>VLOOKUP(F2931,'Set up'!$A$2:$E$70,5,FALSE)</f>
        <v>Trsf</v>
      </c>
      <c r="S2931" s="1" t="s">
        <v>3176</v>
      </c>
    </row>
    <row r="2932" spans="1:19" ht="15" customHeight="1" x14ac:dyDescent="0.35">
      <c r="A2932" s="4">
        <v>45450</v>
      </c>
      <c r="B2932" s="5">
        <f t="shared" si="741"/>
        <v>6</v>
      </c>
      <c r="C2932" s="5">
        <f t="shared" si="742"/>
        <v>2024</v>
      </c>
      <c r="D2932" s="5" t="s">
        <v>2642</v>
      </c>
      <c r="E2932" s="5" t="str">
        <f>VLOOKUP(F2932,'Set up'!$A$2:$C$70,2,FALSE)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up'!$A$2:$C$70,3,FALSE)</f>
        <v>Cash</v>
      </c>
      <c r="J2932" s="5">
        <f>VLOOKUP(F2932,'Set up'!$A$2:$D$70,4,FALSE)</f>
        <v>0</v>
      </c>
      <c r="K2932" s="4">
        <f t="shared" si="743"/>
        <v>45450</v>
      </c>
      <c r="L2932" s="5">
        <f t="shared" si="744"/>
        <v>6</v>
      </c>
      <c r="M2932" s="5">
        <f t="shared" si="745"/>
        <v>2024</v>
      </c>
      <c r="N2932" s="12">
        <v>1760</v>
      </c>
      <c r="O2932" s="12"/>
      <c r="P2932" s="6">
        <f t="shared" si="747"/>
        <v>1760</v>
      </c>
      <c r="Q2932" s="7">
        <v>4549004.75</v>
      </c>
      <c r="R2932" s="44" t="str">
        <f>VLOOKUP(F2932,'Set up'!$A$2:$E$70,5,FALSE)</f>
        <v>Trsf</v>
      </c>
    </row>
    <row r="2933" spans="1:19" ht="15" customHeight="1" x14ac:dyDescent="0.35">
      <c r="A2933" s="4">
        <v>45450</v>
      </c>
      <c r="B2933" s="5">
        <f t="shared" si="741"/>
        <v>6</v>
      </c>
      <c r="C2933" s="5">
        <f t="shared" si="742"/>
        <v>2024</v>
      </c>
      <c r="D2933" s="5" t="s">
        <v>2642</v>
      </c>
      <c r="E2933" s="5" t="str">
        <f>VLOOKUP(F2933,'Set up'!$A$2:$C$70,2,FALSE)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up'!$A$2:$C$70,3,FALSE)</f>
        <v>Cash</v>
      </c>
      <c r="J2933" s="5">
        <f>VLOOKUP(F2933,'Set up'!$A$2:$D$70,4,FALSE)</f>
        <v>0</v>
      </c>
      <c r="K2933" s="4">
        <f t="shared" si="743"/>
        <v>45450</v>
      </c>
      <c r="L2933" s="5">
        <f t="shared" si="744"/>
        <v>6</v>
      </c>
      <c r="M2933" s="5">
        <f t="shared" si="745"/>
        <v>2024</v>
      </c>
      <c r="N2933" s="12">
        <v>125</v>
      </c>
      <c r="O2933" s="12"/>
      <c r="P2933" s="6">
        <f t="shared" si="747"/>
        <v>125</v>
      </c>
      <c r="Q2933" s="7">
        <v>4547924.75</v>
      </c>
      <c r="R2933" s="44" t="str">
        <f>VLOOKUP(F2933,'Set up'!$A$2:$E$70,5,FALSE)</f>
        <v>Trsf</v>
      </c>
    </row>
    <row r="2934" spans="1:19" ht="15" customHeight="1" x14ac:dyDescent="0.35">
      <c r="A2934" s="4">
        <v>45450</v>
      </c>
      <c r="B2934" s="5">
        <f t="shared" si="741"/>
        <v>6</v>
      </c>
      <c r="C2934" s="5">
        <f t="shared" si="742"/>
        <v>2024</v>
      </c>
      <c r="D2934" s="5" t="s">
        <v>2642</v>
      </c>
      <c r="E2934" s="5" t="str">
        <f>VLOOKUP(F2934,'Set up'!$A$2:$C$70,2,FALSE)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up'!$A$2:$C$70,3,FALSE)</f>
        <v>Cash</v>
      </c>
      <c r="J2934" s="5">
        <f>VLOOKUP(F2934,'Set up'!$A$2:$D$70,4,FALSE)</f>
        <v>0</v>
      </c>
      <c r="K2934" s="4">
        <f t="shared" si="743"/>
        <v>45450</v>
      </c>
      <c r="L2934" s="5">
        <f t="shared" si="744"/>
        <v>6</v>
      </c>
      <c r="M2934" s="5">
        <f t="shared" si="745"/>
        <v>2024</v>
      </c>
      <c r="N2934" s="12">
        <v>110</v>
      </c>
      <c r="O2934" s="12"/>
      <c r="P2934" s="6">
        <f t="shared" si="747"/>
        <v>110</v>
      </c>
      <c r="Q2934" s="7">
        <v>4548004.75</v>
      </c>
      <c r="R2934" s="44" t="str">
        <f>VLOOKUP(F2934,'Set up'!$A$2:$E$70,5,FALSE)</f>
        <v>Trsf</v>
      </c>
    </row>
    <row r="2935" spans="1:19" ht="15" customHeight="1" x14ac:dyDescent="0.35">
      <c r="A2935" s="4">
        <v>45450</v>
      </c>
      <c r="B2935" s="5">
        <f t="shared" si="741"/>
        <v>6</v>
      </c>
      <c r="C2935" s="5">
        <f t="shared" si="742"/>
        <v>2024</v>
      </c>
      <c r="D2935" s="5" t="s">
        <v>2642</v>
      </c>
      <c r="E2935" s="5" t="str">
        <f>VLOOKUP(F2935,'Set up'!$A$2:$C$70,2,FALSE)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up'!$A$2:$C$70,3,FALSE)</f>
        <v>Cash</v>
      </c>
      <c r="J2935" s="5">
        <f>VLOOKUP(F2935,'Set up'!$A$2:$D$70,4,FALSE)</f>
        <v>0</v>
      </c>
      <c r="K2935" s="4">
        <f t="shared" si="743"/>
        <v>45450</v>
      </c>
      <c r="L2935" s="5">
        <f t="shared" si="744"/>
        <v>6</v>
      </c>
      <c r="M2935" s="5">
        <f t="shared" si="745"/>
        <v>2024</v>
      </c>
      <c r="N2935" s="12">
        <v>395</v>
      </c>
      <c r="O2935" s="12"/>
      <c r="P2935" s="6">
        <f t="shared" si="747"/>
        <v>395</v>
      </c>
      <c r="Q2935" s="7">
        <v>4548602.25</v>
      </c>
      <c r="R2935" s="44" t="str">
        <f>VLOOKUP(F2935,'Set up'!$A$2:$E$70,5,FALSE)</f>
        <v>Trsf</v>
      </c>
    </row>
    <row r="2936" spans="1:19" ht="15" customHeight="1" x14ac:dyDescent="0.35">
      <c r="A2936" s="4">
        <v>45451</v>
      </c>
      <c r="B2936" s="5">
        <f t="shared" si="741"/>
        <v>6</v>
      </c>
      <c r="C2936" s="5">
        <f t="shared" si="742"/>
        <v>2024</v>
      </c>
      <c r="D2936" s="5" t="s">
        <v>2643</v>
      </c>
      <c r="E2936" s="5" t="str">
        <f>VLOOKUP(F2936,'Set up'!$A$2:$C$70,2,FALSE)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up'!$A$2:$C$70,3,FALSE)</f>
        <v>30</v>
      </c>
      <c r="J2936" s="5">
        <f>VLOOKUP(F2936,'Set up'!$A$2:$D$70,4,FALSE)</f>
        <v>30</v>
      </c>
      <c r="K2936" s="4">
        <f t="shared" si="743"/>
        <v>45481</v>
      </c>
      <c r="L2936" s="5">
        <f t="shared" si="744"/>
        <v>7</v>
      </c>
      <c r="M2936" s="5">
        <f t="shared" si="745"/>
        <v>2024</v>
      </c>
      <c r="N2936" s="12">
        <v>5280</v>
      </c>
      <c r="O2936" s="6">
        <f t="shared" ref="O2936:O2939" si="752">-N2936</f>
        <v>-5280</v>
      </c>
      <c r="P2936" s="6">
        <f t="shared" si="747"/>
        <v>0</v>
      </c>
      <c r="Q2936" s="7">
        <v>4553967.25</v>
      </c>
      <c r="R2936" s="44" t="str">
        <f>VLOOKUP(F2936,'Set up'!$A$2:$E$70,5,FALSE)</f>
        <v>Chq</v>
      </c>
      <c r="S2936" s="1" t="s">
        <v>3049</v>
      </c>
    </row>
    <row r="2937" spans="1:19" ht="15" customHeight="1" x14ac:dyDescent="0.35">
      <c r="A2937" s="4">
        <v>45451</v>
      </c>
      <c r="B2937" s="5">
        <f t="shared" si="741"/>
        <v>6</v>
      </c>
      <c r="C2937" s="5">
        <f t="shared" si="742"/>
        <v>2024</v>
      </c>
      <c r="D2937" s="5" t="s">
        <v>2643</v>
      </c>
      <c r="E2937" s="5" t="str">
        <f>VLOOKUP(F2937,'Set up'!$A$2:$C$70,2,FALSE)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up'!$A$2:$C$70,3,FALSE)</f>
        <v>30</v>
      </c>
      <c r="J2937" s="5">
        <f>VLOOKUP(F2937,'Set up'!$A$2:$D$70,4,FALSE)</f>
        <v>30</v>
      </c>
      <c r="K2937" s="4">
        <f t="shared" si="743"/>
        <v>45481</v>
      </c>
      <c r="L2937" s="5">
        <f t="shared" si="744"/>
        <v>7</v>
      </c>
      <c r="M2937" s="5">
        <f t="shared" si="745"/>
        <v>2024</v>
      </c>
      <c r="N2937" s="12">
        <v>1263.5999999999999</v>
      </c>
      <c r="O2937" s="6">
        <f t="shared" si="752"/>
        <v>-1263.5999999999999</v>
      </c>
      <c r="P2937" s="6">
        <f t="shared" si="747"/>
        <v>0</v>
      </c>
      <c r="Q2937" s="7">
        <v>4551600.8499999996</v>
      </c>
      <c r="R2937" s="44" t="str">
        <f>VLOOKUP(F2937,'Set up'!$A$2:$E$70,5,FALSE)</f>
        <v>Chq</v>
      </c>
      <c r="S2937" s="1" t="s">
        <v>3049</v>
      </c>
    </row>
    <row r="2938" spans="1:19" ht="15" customHeight="1" x14ac:dyDescent="0.35">
      <c r="A2938" s="4">
        <v>45451</v>
      </c>
      <c r="B2938" s="5">
        <f t="shared" si="741"/>
        <v>6</v>
      </c>
      <c r="C2938" s="5">
        <f t="shared" si="742"/>
        <v>2024</v>
      </c>
      <c r="D2938" s="5" t="s">
        <v>2643</v>
      </c>
      <c r="E2938" s="5" t="str">
        <f>VLOOKUP(F2938,'Set up'!$A$2:$C$70,2,FALSE)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up'!$A$2:$C$70,3,FALSE)</f>
        <v>30</v>
      </c>
      <c r="J2938" s="5">
        <f>VLOOKUP(F2938,'Set up'!$A$2:$D$70,4,FALSE)</f>
        <v>30</v>
      </c>
      <c r="K2938" s="4">
        <f t="shared" si="743"/>
        <v>45481</v>
      </c>
      <c r="L2938" s="5">
        <f t="shared" si="744"/>
        <v>7</v>
      </c>
      <c r="M2938" s="5">
        <f t="shared" si="745"/>
        <v>2024</v>
      </c>
      <c r="N2938" s="12">
        <v>144</v>
      </c>
      <c r="O2938" s="6">
        <f t="shared" si="752"/>
        <v>-144</v>
      </c>
      <c r="P2938" s="6">
        <f t="shared" si="747"/>
        <v>0</v>
      </c>
      <c r="Q2938" s="7">
        <v>4550901.25</v>
      </c>
      <c r="R2938" s="44" t="str">
        <f>VLOOKUP(F2938,'Set up'!$A$2:$E$70,5,FALSE)</f>
        <v>Chq</v>
      </c>
      <c r="S2938" s="1" t="s">
        <v>3049</v>
      </c>
    </row>
    <row r="2939" spans="1:19" ht="15" customHeight="1" x14ac:dyDescent="0.35">
      <c r="A2939" s="4">
        <v>45451</v>
      </c>
      <c r="B2939" s="5">
        <f t="shared" si="741"/>
        <v>6</v>
      </c>
      <c r="C2939" s="5">
        <f t="shared" si="742"/>
        <v>2024</v>
      </c>
      <c r="D2939" s="5" t="s">
        <v>2643</v>
      </c>
      <c r="E2939" s="5" t="str">
        <f>VLOOKUP(F2939,'Set up'!$A$2:$C$70,2,FALSE)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up'!$A$2:$C$70,3,FALSE)</f>
        <v>30</v>
      </c>
      <c r="J2939" s="5">
        <f>VLOOKUP(F2939,'Set up'!$A$2:$D$70,4,FALSE)</f>
        <v>30</v>
      </c>
      <c r="K2939" s="4">
        <f t="shared" si="743"/>
        <v>45481</v>
      </c>
      <c r="L2939" s="5">
        <f t="shared" si="744"/>
        <v>7</v>
      </c>
      <c r="M2939" s="5">
        <f t="shared" si="745"/>
        <v>2024</v>
      </c>
      <c r="N2939" s="12">
        <v>572</v>
      </c>
      <c r="O2939" s="6">
        <f t="shared" si="752"/>
        <v>-572</v>
      </c>
      <c r="P2939" s="6">
        <f t="shared" si="747"/>
        <v>0</v>
      </c>
      <c r="Q2939" s="7">
        <v>4551389.25</v>
      </c>
      <c r="R2939" s="44" t="str">
        <f>VLOOKUP(F2939,'Set up'!$A$2:$E$70,5,FALSE)</f>
        <v>Chq</v>
      </c>
      <c r="S2939" s="1" t="s">
        <v>3049</v>
      </c>
    </row>
    <row r="2940" spans="1:19" ht="15" customHeight="1" x14ac:dyDescent="0.35">
      <c r="A2940" s="4">
        <v>45455</v>
      </c>
      <c r="B2940" s="5">
        <f t="shared" si="741"/>
        <v>6</v>
      </c>
      <c r="C2940" s="5">
        <f t="shared" si="742"/>
        <v>2024</v>
      </c>
      <c r="D2940" s="5" t="s">
        <v>2644</v>
      </c>
      <c r="E2940" s="5" t="str">
        <f>VLOOKUP(F2940,'Set up'!$A$2:$C$70,2,FALSE)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up'!$A$2:$C$70,3,FALSE)</f>
        <v>Cash</v>
      </c>
      <c r="J2940" s="5">
        <f>VLOOKUP(F2940,'Set up'!$A$2:$D$70,4,FALSE)</f>
        <v>0</v>
      </c>
      <c r="K2940" s="4">
        <f t="shared" si="743"/>
        <v>45455</v>
      </c>
      <c r="L2940" s="5">
        <f t="shared" si="744"/>
        <v>6</v>
      </c>
      <c r="M2940" s="5">
        <f t="shared" si="745"/>
        <v>2024</v>
      </c>
      <c r="N2940" s="12">
        <v>5280</v>
      </c>
      <c r="O2940" s="12">
        <f>-2654.3-2625.7</f>
        <v>-5280</v>
      </c>
      <c r="P2940" s="6">
        <f t="shared" si="747"/>
        <v>0</v>
      </c>
      <c r="Q2940" s="7">
        <v>4556517.25</v>
      </c>
      <c r="R2940" s="44" t="str">
        <f>VLOOKUP(F2940,'Set up'!$A$2:$E$70,5,FALSE)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741"/>
        <v>6</v>
      </c>
      <c r="C2941" s="5">
        <f t="shared" si="742"/>
        <v>2024</v>
      </c>
      <c r="D2941" s="5" t="s">
        <v>2644</v>
      </c>
      <c r="E2941" s="5" t="str">
        <f>VLOOKUP(F2941,'Set up'!$A$2:$C$70,2,FALSE)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up'!$A$2:$C$70,3,FALSE)</f>
        <v>Cash</v>
      </c>
      <c r="J2941" s="5">
        <f>VLOOKUP(F2941,'Set up'!$A$2:$D$70,4,FALSE)</f>
        <v>0</v>
      </c>
      <c r="K2941" s="4">
        <f t="shared" si="743"/>
        <v>45455</v>
      </c>
      <c r="L2941" s="5">
        <f t="shared" si="744"/>
        <v>6</v>
      </c>
      <c r="M2941" s="5">
        <f t="shared" si="745"/>
        <v>2024</v>
      </c>
      <c r="N2941" s="12">
        <v>563.20000000000005</v>
      </c>
      <c r="O2941" s="6">
        <f t="shared" ref="O2941:O2946" si="753">-N2941</f>
        <v>-563.20000000000005</v>
      </c>
      <c r="P2941" s="6">
        <f t="shared" si="747"/>
        <v>0</v>
      </c>
      <c r="Q2941" s="7">
        <v>4551910.45</v>
      </c>
      <c r="R2941" s="44" t="str">
        <f>VLOOKUP(F2941,'Set up'!$A$2:$E$70,5,FALSE)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741"/>
        <v>6</v>
      </c>
      <c r="C2942" s="5">
        <f t="shared" si="742"/>
        <v>2024</v>
      </c>
      <c r="D2942" s="5" t="s">
        <v>2644</v>
      </c>
      <c r="E2942" s="5" t="str">
        <f>VLOOKUP(F2942,'Set up'!$A$2:$C$70,2,FALSE)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up'!$A$2:$C$70,3,FALSE)</f>
        <v>Cash</v>
      </c>
      <c r="J2942" s="5">
        <f>VLOOKUP(F2942,'Set up'!$A$2:$D$70,4,FALSE)</f>
        <v>0</v>
      </c>
      <c r="K2942" s="4">
        <f t="shared" si="743"/>
        <v>45455</v>
      </c>
      <c r="L2942" s="5">
        <f t="shared" si="744"/>
        <v>6</v>
      </c>
      <c r="M2942" s="5">
        <f t="shared" si="745"/>
        <v>2024</v>
      </c>
      <c r="N2942" s="12">
        <v>160</v>
      </c>
      <c r="O2942" s="6">
        <f t="shared" si="753"/>
        <v>-160</v>
      </c>
      <c r="P2942" s="6">
        <f t="shared" si="747"/>
        <v>0</v>
      </c>
      <c r="Q2942" s="7">
        <v>4551981.25</v>
      </c>
      <c r="R2942" s="44" t="str">
        <f>VLOOKUP(F2942,'Set up'!$A$2:$E$70,5,FALSE)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741"/>
        <v>6</v>
      </c>
      <c r="C2943" s="5">
        <f t="shared" si="742"/>
        <v>2024</v>
      </c>
      <c r="D2943" s="5" t="s">
        <v>2644</v>
      </c>
      <c r="E2943" s="5" t="str">
        <f>VLOOKUP(F2943,'Set up'!$A$2:$C$70,2,FALSE)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up'!$A$2:$C$70,3,FALSE)</f>
        <v>Cash</v>
      </c>
      <c r="J2943" s="5">
        <f>VLOOKUP(F2943,'Set up'!$A$2:$D$70,4,FALSE)</f>
        <v>0</v>
      </c>
      <c r="K2943" s="4">
        <f t="shared" si="743"/>
        <v>45455</v>
      </c>
      <c r="L2943" s="5">
        <f t="shared" si="744"/>
        <v>6</v>
      </c>
      <c r="M2943" s="5">
        <f t="shared" si="745"/>
        <v>2024</v>
      </c>
      <c r="N2943" s="12">
        <v>170</v>
      </c>
      <c r="O2943" s="6">
        <f t="shared" si="753"/>
        <v>-170</v>
      </c>
      <c r="P2943" s="6">
        <f t="shared" si="747"/>
        <v>0</v>
      </c>
      <c r="Q2943" s="7">
        <v>4552176.25</v>
      </c>
      <c r="R2943" s="44" t="str">
        <f>VLOOKUP(F2943,'Set up'!$A$2:$E$70,5,FALSE)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741"/>
        <v>6</v>
      </c>
      <c r="C2944" s="5">
        <f t="shared" si="742"/>
        <v>2024</v>
      </c>
      <c r="D2944" s="5" t="s">
        <v>2644</v>
      </c>
      <c r="E2944" s="5" t="str">
        <f>VLOOKUP(F2944,'Set up'!$A$2:$C$70,2,FALSE)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up'!$A$2:$C$70,3,FALSE)</f>
        <v>Cash</v>
      </c>
      <c r="J2944" s="5">
        <f>VLOOKUP(F2944,'Set up'!$A$2:$D$70,4,FALSE)</f>
        <v>0</v>
      </c>
      <c r="K2944" s="4">
        <f t="shared" si="743"/>
        <v>45455</v>
      </c>
      <c r="L2944" s="5">
        <f t="shared" si="744"/>
        <v>6</v>
      </c>
      <c r="M2944" s="5">
        <f t="shared" si="745"/>
        <v>2024</v>
      </c>
      <c r="N2944" s="12">
        <v>190</v>
      </c>
      <c r="O2944" s="6">
        <f t="shared" si="753"/>
        <v>-190</v>
      </c>
      <c r="P2944" s="6">
        <f t="shared" si="747"/>
        <v>0</v>
      </c>
      <c r="Q2944" s="7">
        <v>4555452.25</v>
      </c>
      <c r="R2944" s="44" t="str">
        <f>VLOOKUP(F2944,'Set up'!$A$2:$E$70,5,FALSE)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741"/>
        <v>6</v>
      </c>
      <c r="C2945" s="5">
        <f t="shared" si="742"/>
        <v>2024</v>
      </c>
      <c r="D2945" s="5" t="s">
        <v>2644</v>
      </c>
      <c r="E2945" s="5" t="str">
        <f>VLOOKUP(F2945,'Set up'!$A$2:$C$70,2,FALSE)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up'!$A$2:$C$70,3,FALSE)</f>
        <v>Cash</v>
      </c>
      <c r="J2945" s="5">
        <f>VLOOKUP(F2945,'Set up'!$A$2:$D$70,4,FALSE)</f>
        <v>0</v>
      </c>
      <c r="K2945" s="4">
        <f t="shared" si="743"/>
        <v>45455</v>
      </c>
      <c r="L2945" s="5">
        <f t="shared" si="744"/>
        <v>6</v>
      </c>
      <c r="M2945" s="5">
        <f t="shared" si="745"/>
        <v>2024</v>
      </c>
      <c r="N2945" s="12">
        <v>360</v>
      </c>
      <c r="O2945" s="6">
        <f t="shared" si="753"/>
        <v>-360</v>
      </c>
      <c r="P2945" s="6">
        <f t="shared" si="747"/>
        <v>0</v>
      </c>
      <c r="Q2945" s="7">
        <v>4557250.25</v>
      </c>
      <c r="R2945" s="44" t="str">
        <f>VLOOKUP(F2945,'Set up'!$A$2:$E$70,5,FALSE)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741"/>
        <v>6</v>
      </c>
      <c r="C2946" s="5">
        <f t="shared" si="742"/>
        <v>2024</v>
      </c>
      <c r="D2946" s="5" t="s">
        <v>2644</v>
      </c>
      <c r="E2946" s="5" t="str">
        <f>VLOOKUP(F2946,'Set up'!$A$2:$C$70,2,FALSE)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up'!$A$2:$C$70,3,FALSE)</f>
        <v>Cash</v>
      </c>
      <c r="J2946" s="5">
        <f>VLOOKUP(F2946,'Set up'!$A$2:$D$70,4,FALSE)</f>
        <v>0</v>
      </c>
      <c r="K2946" s="4">
        <f t="shared" si="743"/>
        <v>45455</v>
      </c>
      <c r="L2946" s="5">
        <f t="shared" si="744"/>
        <v>6</v>
      </c>
      <c r="M2946" s="5">
        <f t="shared" si="745"/>
        <v>2024</v>
      </c>
      <c r="N2946" s="12">
        <v>420</v>
      </c>
      <c r="O2946" s="6">
        <f t="shared" si="753"/>
        <v>-420</v>
      </c>
      <c r="P2946" s="6">
        <f t="shared" si="747"/>
        <v>0</v>
      </c>
      <c r="Q2946" s="7">
        <v>4557760.25</v>
      </c>
      <c r="R2946" s="44" t="str">
        <f>VLOOKUP(F2946,'Set up'!$A$2:$E$70,5,FALSE)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ref="B2947:B3010" si="754">MONTH(A2947)</f>
        <v>6</v>
      </c>
      <c r="C2947" s="5">
        <f t="shared" ref="C2947:C3010" si="755">YEAR(A2947)</f>
        <v>2024</v>
      </c>
      <c r="D2947" s="5" t="s">
        <v>2645</v>
      </c>
      <c r="E2947" s="5" t="str">
        <f>VLOOKUP(F2947,'Set up'!$A$2:$C$70,2,FALSE)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up'!$A$2:$C$70,3,FALSE)</f>
        <v>Cash</v>
      </c>
      <c r="J2947" s="5">
        <f>VLOOKUP(F2947,'Set up'!$A$2:$D$70,4,FALSE)</f>
        <v>0</v>
      </c>
      <c r="K2947" s="4">
        <f t="shared" ref="K2947:K3010" si="756">A2947+J2947</f>
        <v>45455</v>
      </c>
      <c r="L2947" s="5">
        <f t="shared" ref="L2947:L3010" si="757">MONTH(K2947)</f>
        <v>6</v>
      </c>
      <c r="M2947" s="5">
        <f t="shared" ref="M2947:M3010" si="758">YEAR(K2947)</f>
        <v>2024</v>
      </c>
      <c r="N2947" s="12">
        <v>125</v>
      </c>
      <c r="O2947" s="6">
        <f t="shared" ref="O2947:O2957" si="759">-N2947</f>
        <v>-125</v>
      </c>
      <c r="P2947" s="6">
        <f t="shared" si="747"/>
        <v>0</v>
      </c>
      <c r="Q2947" s="7">
        <v>4557902.75</v>
      </c>
      <c r="R2947" s="44" t="str">
        <f>VLOOKUP(F2947,'Set up'!$A$2:$E$70,5,FALSE)</f>
        <v>Trsf</v>
      </c>
      <c r="S2947" s="1" t="s">
        <v>3179</v>
      </c>
    </row>
    <row r="2948" spans="1:19" ht="15" customHeight="1" x14ac:dyDescent="0.35">
      <c r="A2948" s="4">
        <v>45455</v>
      </c>
      <c r="B2948" s="5">
        <f t="shared" si="754"/>
        <v>6</v>
      </c>
      <c r="C2948" s="5">
        <f t="shared" si="755"/>
        <v>2024</v>
      </c>
      <c r="D2948" s="5" t="s">
        <v>2647</v>
      </c>
      <c r="E2948" s="5" t="str">
        <f>VLOOKUP(F2948,'Set up'!$A$2:$C$70,2,FALSE)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up'!$A$2:$C$70,3,FALSE)</f>
        <v>Cash</v>
      </c>
      <c r="J2948" s="5">
        <f>VLOOKUP(F2948,'Set up'!$A$2:$D$70,4,FALSE)</f>
        <v>0</v>
      </c>
      <c r="K2948" s="4">
        <f t="shared" si="756"/>
        <v>45455</v>
      </c>
      <c r="L2948" s="5">
        <f t="shared" si="757"/>
        <v>6</v>
      </c>
      <c r="M2948" s="5">
        <f t="shared" si="758"/>
        <v>2024</v>
      </c>
      <c r="N2948" s="12">
        <v>3256</v>
      </c>
      <c r="O2948" s="6">
        <f t="shared" si="759"/>
        <v>-3256</v>
      </c>
      <c r="P2948" s="6">
        <f t="shared" si="747"/>
        <v>0</v>
      </c>
      <c r="Q2948" s="7">
        <v>4561033.75</v>
      </c>
      <c r="R2948" s="44" t="str">
        <f>VLOOKUP(F2948,'Set up'!$A$2:$E$70,5,FALSE)</f>
        <v>Trsf</v>
      </c>
      <c r="S2948" s="1" t="s">
        <v>3180</v>
      </c>
    </row>
    <row r="2949" spans="1:19" ht="15" customHeight="1" x14ac:dyDescent="0.35">
      <c r="A2949" s="4">
        <v>45455</v>
      </c>
      <c r="B2949" s="5">
        <f t="shared" si="754"/>
        <v>6</v>
      </c>
      <c r="C2949" s="5">
        <f t="shared" si="755"/>
        <v>2024</v>
      </c>
      <c r="D2949" s="5" t="s">
        <v>2647</v>
      </c>
      <c r="E2949" s="5" t="str">
        <f>VLOOKUP(F2949,'Set up'!$A$2:$C$70,2,FALSE)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up'!$A$2:$C$70,3,FALSE)</f>
        <v>Cash</v>
      </c>
      <c r="J2949" s="5">
        <f>VLOOKUP(F2949,'Set up'!$A$2:$D$70,4,FALSE)</f>
        <v>0</v>
      </c>
      <c r="K2949" s="4">
        <f t="shared" si="756"/>
        <v>45455</v>
      </c>
      <c r="L2949" s="5">
        <f t="shared" si="757"/>
        <v>6</v>
      </c>
      <c r="M2949" s="5">
        <f t="shared" si="758"/>
        <v>2024</v>
      </c>
      <c r="N2949" s="12">
        <v>1218</v>
      </c>
      <c r="O2949" s="6">
        <f t="shared" si="759"/>
        <v>-1218</v>
      </c>
      <c r="P2949" s="6">
        <f t="shared" si="747"/>
        <v>0</v>
      </c>
      <c r="Q2949" s="7">
        <v>4570391.75</v>
      </c>
      <c r="R2949" s="44" t="str">
        <f>VLOOKUP(F2949,'Set up'!$A$2:$E$70,5,FALSE)</f>
        <v>Trsf</v>
      </c>
      <c r="S2949" s="1" t="s">
        <v>3181</v>
      </c>
    </row>
    <row r="2950" spans="1:19" ht="15" customHeight="1" x14ac:dyDescent="0.35">
      <c r="A2950" s="4">
        <v>45455</v>
      </c>
      <c r="B2950" s="5">
        <f t="shared" si="754"/>
        <v>6</v>
      </c>
      <c r="C2950" s="5">
        <f t="shared" si="755"/>
        <v>2024</v>
      </c>
      <c r="D2950" s="5" t="s">
        <v>2647</v>
      </c>
      <c r="E2950" s="5" t="str">
        <f>VLOOKUP(F2950,'Set up'!$A$2:$C$70,2,FALSE)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up'!$A$2:$C$70,3,FALSE)</f>
        <v>Cash</v>
      </c>
      <c r="J2950" s="5">
        <f>VLOOKUP(F2950,'Set up'!$A$2:$D$70,4,FALSE)</f>
        <v>0</v>
      </c>
      <c r="K2950" s="4">
        <f t="shared" si="756"/>
        <v>45455</v>
      </c>
      <c r="L2950" s="5">
        <f t="shared" si="757"/>
        <v>6</v>
      </c>
      <c r="M2950" s="5">
        <f t="shared" si="758"/>
        <v>2024</v>
      </c>
      <c r="N2950" s="12">
        <v>702</v>
      </c>
      <c r="O2950" s="6">
        <f t="shared" si="759"/>
        <v>-702</v>
      </c>
      <c r="P2950" s="6">
        <f t="shared" si="747"/>
        <v>0</v>
      </c>
      <c r="Q2950" s="7">
        <v>4573529.75</v>
      </c>
      <c r="R2950" s="44" t="str">
        <f>VLOOKUP(F2950,'Set up'!$A$2:$E$70,5,FALSE)</f>
        <v>Trsf</v>
      </c>
      <c r="S2950" s="1" t="s">
        <v>3178</v>
      </c>
    </row>
    <row r="2951" spans="1:19" ht="15" customHeight="1" x14ac:dyDescent="0.35">
      <c r="A2951" s="4">
        <v>45455</v>
      </c>
      <c r="B2951" s="5">
        <f t="shared" si="754"/>
        <v>6</v>
      </c>
      <c r="C2951" s="5">
        <f t="shared" si="755"/>
        <v>2024</v>
      </c>
      <c r="D2951" s="5" t="s">
        <v>2647</v>
      </c>
      <c r="E2951" s="5" t="str">
        <f>VLOOKUP(F2951,'Set up'!$A$2:$C$70,2,FALSE)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up'!$A$2:$C$70,3,FALSE)</f>
        <v>Cash</v>
      </c>
      <c r="J2951" s="5">
        <f>VLOOKUP(F2951,'Set up'!$A$2:$D$70,4,FALSE)</f>
        <v>0</v>
      </c>
      <c r="K2951" s="4">
        <f t="shared" si="756"/>
        <v>45455</v>
      </c>
      <c r="L2951" s="5">
        <f t="shared" si="757"/>
        <v>6</v>
      </c>
      <c r="M2951" s="5">
        <f t="shared" si="758"/>
        <v>2024</v>
      </c>
      <c r="N2951" s="12">
        <v>1000</v>
      </c>
      <c r="O2951" s="6">
        <f t="shared" si="759"/>
        <v>-1000</v>
      </c>
      <c r="P2951" s="6">
        <f t="shared" si="747"/>
        <v>0</v>
      </c>
      <c r="Q2951" s="7">
        <v>4575699.75</v>
      </c>
      <c r="R2951" s="44" t="str">
        <f>VLOOKUP(F2951,'Set up'!$A$2:$E$70,5,FALSE)</f>
        <v>Trsf</v>
      </c>
      <c r="S2951" s="1" t="s">
        <v>3182</v>
      </c>
    </row>
    <row r="2952" spans="1:19" ht="15" customHeight="1" x14ac:dyDescent="0.35">
      <c r="A2952" s="4">
        <v>45457</v>
      </c>
      <c r="B2952" s="5">
        <f t="shared" si="754"/>
        <v>6</v>
      </c>
      <c r="C2952" s="5">
        <f t="shared" si="755"/>
        <v>2024</v>
      </c>
      <c r="D2952" s="5" t="s">
        <v>2648</v>
      </c>
      <c r="E2952" s="5" t="str">
        <f>VLOOKUP(F2952,'Set up'!$A$2:$C$70,2,FALSE)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up'!$A$2:$C$70,3,FALSE)</f>
        <v>Cash</v>
      </c>
      <c r="J2952" s="5">
        <f>VLOOKUP(F2952,'Set up'!$A$2:$D$70,4,FALSE)</f>
        <v>0</v>
      </c>
      <c r="K2952" s="4">
        <f t="shared" si="756"/>
        <v>45457</v>
      </c>
      <c r="L2952" s="5">
        <f t="shared" si="757"/>
        <v>6</v>
      </c>
      <c r="M2952" s="5">
        <f t="shared" si="758"/>
        <v>2024</v>
      </c>
      <c r="N2952" s="12">
        <v>937.5</v>
      </c>
      <c r="O2952" s="6">
        <f t="shared" si="759"/>
        <v>-937.5</v>
      </c>
      <c r="P2952" s="6">
        <f t="shared" si="747"/>
        <v>0</v>
      </c>
      <c r="Q2952" s="7">
        <v>4576637.25</v>
      </c>
      <c r="R2952" s="44" t="str">
        <f>VLOOKUP(F2952,'Set up'!$A$2:$E$70,5,FALSE)</f>
        <v>Trsf</v>
      </c>
      <c r="S2952" s="1" t="s">
        <v>3177</v>
      </c>
    </row>
    <row r="2953" spans="1:19" ht="15" customHeight="1" x14ac:dyDescent="0.35">
      <c r="A2953" s="4">
        <v>45457</v>
      </c>
      <c r="B2953" s="5">
        <f t="shared" si="754"/>
        <v>6</v>
      </c>
      <c r="C2953" s="5">
        <f t="shared" si="755"/>
        <v>2024</v>
      </c>
      <c r="D2953" s="5" t="s">
        <v>2649</v>
      </c>
      <c r="E2953" s="5" t="str">
        <f>VLOOKUP(F2953,'Set up'!$A$2:$C$70,2,FALSE)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up'!$A$2:$C$70,3,FALSE)</f>
        <v>Cash</v>
      </c>
      <c r="J2953" s="5">
        <f>VLOOKUP(F2953,'Set up'!$A$2:$D$70,4,FALSE)</f>
        <v>0</v>
      </c>
      <c r="K2953" s="4">
        <f t="shared" si="756"/>
        <v>45457</v>
      </c>
      <c r="L2953" s="5">
        <f t="shared" si="757"/>
        <v>6</v>
      </c>
      <c r="M2953" s="5">
        <f t="shared" si="758"/>
        <v>2024</v>
      </c>
      <c r="N2953" s="12">
        <v>24420</v>
      </c>
      <c r="O2953" s="12">
        <f>-14839.1-9580.9</f>
        <v>-24420</v>
      </c>
      <c r="P2953" s="6">
        <f t="shared" si="747"/>
        <v>0</v>
      </c>
      <c r="Q2953" s="7">
        <v>4547130.45</v>
      </c>
      <c r="R2953" s="44" t="str">
        <f>VLOOKUP(F2953,'Set up'!$A$2:$E$70,5,FALSE)</f>
        <v>Trsf</v>
      </c>
      <c r="S2953" s="1" t="s">
        <v>3183</v>
      </c>
    </row>
    <row r="2954" spans="1:19" ht="15" customHeight="1" x14ac:dyDescent="0.35">
      <c r="A2954" s="4">
        <v>45457</v>
      </c>
      <c r="B2954" s="5">
        <f t="shared" si="754"/>
        <v>6</v>
      </c>
      <c r="C2954" s="5">
        <f t="shared" si="755"/>
        <v>2024</v>
      </c>
      <c r="D2954" s="5" t="s">
        <v>2649</v>
      </c>
      <c r="E2954" s="5" t="str">
        <f>VLOOKUP(F2954,'Set up'!$A$2:$C$70,2,FALSE)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up'!$A$2:$C$70,3,FALSE)</f>
        <v>Cash</v>
      </c>
      <c r="J2954" s="5">
        <f>VLOOKUP(F2954,'Set up'!$A$2:$D$70,4,FALSE)</f>
        <v>0</v>
      </c>
      <c r="K2954" s="4">
        <f t="shared" si="756"/>
        <v>45457</v>
      </c>
      <c r="L2954" s="5">
        <f t="shared" si="757"/>
        <v>6</v>
      </c>
      <c r="M2954" s="5">
        <f t="shared" si="758"/>
        <v>2024</v>
      </c>
      <c r="N2954" s="12">
        <v>7830</v>
      </c>
      <c r="O2954" s="6">
        <f t="shared" si="759"/>
        <v>-7830</v>
      </c>
      <c r="P2954" s="6">
        <f t="shared" si="747"/>
        <v>0</v>
      </c>
      <c r="Q2954" s="7">
        <v>4532665.45</v>
      </c>
      <c r="R2954" s="44" t="str">
        <f>VLOOKUP(F2954,'Set up'!$A$2:$E$70,5,FALSE)</f>
        <v>Trsf</v>
      </c>
      <c r="S2954" s="1" t="s">
        <v>3184</v>
      </c>
    </row>
    <row r="2955" spans="1:19" ht="15" customHeight="1" x14ac:dyDescent="0.35">
      <c r="A2955" s="4">
        <v>45457</v>
      </c>
      <c r="B2955" s="5">
        <f t="shared" si="754"/>
        <v>6</v>
      </c>
      <c r="C2955" s="5">
        <f t="shared" si="755"/>
        <v>2024</v>
      </c>
      <c r="D2955" s="5" t="s">
        <v>2649</v>
      </c>
      <c r="E2955" s="5" t="str">
        <f>VLOOKUP(F2955,'Set up'!$A$2:$C$70,2,FALSE)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up'!$A$2:$C$70,3,FALSE)</f>
        <v>Cash</v>
      </c>
      <c r="J2955" s="5">
        <f>VLOOKUP(F2955,'Set up'!$A$2:$D$70,4,FALSE)</f>
        <v>0</v>
      </c>
      <c r="K2955" s="4">
        <f t="shared" si="756"/>
        <v>45457</v>
      </c>
      <c r="L2955" s="5">
        <f t="shared" si="757"/>
        <v>6</v>
      </c>
      <c r="M2955" s="5">
        <f t="shared" si="758"/>
        <v>2024</v>
      </c>
      <c r="N2955" s="12">
        <v>4680</v>
      </c>
      <c r="O2955" s="6">
        <f t="shared" si="759"/>
        <v>-4680</v>
      </c>
      <c r="P2955" s="6">
        <f t="shared" si="747"/>
        <v>0</v>
      </c>
      <c r="Q2955" s="7">
        <v>4531840.45</v>
      </c>
      <c r="R2955" s="44" t="str">
        <f>VLOOKUP(F2955,'Set up'!$A$2:$E$70,5,FALSE)</f>
        <v>Trsf</v>
      </c>
      <c r="S2955" s="1" t="s">
        <v>3184</v>
      </c>
    </row>
    <row r="2956" spans="1:19" ht="15" customHeight="1" x14ac:dyDescent="0.35">
      <c r="A2956" s="4">
        <v>45457</v>
      </c>
      <c r="B2956" s="5">
        <f t="shared" si="754"/>
        <v>6</v>
      </c>
      <c r="C2956" s="5">
        <f t="shared" si="755"/>
        <v>2024</v>
      </c>
      <c r="D2956" s="5" t="s">
        <v>2649</v>
      </c>
      <c r="E2956" s="5" t="str">
        <f>VLOOKUP(F2956,'Set up'!$A$2:$C$70,2,FALSE)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up'!$A$2:$C$70,3,FALSE)</f>
        <v>Cash</v>
      </c>
      <c r="J2956" s="5">
        <f>VLOOKUP(F2956,'Set up'!$A$2:$D$70,4,FALSE)</f>
        <v>0</v>
      </c>
      <c r="K2956" s="4">
        <f t="shared" si="756"/>
        <v>45457</v>
      </c>
      <c r="L2956" s="5">
        <f t="shared" si="757"/>
        <v>6</v>
      </c>
      <c r="M2956" s="5">
        <f t="shared" si="758"/>
        <v>2024</v>
      </c>
      <c r="N2956" s="12">
        <v>760</v>
      </c>
      <c r="O2956" s="6">
        <f t="shared" si="759"/>
        <v>-760</v>
      </c>
      <c r="P2956" s="6">
        <f t="shared" si="747"/>
        <v>0</v>
      </c>
      <c r="Q2956" s="7">
        <v>4528097.95</v>
      </c>
      <c r="R2956" s="44" t="str">
        <f>VLOOKUP(F2956,'Set up'!$A$2:$E$70,5,FALSE)</f>
        <v>Trsf</v>
      </c>
      <c r="S2956" s="1" t="s">
        <v>3185</v>
      </c>
    </row>
    <row r="2957" spans="1:19" ht="15" customHeight="1" x14ac:dyDescent="0.35">
      <c r="A2957" s="4">
        <v>45457</v>
      </c>
      <c r="B2957" s="5">
        <f t="shared" si="754"/>
        <v>6</v>
      </c>
      <c r="C2957" s="5">
        <f t="shared" si="755"/>
        <v>2024</v>
      </c>
      <c r="D2957" s="5" t="s">
        <v>2649</v>
      </c>
      <c r="E2957" s="5" t="str">
        <f>VLOOKUP(F2957,'Set up'!$A$2:$C$70,2,FALSE)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up'!$A$2:$C$70,3,FALSE)</f>
        <v>Cash</v>
      </c>
      <c r="J2957" s="5">
        <f>VLOOKUP(F2957,'Set up'!$A$2:$D$70,4,FALSE)</f>
        <v>0</v>
      </c>
      <c r="K2957" s="4">
        <f t="shared" si="756"/>
        <v>45457</v>
      </c>
      <c r="L2957" s="5">
        <f t="shared" si="757"/>
        <v>6</v>
      </c>
      <c r="M2957" s="5">
        <f t="shared" si="758"/>
        <v>2024</v>
      </c>
      <c r="N2957" s="12">
        <v>3000</v>
      </c>
      <c r="O2957" s="6">
        <f t="shared" si="759"/>
        <v>-3000</v>
      </c>
      <c r="P2957" s="6">
        <f t="shared" si="747"/>
        <v>0</v>
      </c>
      <c r="Q2957" s="7">
        <v>4531433.45</v>
      </c>
      <c r="R2957" s="44" t="str">
        <f>VLOOKUP(F2957,'Set up'!$A$2:$E$70,5,FALSE)</f>
        <v>Trsf</v>
      </c>
      <c r="S2957" s="1" t="s">
        <v>3185</v>
      </c>
    </row>
    <row r="2958" spans="1:19" ht="15" customHeight="1" x14ac:dyDescent="0.35">
      <c r="A2958" s="4">
        <v>45463</v>
      </c>
      <c r="B2958" s="5">
        <f t="shared" si="754"/>
        <v>6</v>
      </c>
      <c r="C2958" s="5">
        <f t="shared" si="755"/>
        <v>2024</v>
      </c>
      <c r="D2958" s="5" t="s">
        <v>2650</v>
      </c>
      <c r="E2958" s="5" t="str">
        <f>VLOOKUP(F2958,'Set up'!$A$2:$C$70,2,FALSE)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up'!$A$2:$C$70,3,FALSE)</f>
        <v>Cash</v>
      </c>
      <c r="J2958" s="5">
        <f>VLOOKUP(F2958,'Set up'!$A$2:$D$70,4,FALSE)</f>
        <v>0</v>
      </c>
      <c r="K2958" s="4">
        <f t="shared" si="756"/>
        <v>45463</v>
      </c>
      <c r="L2958" s="5">
        <f t="shared" si="757"/>
        <v>6</v>
      </c>
      <c r="M2958" s="5">
        <f t="shared" si="758"/>
        <v>2024</v>
      </c>
      <c r="N2958" s="12">
        <v>10800</v>
      </c>
      <c r="O2958" s="6">
        <f t="shared" ref="O2958:O2964" si="760">-N2958</f>
        <v>-10800</v>
      </c>
      <c r="P2958" s="6">
        <f t="shared" si="747"/>
        <v>0</v>
      </c>
      <c r="Q2958" s="7">
        <v>4540848.45</v>
      </c>
      <c r="R2958" s="44" t="str">
        <f>VLOOKUP(F2958,'Set up'!$A$2:$E$70,5,FALSE)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754"/>
        <v>6</v>
      </c>
      <c r="C2959" s="5">
        <f t="shared" si="755"/>
        <v>2024</v>
      </c>
      <c r="D2959" s="5" t="s">
        <v>2650</v>
      </c>
      <c r="E2959" s="5" t="str">
        <f>VLOOKUP(F2959,'Set up'!$A$2:$C$70,2,FALSE)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up'!$A$2:$C$70,3,FALSE)</f>
        <v>Cash</v>
      </c>
      <c r="J2959" s="5">
        <f>VLOOKUP(F2959,'Set up'!$A$2:$D$70,4,FALSE)</f>
        <v>0</v>
      </c>
      <c r="K2959" s="4">
        <f t="shared" si="756"/>
        <v>45463</v>
      </c>
      <c r="L2959" s="5">
        <f t="shared" si="757"/>
        <v>6</v>
      </c>
      <c r="M2959" s="5">
        <f t="shared" si="758"/>
        <v>2024</v>
      </c>
      <c r="N2959" s="12">
        <v>900</v>
      </c>
      <c r="O2959" s="6">
        <f t="shared" si="760"/>
        <v>-900</v>
      </c>
      <c r="P2959" s="6">
        <f t="shared" si="747"/>
        <v>0</v>
      </c>
      <c r="Q2959" s="7">
        <v>4531475.95</v>
      </c>
      <c r="R2959" s="44" t="str">
        <f>VLOOKUP(F2959,'Set up'!$A$2:$E$70,5,FALSE)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754"/>
        <v>6</v>
      </c>
      <c r="C2960" s="5">
        <f t="shared" si="755"/>
        <v>2024</v>
      </c>
      <c r="D2960" s="5" t="s">
        <v>2650</v>
      </c>
      <c r="E2960" s="5" t="str">
        <f>VLOOKUP(F2960,'Set up'!$A$2:$C$70,2,FALSE)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up'!$A$2:$C$70,3,FALSE)</f>
        <v>Cash</v>
      </c>
      <c r="J2960" s="5">
        <f>VLOOKUP(F2960,'Set up'!$A$2:$D$70,4,FALSE)</f>
        <v>0</v>
      </c>
      <c r="K2960" s="4">
        <f t="shared" si="756"/>
        <v>45463</v>
      </c>
      <c r="L2960" s="5">
        <f t="shared" si="757"/>
        <v>6</v>
      </c>
      <c r="M2960" s="5">
        <f t="shared" si="758"/>
        <v>2024</v>
      </c>
      <c r="N2960" s="12">
        <v>900</v>
      </c>
      <c r="O2960" s="6">
        <f t="shared" si="760"/>
        <v>-900</v>
      </c>
      <c r="P2960" s="6">
        <f t="shared" si="747"/>
        <v>0</v>
      </c>
      <c r="Q2960" s="7">
        <v>4553767.95</v>
      </c>
      <c r="R2960" s="44" t="str">
        <f>VLOOKUP(F2960,'Set up'!$A$2:$E$70,5,FALSE)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754"/>
        <v>6</v>
      </c>
      <c r="C2961" s="5">
        <f t="shared" si="755"/>
        <v>2024</v>
      </c>
      <c r="D2961" s="5" t="s">
        <v>2650</v>
      </c>
      <c r="E2961" s="5" t="str">
        <f>VLOOKUP(F2961,'Set up'!$A$2:$C$70,2,FALSE)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up'!$A$2:$C$70,3,FALSE)</f>
        <v>Cash</v>
      </c>
      <c r="J2961" s="5">
        <f>VLOOKUP(F2961,'Set up'!$A$2:$D$70,4,FALSE)</f>
        <v>0</v>
      </c>
      <c r="K2961" s="4">
        <f t="shared" si="756"/>
        <v>45463</v>
      </c>
      <c r="L2961" s="5">
        <f t="shared" si="757"/>
        <v>6</v>
      </c>
      <c r="M2961" s="5">
        <f t="shared" si="758"/>
        <v>2024</v>
      </c>
      <c r="N2961" s="12">
        <v>110</v>
      </c>
      <c r="O2961" s="6">
        <f t="shared" si="760"/>
        <v>-110</v>
      </c>
      <c r="P2961" s="6">
        <f t="shared" si="747"/>
        <v>0</v>
      </c>
      <c r="Q2961" s="7">
        <v>4545521.95</v>
      </c>
      <c r="R2961" s="44" t="str">
        <f>VLOOKUP(F2961,'Set up'!$A$2:$E$70,5,FALSE)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754"/>
        <v>6</v>
      </c>
      <c r="C2962" s="5">
        <f t="shared" si="755"/>
        <v>2024</v>
      </c>
      <c r="D2962" s="5" t="s">
        <v>2650</v>
      </c>
      <c r="E2962" s="5" t="str">
        <f>VLOOKUP(F2962,'Set up'!$A$2:$C$70,2,FALSE)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up'!$A$2:$C$70,3,FALSE)</f>
        <v>Cash</v>
      </c>
      <c r="J2962" s="5">
        <f>VLOOKUP(F2962,'Set up'!$A$2:$D$70,4,FALSE)</f>
        <v>0</v>
      </c>
      <c r="K2962" s="4">
        <f t="shared" si="756"/>
        <v>45463</v>
      </c>
      <c r="L2962" s="5">
        <f t="shared" si="757"/>
        <v>6</v>
      </c>
      <c r="M2962" s="5">
        <f t="shared" si="758"/>
        <v>2024</v>
      </c>
      <c r="N2962" s="12">
        <v>90</v>
      </c>
      <c r="O2962" s="6">
        <f t="shared" si="760"/>
        <v>-90</v>
      </c>
      <c r="P2962" s="6">
        <f t="shared" si="747"/>
        <v>0</v>
      </c>
      <c r="Q2962" s="7">
        <v>4544921.95</v>
      </c>
      <c r="R2962" s="44" t="str">
        <f>VLOOKUP(F2962,'Set up'!$A$2:$E$70,5,FALSE)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754"/>
        <v>6</v>
      </c>
      <c r="C2963" s="5">
        <f t="shared" si="755"/>
        <v>2024</v>
      </c>
      <c r="D2963" s="5" t="s">
        <v>2650</v>
      </c>
      <c r="E2963" s="5" t="str">
        <f>VLOOKUP(F2963,'Set up'!$A$2:$C$70,2,FALSE)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up'!$A$2:$C$70,3,FALSE)</f>
        <v>Cash</v>
      </c>
      <c r="J2963" s="5">
        <f>VLOOKUP(F2963,'Set up'!$A$2:$D$70,4,FALSE)</f>
        <v>0</v>
      </c>
      <c r="K2963" s="4">
        <f t="shared" si="756"/>
        <v>45463</v>
      </c>
      <c r="L2963" s="5">
        <f t="shared" si="757"/>
        <v>6</v>
      </c>
      <c r="M2963" s="5">
        <f t="shared" si="758"/>
        <v>2024</v>
      </c>
      <c r="N2963" s="12">
        <v>48</v>
      </c>
      <c r="O2963" s="6">
        <f t="shared" si="760"/>
        <v>-48</v>
      </c>
      <c r="P2963" s="6">
        <f t="shared" si="747"/>
        <v>0</v>
      </c>
      <c r="Q2963" s="7">
        <v>4543466.95</v>
      </c>
      <c r="R2963" s="44" t="str">
        <f>VLOOKUP(F2963,'Set up'!$A$2:$E$70,5,FALSE)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754"/>
        <v>6</v>
      </c>
      <c r="C2964" s="5">
        <f t="shared" si="755"/>
        <v>2024</v>
      </c>
      <c r="D2964" s="5" t="s">
        <v>2650</v>
      </c>
      <c r="E2964" s="5" t="str">
        <f>VLOOKUP(F2964,'Set up'!$A$2:$C$70,2,FALSE)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up'!$A$2:$C$70,3,FALSE)</f>
        <v>Cash</v>
      </c>
      <c r="J2964" s="5">
        <f>VLOOKUP(F2964,'Set up'!$A$2:$D$70,4,FALSE)</f>
        <v>0</v>
      </c>
      <c r="K2964" s="4">
        <f t="shared" si="756"/>
        <v>45463</v>
      </c>
      <c r="L2964" s="5">
        <f t="shared" si="757"/>
        <v>6</v>
      </c>
      <c r="M2964" s="5">
        <f t="shared" si="758"/>
        <v>2024</v>
      </c>
      <c r="N2964" s="12">
        <v>48</v>
      </c>
      <c r="O2964" s="6">
        <f t="shared" si="760"/>
        <v>-48</v>
      </c>
      <c r="P2964" s="6">
        <f t="shared" si="747"/>
        <v>0</v>
      </c>
      <c r="Q2964" s="7">
        <v>4544474.95</v>
      </c>
      <c r="R2964" s="44" t="str">
        <f>VLOOKUP(F2964,'Set up'!$A$2:$E$70,5,FALSE)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754"/>
        <v>6</v>
      </c>
      <c r="C2965" s="5">
        <f t="shared" si="755"/>
        <v>2024</v>
      </c>
      <c r="D2965" s="5" t="s">
        <v>2654</v>
      </c>
      <c r="E2965" s="5" t="str">
        <f>VLOOKUP(F2965,'Set up'!$A$2:$C$70,2,FALSE)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up'!$A$2:$C$70,3,FALSE)</f>
        <v>Cash</v>
      </c>
      <c r="J2965" s="5">
        <f>VLOOKUP(F2965,'Set up'!$A$2:$D$70,4,FALSE)</f>
        <v>0</v>
      </c>
      <c r="K2965" s="4">
        <f t="shared" si="756"/>
        <v>45464</v>
      </c>
      <c r="L2965" s="5">
        <f t="shared" si="757"/>
        <v>6</v>
      </c>
      <c r="M2965" s="5">
        <f t="shared" si="758"/>
        <v>2024</v>
      </c>
      <c r="N2965" s="12">
        <v>1760</v>
      </c>
      <c r="O2965" s="6">
        <f t="shared" ref="O2965:O2968" si="761">-N2965</f>
        <v>-1760</v>
      </c>
      <c r="P2965" s="6">
        <f t="shared" ref="P2965:P3028" si="762">SUM(N2965+O2965)</f>
        <v>0</v>
      </c>
      <c r="Q2965" s="7">
        <v>4549903.95</v>
      </c>
      <c r="R2965" s="44" t="str">
        <f>VLOOKUP(F2965,'Set up'!$A$2:$E$70,5,FALSE)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754"/>
        <v>6</v>
      </c>
      <c r="C2966" s="5">
        <f t="shared" si="755"/>
        <v>2024</v>
      </c>
      <c r="D2966" s="5" t="s">
        <v>2654</v>
      </c>
      <c r="E2966" s="5" t="str">
        <f>VLOOKUP(F2966,'Set up'!$A$2:$C$70,2,FALSE)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up'!$A$2:$C$70,3,FALSE)</f>
        <v>Cash</v>
      </c>
      <c r="J2966" s="5">
        <f>VLOOKUP(F2966,'Set up'!$A$2:$D$70,4,FALSE)</f>
        <v>0</v>
      </c>
      <c r="K2966" s="4">
        <f t="shared" si="756"/>
        <v>45464</v>
      </c>
      <c r="L2966" s="5">
        <f t="shared" si="757"/>
        <v>6</v>
      </c>
      <c r="M2966" s="5">
        <f t="shared" si="758"/>
        <v>2024</v>
      </c>
      <c r="N2966" s="12">
        <v>95</v>
      </c>
      <c r="O2966" s="6">
        <f t="shared" si="761"/>
        <v>-95</v>
      </c>
      <c r="P2966" s="6">
        <f t="shared" si="762"/>
        <v>0</v>
      </c>
      <c r="Q2966" s="7">
        <v>4545451.75</v>
      </c>
      <c r="R2966" s="44" t="str">
        <f>VLOOKUP(F2966,'Set up'!$A$2:$E$70,5,FALSE)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754"/>
        <v>6</v>
      </c>
      <c r="C2967" s="5">
        <f t="shared" si="755"/>
        <v>2024</v>
      </c>
      <c r="D2967" s="5" t="s">
        <v>2654</v>
      </c>
      <c r="E2967" s="5" t="str">
        <f>VLOOKUP(F2967,'Set up'!$A$2:$C$70,2,FALSE)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up'!$A$2:$C$70,3,FALSE)</f>
        <v>Cash</v>
      </c>
      <c r="J2967" s="5">
        <f>VLOOKUP(F2967,'Set up'!$A$2:$D$70,4,FALSE)</f>
        <v>0</v>
      </c>
      <c r="K2967" s="4">
        <f t="shared" si="756"/>
        <v>45464</v>
      </c>
      <c r="L2967" s="5">
        <f t="shared" si="757"/>
        <v>6</v>
      </c>
      <c r="M2967" s="5">
        <f t="shared" si="758"/>
        <v>2024</v>
      </c>
      <c r="N2967" s="12">
        <v>312.5</v>
      </c>
      <c r="O2967" s="6">
        <f t="shared" si="761"/>
        <v>-312.5</v>
      </c>
      <c r="P2967" s="6">
        <f t="shared" si="762"/>
        <v>0</v>
      </c>
      <c r="Q2967" s="7">
        <v>4545644.25</v>
      </c>
      <c r="R2967" s="44" t="str">
        <f>VLOOKUP(F2967,'Set up'!$A$2:$E$70,5,FALSE)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754"/>
        <v>6</v>
      </c>
      <c r="C2968" s="5">
        <f t="shared" si="755"/>
        <v>2024</v>
      </c>
      <c r="D2968" s="5" t="s">
        <v>2654</v>
      </c>
      <c r="E2968" s="5" t="str">
        <f>VLOOKUP(F2968,'Set up'!$A$2:$C$70,2,FALSE)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up'!$A$2:$C$70,3,FALSE)</f>
        <v>Cash</v>
      </c>
      <c r="J2968" s="5">
        <f>VLOOKUP(F2968,'Set up'!$A$2:$D$70,4,FALSE)</f>
        <v>0</v>
      </c>
      <c r="K2968" s="4">
        <f t="shared" si="756"/>
        <v>45464</v>
      </c>
      <c r="L2968" s="5">
        <f t="shared" si="757"/>
        <v>6</v>
      </c>
      <c r="M2968" s="5">
        <f t="shared" si="758"/>
        <v>2024</v>
      </c>
      <c r="N2968" s="12">
        <v>225</v>
      </c>
      <c r="O2968" s="6">
        <f t="shared" si="761"/>
        <v>-225</v>
      </c>
      <c r="P2968" s="6">
        <f t="shared" si="762"/>
        <v>0</v>
      </c>
      <c r="Q2968" s="7">
        <v>4546069.3499999996</v>
      </c>
      <c r="R2968" s="44" t="str">
        <f>VLOOKUP(F2968,'Set up'!$A$2:$E$70,5,FALSE)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754"/>
        <v>6</v>
      </c>
      <c r="C2969" s="5">
        <f t="shared" si="755"/>
        <v>2024</v>
      </c>
      <c r="D2969" s="5" t="s">
        <v>2657</v>
      </c>
      <c r="E2969" s="5" t="str">
        <f>VLOOKUP(F2969,'Set up'!$A$2:$C$70,2,FALSE)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up'!$A$2:$C$70,3,FALSE)</f>
        <v>Cash</v>
      </c>
      <c r="J2969" s="5">
        <f>VLOOKUP(F2969,'Set up'!$A$2:$D$70,4,FALSE)</f>
        <v>0</v>
      </c>
      <c r="K2969" s="4">
        <f t="shared" si="756"/>
        <v>45465</v>
      </c>
      <c r="L2969" s="5">
        <f t="shared" si="757"/>
        <v>6</v>
      </c>
      <c r="M2969" s="5">
        <f t="shared" si="758"/>
        <v>2024</v>
      </c>
      <c r="N2969" s="12">
        <v>1760</v>
      </c>
      <c r="O2969" s="12"/>
      <c r="P2969" s="6">
        <f t="shared" si="762"/>
        <v>1760</v>
      </c>
      <c r="Q2969" s="7">
        <v>4547266.75</v>
      </c>
      <c r="R2969" s="44" t="str">
        <f>VLOOKUP(F2969,'Set up'!$A$2:$E$70,5,FALSE)</f>
        <v>Trsf</v>
      </c>
    </row>
    <row r="2970" spans="1:19" ht="15" customHeight="1" x14ac:dyDescent="0.35">
      <c r="A2970" s="4">
        <v>45465</v>
      </c>
      <c r="B2970" s="5">
        <f t="shared" si="754"/>
        <v>6</v>
      </c>
      <c r="C2970" s="5">
        <f t="shared" si="755"/>
        <v>2024</v>
      </c>
      <c r="D2970" s="5" t="s">
        <v>2657</v>
      </c>
      <c r="E2970" s="5" t="str">
        <f>VLOOKUP(F2970,'Set up'!$A$2:$C$70,2,FALSE)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up'!$A$2:$C$70,3,FALSE)</f>
        <v>Cash</v>
      </c>
      <c r="J2970" s="5">
        <f>VLOOKUP(F2970,'Set up'!$A$2:$D$70,4,FALSE)</f>
        <v>0</v>
      </c>
      <c r="K2970" s="4">
        <f t="shared" si="756"/>
        <v>45465</v>
      </c>
      <c r="L2970" s="5">
        <f t="shared" si="757"/>
        <v>6</v>
      </c>
      <c r="M2970" s="5">
        <f t="shared" si="758"/>
        <v>2024</v>
      </c>
      <c r="N2970" s="12">
        <v>405</v>
      </c>
      <c r="O2970" s="12"/>
      <c r="P2970" s="6">
        <f t="shared" si="762"/>
        <v>405</v>
      </c>
      <c r="Q2970" s="7">
        <v>4545966.95</v>
      </c>
      <c r="R2970" s="44" t="str">
        <f>VLOOKUP(F2970,'Set up'!$A$2:$E$70,5,FALSE)</f>
        <v>Trsf</v>
      </c>
    </row>
    <row r="2971" spans="1:19" ht="15" customHeight="1" x14ac:dyDescent="0.35">
      <c r="A2971" s="4">
        <v>45465</v>
      </c>
      <c r="B2971" s="5">
        <f t="shared" si="754"/>
        <v>6</v>
      </c>
      <c r="C2971" s="5">
        <f t="shared" si="755"/>
        <v>2024</v>
      </c>
      <c r="D2971" s="5" t="s">
        <v>2657</v>
      </c>
      <c r="E2971" s="5" t="str">
        <f>VLOOKUP(F2971,'Set up'!$A$2:$C$70,2,FALSE)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up'!$A$2:$C$70,3,FALSE)</f>
        <v>Cash</v>
      </c>
      <c r="J2971" s="5">
        <f>VLOOKUP(F2971,'Set up'!$A$2:$D$70,4,FALSE)</f>
        <v>0</v>
      </c>
      <c r="K2971" s="4">
        <f t="shared" si="756"/>
        <v>45465</v>
      </c>
      <c r="L2971" s="5">
        <f t="shared" si="757"/>
        <v>6</v>
      </c>
      <c r="M2971" s="5">
        <f t="shared" si="758"/>
        <v>2024</v>
      </c>
      <c r="N2971" s="12">
        <v>187.5</v>
      </c>
      <c r="O2971" s="12"/>
      <c r="P2971" s="6">
        <f t="shared" si="762"/>
        <v>187.5</v>
      </c>
      <c r="Q2971" s="7">
        <v>4552712.25</v>
      </c>
      <c r="R2971" s="44" t="str">
        <f>VLOOKUP(F2971,'Set up'!$A$2:$E$70,5,FALSE)</f>
        <v>Trsf</v>
      </c>
    </row>
    <row r="2972" spans="1:19" ht="15" customHeight="1" x14ac:dyDescent="0.35">
      <c r="A2972" s="4">
        <v>45465</v>
      </c>
      <c r="B2972" s="5">
        <f t="shared" si="754"/>
        <v>6</v>
      </c>
      <c r="C2972" s="5">
        <f t="shared" si="755"/>
        <v>2024</v>
      </c>
      <c r="D2972" s="5" t="s">
        <v>2657</v>
      </c>
      <c r="E2972" s="5" t="str">
        <f>VLOOKUP(F2972,'Set up'!$A$2:$C$70,2,FALSE)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up'!$A$2:$C$70,3,FALSE)</f>
        <v>Cash</v>
      </c>
      <c r="J2972" s="5">
        <f>VLOOKUP(F2972,'Set up'!$A$2:$D$70,4,FALSE)</f>
        <v>0</v>
      </c>
      <c r="K2972" s="4">
        <f t="shared" si="756"/>
        <v>45465</v>
      </c>
      <c r="L2972" s="5">
        <f t="shared" si="757"/>
        <v>6</v>
      </c>
      <c r="M2972" s="5">
        <f t="shared" si="758"/>
        <v>2024</v>
      </c>
      <c r="N2972" s="12">
        <v>110</v>
      </c>
      <c r="O2972" s="12"/>
      <c r="P2972" s="6">
        <f t="shared" si="762"/>
        <v>110</v>
      </c>
      <c r="Q2972" s="7">
        <v>4548330.95</v>
      </c>
      <c r="R2972" s="44" t="str">
        <f>VLOOKUP(F2972,'Set up'!$A$2:$E$70,5,FALSE)</f>
        <v>Trsf</v>
      </c>
    </row>
    <row r="2973" spans="1:19" ht="15" customHeight="1" x14ac:dyDescent="0.35">
      <c r="A2973" s="4">
        <v>45467</v>
      </c>
      <c r="B2973" s="5">
        <f t="shared" si="754"/>
        <v>6</v>
      </c>
      <c r="C2973" s="5">
        <f t="shared" si="755"/>
        <v>2024</v>
      </c>
      <c r="D2973" s="5" t="s">
        <v>2658</v>
      </c>
      <c r="E2973" s="5" t="str">
        <f>VLOOKUP(F2973,'Set up'!$A$2:$C$70,2,FALSE)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up'!$A$2:$C$70,3,FALSE)</f>
        <v>120</v>
      </c>
      <c r="J2973" s="5">
        <f>VLOOKUP(F2973,'Set up'!$A$2:$D$70,4,FALSE)</f>
        <v>120</v>
      </c>
      <c r="K2973" s="4">
        <f t="shared" si="756"/>
        <v>45587</v>
      </c>
      <c r="L2973" s="5">
        <f t="shared" si="757"/>
        <v>10</v>
      </c>
      <c r="M2973" s="5">
        <f t="shared" si="758"/>
        <v>2024</v>
      </c>
      <c r="N2973" s="12">
        <v>13024</v>
      </c>
      <c r="O2973" s="6">
        <f t="shared" ref="O2973:O2980" si="763">-N2973</f>
        <v>-13024</v>
      </c>
      <c r="P2973" s="6">
        <f t="shared" si="762"/>
        <v>0</v>
      </c>
      <c r="Q2973" s="7">
        <v>4561339.95</v>
      </c>
      <c r="R2973" s="44" t="str">
        <f>VLOOKUP(F2973,'Set up'!$A$2:$E$70,5,FALSE)</f>
        <v>Trsf</v>
      </c>
      <c r="S2973" s="1" t="s">
        <v>3147</v>
      </c>
    </row>
    <row r="2974" spans="1:19" ht="15" customHeight="1" x14ac:dyDescent="0.35">
      <c r="A2974" s="4">
        <v>45467</v>
      </c>
      <c r="B2974" s="5">
        <f t="shared" si="754"/>
        <v>6</v>
      </c>
      <c r="C2974" s="5">
        <f t="shared" si="755"/>
        <v>2024</v>
      </c>
      <c r="D2974" s="5" t="s">
        <v>2658</v>
      </c>
      <c r="E2974" s="5" t="str">
        <f>VLOOKUP(F2974,'Set up'!$A$2:$C$70,2,FALSE)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up'!$A$2:$C$70,3,FALSE)</f>
        <v>120</v>
      </c>
      <c r="J2974" s="5">
        <f>VLOOKUP(F2974,'Set up'!$A$2:$D$70,4,FALSE)</f>
        <v>120</v>
      </c>
      <c r="K2974" s="4">
        <f t="shared" si="756"/>
        <v>45587</v>
      </c>
      <c r="L2974" s="5">
        <f t="shared" si="757"/>
        <v>10</v>
      </c>
      <c r="M2974" s="5">
        <f t="shared" si="758"/>
        <v>2024</v>
      </c>
      <c r="N2974" s="12">
        <v>2146</v>
      </c>
      <c r="O2974" s="6">
        <f t="shared" si="763"/>
        <v>-2146</v>
      </c>
      <c r="P2974" s="6">
        <f t="shared" si="762"/>
        <v>0</v>
      </c>
      <c r="Q2974" s="7">
        <v>4550593.25</v>
      </c>
      <c r="R2974" s="44" t="str">
        <f>VLOOKUP(F2974,'Set up'!$A$2:$E$70,5,FALSE)</f>
        <v>Trsf</v>
      </c>
      <c r="S2974" s="1" t="s">
        <v>3147</v>
      </c>
    </row>
    <row r="2975" spans="1:19" ht="15" customHeight="1" x14ac:dyDescent="0.35">
      <c r="A2975" s="4">
        <v>45467</v>
      </c>
      <c r="B2975" s="5">
        <f t="shared" si="754"/>
        <v>6</v>
      </c>
      <c r="C2975" s="5">
        <f t="shared" si="755"/>
        <v>2024</v>
      </c>
      <c r="D2975" s="5" t="s">
        <v>2658</v>
      </c>
      <c r="E2975" s="5" t="str">
        <f>VLOOKUP(F2975,'Set up'!$A$2:$C$70,2,FALSE)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up'!$A$2:$C$70,3,FALSE)</f>
        <v>120</v>
      </c>
      <c r="J2975" s="5">
        <f>VLOOKUP(F2975,'Set up'!$A$2:$D$70,4,FALSE)</f>
        <v>120</v>
      </c>
      <c r="K2975" s="4">
        <f t="shared" si="756"/>
        <v>45587</v>
      </c>
      <c r="L2975" s="5">
        <f t="shared" si="757"/>
        <v>10</v>
      </c>
      <c r="M2975" s="5">
        <f t="shared" si="758"/>
        <v>2024</v>
      </c>
      <c r="N2975" s="12">
        <v>575</v>
      </c>
      <c r="O2975" s="6">
        <f t="shared" si="763"/>
        <v>-575</v>
      </c>
      <c r="P2975" s="6">
        <f t="shared" si="762"/>
        <v>0</v>
      </c>
      <c r="Q2975" s="7">
        <v>4549574.75</v>
      </c>
      <c r="R2975" s="44" t="str">
        <f>VLOOKUP(F2975,'Set up'!$A$2:$E$70,5,FALSE)</f>
        <v>Trsf</v>
      </c>
      <c r="S2975" s="1" t="s">
        <v>3147</v>
      </c>
    </row>
    <row r="2976" spans="1:19" ht="15" customHeight="1" x14ac:dyDescent="0.35">
      <c r="A2976" s="4">
        <v>45467</v>
      </c>
      <c r="B2976" s="5">
        <f t="shared" si="754"/>
        <v>6</v>
      </c>
      <c r="C2976" s="5">
        <f t="shared" si="755"/>
        <v>2024</v>
      </c>
      <c r="D2976" s="5" t="s">
        <v>2658</v>
      </c>
      <c r="E2976" s="5" t="str">
        <f>VLOOKUP(F2976,'Set up'!$A$2:$C$70,2,FALSE)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up'!$A$2:$C$70,3,FALSE)</f>
        <v>120</v>
      </c>
      <c r="J2976" s="5">
        <f>VLOOKUP(F2976,'Set up'!$A$2:$D$70,4,FALSE)</f>
        <v>120</v>
      </c>
      <c r="K2976" s="4">
        <f t="shared" si="756"/>
        <v>45587</v>
      </c>
      <c r="L2976" s="5">
        <f t="shared" si="757"/>
        <v>10</v>
      </c>
      <c r="M2976" s="5">
        <f t="shared" si="758"/>
        <v>2024</v>
      </c>
      <c r="N2976" s="12">
        <v>880</v>
      </c>
      <c r="O2976" s="6">
        <f t="shared" si="763"/>
        <v>-880</v>
      </c>
      <c r="P2976" s="6">
        <f t="shared" si="762"/>
        <v>0</v>
      </c>
      <c r="Q2976" s="7">
        <v>4554693.25</v>
      </c>
      <c r="R2976" s="44" t="str">
        <f>VLOOKUP(F2976,'Set up'!$A$2:$E$70,5,FALSE)</f>
        <v>Trsf</v>
      </c>
      <c r="S2976" s="1" t="s">
        <v>3147</v>
      </c>
    </row>
    <row r="2977" spans="1:19" ht="15" customHeight="1" x14ac:dyDescent="0.35">
      <c r="A2977" s="4">
        <v>45468</v>
      </c>
      <c r="B2977" s="5">
        <f t="shared" si="754"/>
        <v>6</v>
      </c>
      <c r="C2977" s="5">
        <f t="shared" si="755"/>
        <v>2024</v>
      </c>
      <c r="D2977" s="5" t="s">
        <v>2659</v>
      </c>
      <c r="E2977" s="5" t="str">
        <f>VLOOKUP(F2977,'Set up'!$A$2:$C$70,2,FALSE)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up'!$A$2:$C$70,3,FALSE)</f>
        <v>60</v>
      </c>
      <c r="J2977" s="5">
        <f>VLOOKUP(F2977,'Set up'!$A$2:$D$70,4,FALSE)</f>
        <v>60</v>
      </c>
      <c r="K2977" s="4">
        <f t="shared" si="756"/>
        <v>45528</v>
      </c>
      <c r="L2977" s="5">
        <f t="shared" si="757"/>
        <v>8</v>
      </c>
      <c r="M2977" s="5">
        <f t="shared" si="758"/>
        <v>2024</v>
      </c>
      <c r="N2977" s="12">
        <v>3256</v>
      </c>
      <c r="O2977" s="6">
        <f t="shared" si="763"/>
        <v>-3256</v>
      </c>
      <c r="P2977" s="6">
        <f t="shared" si="762"/>
        <v>0</v>
      </c>
      <c r="Q2977" s="7">
        <v>4555363.25</v>
      </c>
      <c r="R2977" s="44" t="str">
        <f>VLOOKUP(F2977,'Set up'!$A$2:$E$70,5,FALSE)</f>
        <v>Chq</v>
      </c>
      <c r="S2977" s="1" t="s">
        <v>3327</v>
      </c>
    </row>
    <row r="2978" spans="1:19" ht="15" customHeight="1" x14ac:dyDescent="0.35">
      <c r="A2978" s="4">
        <v>45468</v>
      </c>
      <c r="B2978" s="5">
        <f t="shared" si="754"/>
        <v>6</v>
      </c>
      <c r="C2978" s="5">
        <f t="shared" si="755"/>
        <v>2024</v>
      </c>
      <c r="D2978" s="5" t="s">
        <v>2659</v>
      </c>
      <c r="E2978" s="5" t="str">
        <f>VLOOKUP(F2978,'Set up'!$A$2:$C$70,2,FALSE)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up'!$A$2:$C$70,3,FALSE)</f>
        <v>60</v>
      </c>
      <c r="J2978" s="5">
        <f>VLOOKUP(F2978,'Set up'!$A$2:$D$70,4,FALSE)</f>
        <v>60</v>
      </c>
      <c r="K2978" s="4">
        <f t="shared" si="756"/>
        <v>45528</v>
      </c>
      <c r="L2978" s="5">
        <f t="shared" si="757"/>
        <v>8</v>
      </c>
      <c r="M2978" s="5">
        <f t="shared" si="758"/>
        <v>2024</v>
      </c>
      <c r="N2978" s="12">
        <v>939.6</v>
      </c>
      <c r="O2978" s="6">
        <f t="shared" si="763"/>
        <v>-939.6</v>
      </c>
      <c r="P2978" s="6">
        <f t="shared" si="762"/>
        <v>0</v>
      </c>
      <c r="Q2978" s="7">
        <v>4551976.8499999996</v>
      </c>
      <c r="R2978" s="44" t="str">
        <f>VLOOKUP(F2978,'Set up'!$A$2:$E$70,5,FALSE)</f>
        <v>Chq</v>
      </c>
      <c r="S2978" s="1" t="s">
        <v>3327</v>
      </c>
    </row>
    <row r="2979" spans="1:19" ht="15" customHeight="1" x14ac:dyDescent="0.35">
      <c r="A2979" s="4">
        <v>45468</v>
      </c>
      <c r="B2979" s="5">
        <f t="shared" si="754"/>
        <v>6</v>
      </c>
      <c r="C2979" s="5">
        <f t="shared" si="755"/>
        <v>2024</v>
      </c>
      <c r="D2979" s="5" t="s">
        <v>2659</v>
      </c>
      <c r="E2979" s="5" t="str">
        <f>VLOOKUP(F2979,'Set up'!$A$2:$C$70,2,FALSE)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up'!$A$2:$C$70,3,FALSE)</f>
        <v>60</v>
      </c>
      <c r="J2979" s="5">
        <f>VLOOKUP(F2979,'Set up'!$A$2:$D$70,4,FALSE)</f>
        <v>60</v>
      </c>
      <c r="K2979" s="4">
        <f t="shared" si="756"/>
        <v>45528</v>
      </c>
      <c r="L2979" s="5">
        <f t="shared" si="757"/>
        <v>8</v>
      </c>
      <c r="M2979" s="5">
        <f t="shared" si="758"/>
        <v>2024</v>
      </c>
      <c r="N2979" s="12">
        <v>626.4</v>
      </c>
      <c r="O2979" s="6">
        <f t="shared" si="763"/>
        <v>-626.4</v>
      </c>
      <c r="P2979" s="6">
        <f t="shared" si="762"/>
        <v>0</v>
      </c>
      <c r="Q2979" s="7">
        <v>4551959.6500000004</v>
      </c>
      <c r="R2979" s="44" t="str">
        <f>VLOOKUP(F2979,'Set up'!$A$2:$E$70,5,FALSE)</f>
        <v>Chq</v>
      </c>
      <c r="S2979" s="1" t="s">
        <v>3327</v>
      </c>
    </row>
    <row r="2980" spans="1:19" ht="15" customHeight="1" x14ac:dyDescent="0.35">
      <c r="A2980" s="4">
        <v>45468</v>
      </c>
      <c r="B2980" s="5">
        <f t="shared" si="754"/>
        <v>6</v>
      </c>
      <c r="C2980" s="5">
        <f t="shared" si="755"/>
        <v>2024</v>
      </c>
      <c r="D2980" s="5" t="s">
        <v>2659</v>
      </c>
      <c r="E2980" s="5" t="str">
        <f>VLOOKUP(F2980,'Set up'!$A$2:$C$70,2,FALSE)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up'!$A$2:$C$70,3,FALSE)</f>
        <v>60</v>
      </c>
      <c r="J2980" s="5">
        <f>VLOOKUP(F2980,'Set up'!$A$2:$D$70,4,FALSE)</f>
        <v>60</v>
      </c>
      <c r="K2980" s="4">
        <f t="shared" si="756"/>
        <v>45528</v>
      </c>
      <c r="L2980" s="5">
        <f t="shared" si="757"/>
        <v>8</v>
      </c>
      <c r="M2980" s="5">
        <f t="shared" si="758"/>
        <v>2024</v>
      </c>
      <c r="N2980" s="12">
        <v>220</v>
      </c>
      <c r="O2980" s="6">
        <f t="shared" si="763"/>
        <v>-220</v>
      </c>
      <c r="P2980" s="6">
        <f t="shared" si="762"/>
        <v>0</v>
      </c>
      <c r="Q2980" s="7">
        <v>4551842.25</v>
      </c>
      <c r="R2980" s="44" t="str">
        <f>VLOOKUP(F2980,'Set up'!$A$2:$E$70,5,FALSE)</f>
        <v>Chq</v>
      </c>
      <c r="S2980" s="1" t="s">
        <v>3327</v>
      </c>
    </row>
    <row r="2981" spans="1:19" ht="15" customHeight="1" x14ac:dyDescent="0.35">
      <c r="A2981" s="4">
        <v>45469</v>
      </c>
      <c r="B2981" s="5">
        <f t="shared" si="754"/>
        <v>6</v>
      </c>
      <c r="C2981" s="5">
        <f t="shared" si="755"/>
        <v>2024</v>
      </c>
      <c r="D2981" s="5" t="s">
        <v>2660</v>
      </c>
      <c r="E2981" s="5" t="str">
        <f>VLOOKUP(F2981,'Set up'!$A$2:$C$70,2,FALSE)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up'!$A$2:$C$70,3,FALSE)</f>
        <v>120</v>
      </c>
      <c r="J2981" s="5">
        <f>VLOOKUP(F2981,'Set up'!$A$2:$D$70,4,FALSE)</f>
        <v>120</v>
      </c>
      <c r="K2981" s="4">
        <f t="shared" si="756"/>
        <v>45589</v>
      </c>
      <c r="L2981" s="5">
        <f t="shared" si="757"/>
        <v>10</v>
      </c>
      <c r="M2981" s="5">
        <f t="shared" si="758"/>
        <v>2024</v>
      </c>
      <c r="N2981" s="12">
        <v>523.6</v>
      </c>
      <c r="O2981" s="6">
        <f t="shared" ref="O2981:O2983" si="764">-N2981</f>
        <v>-523.6</v>
      </c>
      <c r="P2981" s="6">
        <f t="shared" si="762"/>
        <v>0</v>
      </c>
      <c r="Q2981" s="7">
        <v>4552504.8499999996</v>
      </c>
      <c r="R2981" s="44" t="str">
        <f>VLOOKUP(F2981,'Set up'!$A$2:$E$70,5,FALSE)</f>
        <v>Trsf</v>
      </c>
      <c r="S2981" s="1" t="s">
        <v>3147</v>
      </c>
    </row>
    <row r="2982" spans="1:19" ht="15" customHeight="1" x14ac:dyDescent="0.35">
      <c r="A2982" s="4">
        <v>45469</v>
      </c>
      <c r="B2982" s="5">
        <f t="shared" si="754"/>
        <v>6</v>
      </c>
      <c r="C2982" s="5">
        <f t="shared" si="755"/>
        <v>2024</v>
      </c>
      <c r="D2982" s="5" t="s">
        <v>2660</v>
      </c>
      <c r="E2982" s="5" t="str">
        <f>VLOOKUP(F2982,'Set up'!$A$2:$C$70,2,FALSE)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up'!$A$2:$C$70,3,FALSE)</f>
        <v>120</v>
      </c>
      <c r="J2982" s="5">
        <f>VLOOKUP(F2982,'Set up'!$A$2:$D$70,4,FALSE)</f>
        <v>120</v>
      </c>
      <c r="K2982" s="4">
        <f t="shared" si="756"/>
        <v>45589</v>
      </c>
      <c r="L2982" s="5">
        <f t="shared" si="757"/>
        <v>10</v>
      </c>
      <c r="M2982" s="5">
        <f t="shared" si="758"/>
        <v>2024</v>
      </c>
      <c r="N2982" s="12">
        <v>360</v>
      </c>
      <c r="O2982" s="6">
        <f t="shared" si="764"/>
        <v>-360</v>
      </c>
      <c r="P2982" s="6">
        <f t="shared" si="762"/>
        <v>0</v>
      </c>
      <c r="Q2982" s="7">
        <v>4552803.75</v>
      </c>
      <c r="R2982" s="44" t="str">
        <f>VLOOKUP(F2982,'Set up'!$A$2:$E$70,5,FALSE)</f>
        <v>Trsf</v>
      </c>
      <c r="S2982" s="1" t="s">
        <v>3147</v>
      </c>
    </row>
    <row r="2983" spans="1:19" ht="15" customHeight="1" x14ac:dyDescent="0.35">
      <c r="A2983" s="4">
        <v>45469</v>
      </c>
      <c r="B2983" s="5">
        <f t="shared" si="754"/>
        <v>6</v>
      </c>
      <c r="C2983" s="5">
        <f t="shared" si="755"/>
        <v>2024</v>
      </c>
      <c r="D2983" s="5" t="s">
        <v>2660</v>
      </c>
      <c r="E2983" s="5" t="str">
        <f>VLOOKUP(F2983,'Set up'!$A$2:$C$70,2,FALSE)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up'!$A$2:$C$70,3,FALSE)</f>
        <v>120</v>
      </c>
      <c r="J2983" s="5">
        <f>VLOOKUP(F2983,'Set up'!$A$2:$D$70,4,FALSE)</f>
        <v>120</v>
      </c>
      <c r="K2983" s="4">
        <f t="shared" si="756"/>
        <v>45589</v>
      </c>
      <c r="L2983" s="5">
        <f t="shared" si="757"/>
        <v>10</v>
      </c>
      <c r="M2983" s="5">
        <f t="shared" si="758"/>
        <v>2024</v>
      </c>
      <c r="N2983" s="12">
        <v>260</v>
      </c>
      <c r="O2983" s="6">
        <f t="shared" si="764"/>
        <v>-260</v>
      </c>
      <c r="P2983" s="6">
        <f t="shared" si="762"/>
        <v>0</v>
      </c>
      <c r="Q2983" s="7">
        <v>4566918.25</v>
      </c>
      <c r="R2983" s="44" t="str">
        <f>VLOOKUP(F2983,'Set up'!$A$2:$E$70,5,FALSE)</f>
        <v>Trsf</v>
      </c>
      <c r="S2983" s="1" t="s">
        <v>3147</v>
      </c>
    </row>
    <row r="2984" spans="1:19" ht="15" customHeight="1" x14ac:dyDescent="0.35">
      <c r="A2984" s="4">
        <v>45470</v>
      </c>
      <c r="B2984" s="5">
        <f t="shared" si="754"/>
        <v>6</v>
      </c>
      <c r="C2984" s="5">
        <f t="shared" si="755"/>
        <v>2024</v>
      </c>
      <c r="D2984" s="5" t="s">
        <v>2662</v>
      </c>
      <c r="E2984" s="5" t="str">
        <f>VLOOKUP(F2984,'Set up'!$A$2:$C$70,2,FALSE)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up'!$A$2:$C$70,3,FALSE)</f>
        <v>Cash</v>
      </c>
      <c r="J2984" s="5">
        <f>VLOOKUP(F2984,'Set up'!$A$2:$D$70,4,FALSE)</f>
        <v>0</v>
      </c>
      <c r="K2984" s="4">
        <f t="shared" si="756"/>
        <v>45470</v>
      </c>
      <c r="L2984" s="5">
        <f t="shared" si="757"/>
        <v>6</v>
      </c>
      <c r="M2984" s="5">
        <f t="shared" si="758"/>
        <v>2024</v>
      </c>
      <c r="N2984" s="12">
        <v>337.5</v>
      </c>
      <c r="O2984" s="6">
        <f t="shared" ref="O2984:O2988" si="765">-N2984</f>
        <v>-337.5</v>
      </c>
      <c r="P2984" s="6">
        <f t="shared" si="762"/>
        <v>0</v>
      </c>
      <c r="Q2984" s="7">
        <v>4560881.75</v>
      </c>
      <c r="R2984" s="44" t="str">
        <f>VLOOKUP(F2984,'Set up'!$A$2:$E$70,5,FALSE)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754"/>
        <v>6</v>
      </c>
      <c r="C2985" s="5">
        <f t="shared" si="755"/>
        <v>2024</v>
      </c>
      <c r="D2985" s="5" t="s">
        <v>2662</v>
      </c>
      <c r="E2985" s="5" t="str">
        <f>VLOOKUP(F2985,'Set up'!$A$2:$C$70,2,FALSE)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up'!$A$2:$C$70,3,FALSE)</f>
        <v>Cash</v>
      </c>
      <c r="J2985" s="5">
        <f>VLOOKUP(F2985,'Set up'!$A$2:$D$70,4,FALSE)</f>
        <v>0</v>
      </c>
      <c r="K2985" s="4">
        <f t="shared" si="756"/>
        <v>45470</v>
      </c>
      <c r="L2985" s="5">
        <f t="shared" si="757"/>
        <v>6</v>
      </c>
      <c r="M2985" s="5">
        <f t="shared" si="758"/>
        <v>2024</v>
      </c>
      <c r="N2985" s="12">
        <v>255</v>
      </c>
      <c r="O2985" s="6">
        <f t="shared" si="765"/>
        <v>-255</v>
      </c>
      <c r="P2985" s="6">
        <f t="shared" si="762"/>
        <v>0</v>
      </c>
      <c r="Q2985" s="7">
        <v>4559233.25</v>
      </c>
      <c r="R2985" s="44" t="str">
        <f>VLOOKUP(F2985,'Set up'!$A$2:$E$70,5,FALSE)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754"/>
        <v>6</v>
      </c>
      <c r="C2986" s="5">
        <f t="shared" si="755"/>
        <v>2024</v>
      </c>
      <c r="D2986" s="5" t="s">
        <v>2662</v>
      </c>
      <c r="E2986" s="5" t="str">
        <f>VLOOKUP(F2986,'Set up'!$A$2:$C$70,2,FALSE)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up'!$A$2:$C$70,3,FALSE)</f>
        <v>Cash</v>
      </c>
      <c r="J2986" s="5">
        <f>VLOOKUP(F2986,'Set up'!$A$2:$D$70,4,FALSE)</f>
        <v>0</v>
      </c>
      <c r="K2986" s="4">
        <f t="shared" si="756"/>
        <v>45470</v>
      </c>
      <c r="L2986" s="5">
        <f t="shared" si="757"/>
        <v>6</v>
      </c>
      <c r="M2986" s="5">
        <f t="shared" si="758"/>
        <v>2024</v>
      </c>
      <c r="N2986" s="12">
        <v>100</v>
      </c>
      <c r="O2986" s="6">
        <f t="shared" si="765"/>
        <v>-100</v>
      </c>
      <c r="P2986" s="6">
        <f t="shared" si="762"/>
        <v>0</v>
      </c>
      <c r="Q2986" s="7">
        <v>4558877.75</v>
      </c>
      <c r="R2986" s="44" t="str">
        <f>VLOOKUP(F2986,'Set up'!$A$2:$E$70,5,FALSE)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754"/>
        <v>6</v>
      </c>
      <c r="C2987" s="5">
        <f t="shared" si="755"/>
        <v>2024</v>
      </c>
      <c r="D2987" s="5" t="s">
        <v>2662</v>
      </c>
      <c r="E2987" s="5" t="str">
        <f>VLOOKUP(F2987,'Set up'!$A$2:$C$70,2,FALSE)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up'!$A$2:$C$70,3,FALSE)</f>
        <v>Cash</v>
      </c>
      <c r="J2987" s="5">
        <f>VLOOKUP(F2987,'Set up'!$A$2:$D$70,4,FALSE)</f>
        <v>0</v>
      </c>
      <c r="K2987" s="4">
        <f t="shared" si="756"/>
        <v>45470</v>
      </c>
      <c r="L2987" s="5">
        <f t="shared" si="757"/>
        <v>6</v>
      </c>
      <c r="M2987" s="5">
        <f t="shared" si="758"/>
        <v>2024</v>
      </c>
      <c r="N2987" s="12">
        <v>62.5</v>
      </c>
      <c r="O2987" s="6">
        <f t="shared" si="765"/>
        <v>-62.5</v>
      </c>
      <c r="P2987" s="6">
        <f t="shared" si="762"/>
        <v>0</v>
      </c>
      <c r="Q2987" s="7">
        <v>4558220.25</v>
      </c>
      <c r="R2987" s="44" t="str">
        <f>VLOOKUP(F2987,'Set up'!$A$2:$E$70,5,FALSE)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754"/>
        <v>6</v>
      </c>
      <c r="C2988" s="5">
        <f t="shared" si="755"/>
        <v>2024</v>
      </c>
      <c r="D2988" s="5" t="s">
        <v>2664</v>
      </c>
      <c r="E2988" s="5" t="str">
        <f>VLOOKUP(F2988,'Set up'!$A$2:$C$70,2,FALSE)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up'!$A$2:$C$70,3,FALSE)</f>
        <v>Cash</v>
      </c>
      <c r="J2988" s="5">
        <f>VLOOKUP(F2988,'Set up'!$A$2:$D$70,4,FALSE)</f>
        <v>0</v>
      </c>
      <c r="K2988" s="4">
        <f t="shared" si="756"/>
        <v>45471</v>
      </c>
      <c r="L2988" s="5">
        <f t="shared" si="757"/>
        <v>6</v>
      </c>
      <c r="M2988" s="5">
        <f t="shared" si="758"/>
        <v>2024</v>
      </c>
      <c r="N2988" s="12">
        <v>937.5</v>
      </c>
      <c r="O2988" s="6">
        <f t="shared" si="765"/>
        <v>-937.5</v>
      </c>
      <c r="P2988" s="6">
        <f t="shared" si="762"/>
        <v>0</v>
      </c>
      <c r="Q2988" s="7">
        <v>4571871.25</v>
      </c>
      <c r="R2988" s="44" t="str">
        <f>VLOOKUP(F2988,'Set up'!$A$2:$E$70,5,FALSE)</f>
        <v>Trsf</v>
      </c>
      <c r="S2988" s="1" t="s">
        <v>3185</v>
      </c>
    </row>
    <row r="2989" spans="1:19" ht="15" customHeight="1" x14ac:dyDescent="0.35">
      <c r="A2989" s="4">
        <v>45471</v>
      </c>
      <c r="B2989" s="5">
        <f t="shared" si="754"/>
        <v>6</v>
      </c>
      <c r="C2989" s="5">
        <f t="shared" si="755"/>
        <v>2024</v>
      </c>
      <c r="D2989" s="5" t="s">
        <v>2665</v>
      </c>
      <c r="E2989" s="5" t="str">
        <f>VLOOKUP(F2989,'Set up'!$A$2:$C$70,2,FALSE)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up'!$A$2:$C$70,3,FALSE)</f>
        <v>Cash</v>
      </c>
      <c r="J2989" s="5">
        <f>VLOOKUP(F2989,'Set up'!$A$2:$D$70,4,FALSE)</f>
        <v>0</v>
      </c>
      <c r="K2989" s="4">
        <f t="shared" si="756"/>
        <v>45471</v>
      </c>
      <c r="L2989" s="5">
        <f t="shared" si="757"/>
        <v>6</v>
      </c>
      <c r="M2989" s="5">
        <f t="shared" si="758"/>
        <v>2024</v>
      </c>
      <c r="N2989" s="12">
        <v>24420</v>
      </c>
      <c r="O2989" s="12">
        <f>-3211.6-21208.4</f>
        <v>-24420</v>
      </c>
      <c r="P2989" s="6">
        <f t="shared" si="762"/>
        <v>0</v>
      </c>
      <c r="Q2989" s="7">
        <v>4597652.75</v>
      </c>
      <c r="R2989" s="44" t="str">
        <f>VLOOKUP(F2989,'Set up'!$A$2:$E$70,5,FALSE)</f>
        <v>Trsf</v>
      </c>
      <c r="S2989" s="1" t="s">
        <v>3186</v>
      </c>
    </row>
    <row r="2990" spans="1:19" ht="15" customHeight="1" x14ac:dyDescent="0.35">
      <c r="A2990" s="4">
        <v>45471</v>
      </c>
      <c r="B2990" s="5">
        <f t="shared" si="754"/>
        <v>6</v>
      </c>
      <c r="C2990" s="5">
        <f t="shared" si="755"/>
        <v>2024</v>
      </c>
      <c r="D2990" s="5" t="s">
        <v>2665</v>
      </c>
      <c r="E2990" s="5" t="str">
        <f>VLOOKUP(F2990,'Set up'!$A$2:$C$70,2,FALSE)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up'!$A$2:$C$70,3,FALSE)</f>
        <v>Cash</v>
      </c>
      <c r="J2990" s="5">
        <f>VLOOKUP(F2990,'Set up'!$A$2:$D$70,4,FALSE)</f>
        <v>0</v>
      </c>
      <c r="K2990" s="4">
        <f t="shared" si="756"/>
        <v>45471</v>
      </c>
      <c r="L2990" s="5">
        <f t="shared" si="757"/>
        <v>6</v>
      </c>
      <c r="M2990" s="5">
        <f t="shared" si="758"/>
        <v>2024</v>
      </c>
      <c r="N2990" s="12">
        <v>10156.5</v>
      </c>
      <c r="O2990" s="12">
        <f>-3791.6-6364.9</f>
        <v>-10156.5</v>
      </c>
      <c r="P2990" s="6">
        <f t="shared" si="762"/>
        <v>0</v>
      </c>
      <c r="Q2990" s="7">
        <v>4585043.75</v>
      </c>
      <c r="R2990" s="44" t="str">
        <f>VLOOKUP(F2990,'Set up'!$A$2:$E$70,5,FALSE)</f>
        <v>Trsf</v>
      </c>
      <c r="S2990" s="1" t="s">
        <v>3289</v>
      </c>
    </row>
    <row r="2991" spans="1:19" ht="15" customHeight="1" x14ac:dyDescent="0.35">
      <c r="A2991" s="4">
        <v>45471</v>
      </c>
      <c r="B2991" s="5">
        <f t="shared" si="754"/>
        <v>6</v>
      </c>
      <c r="C2991" s="5">
        <f t="shared" si="755"/>
        <v>2024</v>
      </c>
      <c r="D2991" s="5" t="s">
        <v>2665</v>
      </c>
      <c r="E2991" s="5" t="str">
        <f>VLOOKUP(F2991,'Set up'!$A$2:$C$70,2,FALSE)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up'!$A$2:$C$70,3,FALSE)</f>
        <v>Cash</v>
      </c>
      <c r="J2991" s="5">
        <f>VLOOKUP(F2991,'Set up'!$A$2:$D$70,4,FALSE)</f>
        <v>0</v>
      </c>
      <c r="K2991" s="4">
        <f t="shared" si="756"/>
        <v>45471</v>
      </c>
      <c r="L2991" s="5">
        <f t="shared" si="757"/>
        <v>6</v>
      </c>
      <c r="M2991" s="5">
        <f t="shared" si="758"/>
        <v>2024</v>
      </c>
      <c r="N2991" s="12">
        <v>702</v>
      </c>
      <c r="O2991" s="6">
        <f t="shared" ref="O2991:O2994" si="766">-N2991</f>
        <v>-702</v>
      </c>
      <c r="P2991" s="6">
        <f t="shared" si="762"/>
        <v>0</v>
      </c>
      <c r="Q2991" s="7">
        <v>4576561.75</v>
      </c>
      <c r="R2991" s="44" t="str">
        <f>VLOOKUP(F2991,'Set up'!$A$2:$E$70,5,FALSE)</f>
        <v>Trsf</v>
      </c>
      <c r="S2991" s="1" t="s">
        <v>3290</v>
      </c>
    </row>
    <row r="2992" spans="1:19" ht="15" customHeight="1" x14ac:dyDescent="0.35">
      <c r="A2992" s="4">
        <v>45471</v>
      </c>
      <c r="B2992" s="5">
        <f t="shared" si="754"/>
        <v>6</v>
      </c>
      <c r="C2992" s="5">
        <f t="shared" si="755"/>
        <v>2024</v>
      </c>
      <c r="D2992" s="5" t="s">
        <v>2665</v>
      </c>
      <c r="E2992" s="5" t="str">
        <f>VLOOKUP(F2992,'Set up'!$A$2:$C$70,2,FALSE)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up'!$A$2:$C$70,3,FALSE)</f>
        <v>Cash</v>
      </c>
      <c r="J2992" s="5">
        <f>VLOOKUP(F2992,'Set up'!$A$2:$D$70,4,FALSE)</f>
        <v>0</v>
      </c>
      <c r="K2992" s="4">
        <f t="shared" si="756"/>
        <v>45471</v>
      </c>
      <c r="L2992" s="5">
        <f t="shared" si="757"/>
        <v>6</v>
      </c>
      <c r="M2992" s="5">
        <f t="shared" si="758"/>
        <v>2024</v>
      </c>
      <c r="N2992" s="12">
        <v>3740</v>
      </c>
      <c r="O2992" s="6">
        <f t="shared" si="766"/>
        <v>-3740</v>
      </c>
      <c r="P2992" s="6">
        <f t="shared" si="762"/>
        <v>0</v>
      </c>
      <c r="Q2992" s="7">
        <v>4536218.45</v>
      </c>
      <c r="R2992" s="44" t="str">
        <f>VLOOKUP(F2992,'Set up'!$A$2:$E$70,5,FALSE)</f>
        <v>Trsf</v>
      </c>
      <c r="S2992" s="1" t="s">
        <v>3291</v>
      </c>
    </row>
    <row r="2993" spans="1:19" ht="15" customHeight="1" x14ac:dyDescent="0.35">
      <c r="A2993" s="4">
        <v>45471</v>
      </c>
      <c r="B2993" s="5">
        <f t="shared" si="754"/>
        <v>6</v>
      </c>
      <c r="C2993" s="5">
        <f t="shared" si="755"/>
        <v>2024</v>
      </c>
      <c r="D2993" s="5" t="s">
        <v>2665</v>
      </c>
      <c r="E2993" s="5" t="str">
        <f>VLOOKUP(F2993,'Set up'!$A$2:$C$70,2,FALSE)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up'!$A$2:$C$70,3,FALSE)</f>
        <v>Cash</v>
      </c>
      <c r="J2993" s="5">
        <f>VLOOKUP(F2993,'Set up'!$A$2:$D$70,4,FALSE)</f>
        <v>0</v>
      </c>
      <c r="K2993" s="4">
        <f t="shared" si="756"/>
        <v>45471</v>
      </c>
      <c r="L2993" s="5">
        <f t="shared" si="757"/>
        <v>6</v>
      </c>
      <c r="M2993" s="5">
        <f t="shared" si="758"/>
        <v>2024</v>
      </c>
      <c r="N2993" s="12">
        <v>760</v>
      </c>
      <c r="O2993" s="6">
        <f t="shared" si="766"/>
        <v>-760</v>
      </c>
      <c r="P2993" s="6">
        <f t="shared" si="762"/>
        <v>0</v>
      </c>
      <c r="Q2993" s="7">
        <v>4527335.45</v>
      </c>
      <c r="R2993" s="44" t="str">
        <f>VLOOKUP(F2993,'Set up'!$A$2:$E$70,5,FALSE)</f>
        <v>Trsf</v>
      </c>
      <c r="S2993" s="1" t="s">
        <v>3292</v>
      </c>
    </row>
    <row r="2994" spans="1:19" ht="15" customHeight="1" x14ac:dyDescent="0.35">
      <c r="A2994" s="4">
        <v>45471</v>
      </c>
      <c r="B2994" s="5">
        <f t="shared" si="754"/>
        <v>6</v>
      </c>
      <c r="C2994" s="5">
        <f t="shared" si="755"/>
        <v>2024</v>
      </c>
      <c r="D2994" s="5" t="s">
        <v>2665</v>
      </c>
      <c r="E2994" s="5" t="str">
        <f>VLOOKUP(F2994,'Set up'!$A$2:$C$70,2,FALSE)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up'!$A$2:$C$70,3,FALSE)</f>
        <v>Cash</v>
      </c>
      <c r="J2994" s="5">
        <f>VLOOKUP(F2994,'Set up'!$A$2:$D$70,4,FALSE)</f>
        <v>0</v>
      </c>
      <c r="K2994" s="4">
        <f t="shared" si="756"/>
        <v>45471</v>
      </c>
      <c r="L2994" s="5">
        <f t="shared" si="757"/>
        <v>6</v>
      </c>
      <c r="M2994" s="5">
        <f t="shared" si="758"/>
        <v>2024</v>
      </c>
      <c r="N2994" s="12">
        <v>2000</v>
      </c>
      <c r="O2994" s="6">
        <f t="shared" si="766"/>
        <v>-2000</v>
      </c>
      <c r="P2994" s="6">
        <f t="shared" si="762"/>
        <v>0</v>
      </c>
      <c r="Q2994" s="7">
        <v>4529735.45</v>
      </c>
      <c r="R2994" s="44" t="str">
        <f>VLOOKUP(F2994,'Set up'!$A$2:$E$70,5,FALSE)</f>
        <v>Trsf</v>
      </c>
      <c r="S2994" s="1" t="s">
        <v>3293</v>
      </c>
    </row>
    <row r="2995" spans="1:19" ht="15" customHeight="1" x14ac:dyDescent="0.35">
      <c r="A2995" s="4">
        <v>45475</v>
      </c>
      <c r="B2995" s="5">
        <f t="shared" si="754"/>
        <v>7</v>
      </c>
      <c r="C2995" s="5">
        <f t="shared" si="755"/>
        <v>2024</v>
      </c>
      <c r="D2995" s="5" t="s">
        <v>2746</v>
      </c>
      <c r="E2995" s="5" t="str">
        <f>VLOOKUP(F2995,'Set up'!$A$2:$C$70,2,FALSE)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up'!$A$2:$C$70,3,FALSE)</f>
        <v>Cash</v>
      </c>
      <c r="J2995" s="5">
        <f>VLOOKUP(F2995,'Set up'!$A$2:$D$70,4,FALSE)</f>
        <v>0</v>
      </c>
      <c r="K2995" s="4">
        <f t="shared" si="756"/>
        <v>45475</v>
      </c>
      <c r="L2995" s="5">
        <f t="shared" si="757"/>
        <v>7</v>
      </c>
      <c r="M2995" s="5">
        <f t="shared" si="758"/>
        <v>2024</v>
      </c>
      <c r="N2995" s="12">
        <v>337.5</v>
      </c>
      <c r="O2995" s="6">
        <f t="shared" ref="O2995:O3003" si="767">-N2995</f>
        <v>-337.5</v>
      </c>
      <c r="P2995" s="6">
        <f t="shared" si="762"/>
        <v>0</v>
      </c>
      <c r="Q2995" s="7">
        <v>4911607.95</v>
      </c>
      <c r="R2995" s="44" t="str">
        <f>VLOOKUP(F2995,'Set up'!$A$2:$E$70,5,FALSE)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754"/>
        <v>7</v>
      </c>
      <c r="C2996" s="5">
        <f t="shared" si="755"/>
        <v>2024</v>
      </c>
      <c r="D2996" s="5" t="s">
        <v>2746</v>
      </c>
      <c r="E2996" s="5" t="str">
        <f>VLOOKUP(F2996,'Set up'!$A$2:$C$70,2,FALSE)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up'!$A$2:$C$70,3,FALSE)</f>
        <v>Cash</v>
      </c>
      <c r="J2996" s="5">
        <f>VLOOKUP(F2996,'Set up'!$A$2:$D$70,4,FALSE)</f>
        <v>0</v>
      </c>
      <c r="K2996" s="4">
        <f t="shared" si="756"/>
        <v>45475</v>
      </c>
      <c r="L2996" s="5">
        <f t="shared" si="757"/>
        <v>7</v>
      </c>
      <c r="M2996" s="5">
        <f t="shared" si="758"/>
        <v>2024</v>
      </c>
      <c r="N2996" s="12">
        <v>255</v>
      </c>
      <c r="O2996" s="6">
        <f t="shared" si="767"/>
        <v>-255</v>
      </c>
      <c r="P2996" s="6">
        <f t="shared" si="762"/>
        <v>0</v>
      </c>
      <c r="Q2996" s="7">
        <v>4911862.95</v>
      </c>
      <c r="R2996" s="44" t="str">
        <f>VLOOKUP(F2996,'Set up'!$A$2:$E$70,5,FALSE)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754"/>
        <v>7</v>
      </c>
      <c r="C2997" s="5">
        <f t="shared" si="755"/>
        <v>2024</v>
      </c>
      <c r="D2997" s="5" t="s">
        <v>2746</v>
      </c>
      <c r="E2997" s="5" t="str">
        <f>VLOOKUP(F2997,'Set up'!$A$2:$C$70,2,FALSE)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up'!$A$2:$C$70,3,FALSE)</f>
        <v>Cash</v>
      </c>
      <c r="J2997" s="5">
        <f>VLOOKUP(F2997,'Set up'!$A$2:$D$70,4,FALSE)</f>
        <v>0</v>
      </c>
      <c r="K2997" s="4">
        <f t="shared" si="756"/>
        <v>45475</v>
      </c>
      <c r="L2997" s="5">
        <f t="shared" si="757"/>
        <v>7</v>
      </c>
      <c r="M2997" s="5">
        <f t="shared" si="758"/>
        <v>2024</v>
      </c>
      <c r="N2997" s="12">
        <v>115</v>
      </c>
      <c r="O2997" s="6">
        <f t="shared" si="767"/>
        <v>-115</v>
      </c>
      <c r="P2997" s="6">
        <f t="shared" si="762"/>
        <v>0</v>
      </c>
      <c r="Q2997" s="7">
        <v>4911977.95</v>
      </c>
      <c r="R2997" s="44" t="str">
        <f>VLOOKUP(F2997,'Set up'!$A$2:$E$70,5,FALSE)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754"/>
        <v>7</v>
      </c>
      <c r="C2998" s="5">
        <f t="shared" si="755"/>
        <v>2024</v>
      </c>
      <c r="D2998" s="5" t="s">
        <v>2746</v>
      </c>
      <c r="E2998" s="5" t="str">
        <f>VLOOKUP(F2998,'Set up'!$A$2:$C$70,2,FALSE)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up'!$A$2:$C$70,3,FALSE)</f>
        <v>Cash</v>
      </c>
      <c r="J2998" s="5">
        <f>VLOOKUP(F2998,'Set up'!$A$2:$D$70,4,FALSE)</f>
        <v>0</v>
      </c>
      <c r="K2998" s="4">
        <f t="shared" si="756"/>
        <v>45475</v>
      </c>
      <c r="L2998" s="5">
        <f t="shared" si="757"/>
        <v>7</v>
      </c>
      <c r="M2998" s="5">
        <f t="shared" si="758"/>
        <v>2024</v>
      </c>
      <c r="N2998" s="12">
        <v>49</v>
      </c>
      <c r="O2998" s="6">
        <f t="shared" si="767"/>
        <v>-49</v>
      </c>
      <c r="P2998" s="6">
        <f t="shared" si="762"/>
        <v>0</v>
      </c>
      <c r="Q2998" s="7">
        <v>4912026.95</v>
      </c>
      <c r="R2998" s="44" t="str">
        <f>VLOOKUP(F2998,'Set up'!$A$2:$E$70,5,FALSE)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754"/>
        <v>7</v>
      </c>
      <c r="C2999" s="5">
        <f t="shared" si="755"/>
        <v>2024</v>
      </c>
      <c r="D2999" s="5" t="s">
        <v>2746</v>
      </c>
      <c r="E2999" s="5" t="str">
        <f>VLOOKUP(F2999,'Set up'!$A$2:$C$70,2,FALSE)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up'!$A$2:$C$70,3,FALSE)</f>
        <v>Cash</v>
      </c>
      <c r="J2999" s="5">
        <f>VLOOKUP(F2999,'Set up'!$A$2:$D$70,4,FALSE)</f>
        <v>0</v>
      </c>
      <c r="K2999" s="4">
        <f t="shared" si="756"/>
        <v>45475</v>
      </c>
      <c r="L2999" s="5">
        <f t="shared" si="757"/>
        <v>7</v>
      </c>
      <c r="M2999" s="5">
        <f t="shared" si="758"/>
        <v>2024</v>
      </c>
      <c r="N2999" s="12">
        <v>297</v>
      </c>
      <c r="O2999" s="6">
        <f t="shared" si="767"/>
        <v>-297</v>
      </c>
      <c r="P2999" s="6">
        <f t="shared" si="762"/>
        <v>0</v>
      </c>
      <c r="Q2999" s="7">
        <v>4912323.95</v>
      </c>
      <c r="R2999" s="44" t="str">
        <f>VLOOKUP(F2999,'Set up'!$A$2:$E$70,5,FALSE)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754"/>
        <v>7</v>
      </c>
      <c r="C3000" s="5">
        <f t="shared" si="755"/>
        <v>2024</v>
      </c>
      <c r="D3000" s="5" t="s">
        <v>2746</v>
      </c>
      <c r="E3000" s="5" t="str">
        <f>VLOOKUP(F3000,'Set up'!$A$2:$C$70,2,FALSE)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up'!$A$2:$C$70,3,FALSE)</f>
        <v>Cash</v>
      </c>
      <c r="J3000" s="5">
        <f>VLOOKUP(F3000,'Set up'!$A$2:$D$70,4,FALSE)</f>
        <v>0</v>
      </c>
      <c r="K3000" s="4">
        <f t="shared" si="756"/>
        <v>45475</v>
      </c>
      <c r="L3000" s="5">
        <f t="shared" si="757"/>
        <v>7</v>
      </c>
      <c r="M3000" s="5">
        <f t="shared" si="758"/>
        <v>2024</v>
      </c>
      <c r="N3000" s="12">
        <v>48</v>
      </c>
      <c r="O3000" s="6">
        <f t="shared" si="767"/>
        <v>-48</v>
      </c>
      <c r="P3000" s="6">
        <f t="shared" si="762"/>
        <v>0</v>
      </c>
      <c r="Q3000" s="7">
        <v>4912371.95</v>
      </c>
      <c r="R3000" s="44" t="str">
        <f>VLOOKUP(F3000,'Set up'!$A$2:$E$70,5,FALSE)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754"/>
        <v>7</v>
      </c>
      <c r="C3001" s="5">
        <f t="shared" si="755"/>
        <v>2024</v>
      </c>
      <c r="D3001" s="5" t="s">
        <v>2746</v>
      </c>
      <c r="E3001" s="5" t="str">
        <f>VLOOKUP(F3001,'Set up'!$A$2:$C$70,2,FALSE)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up'!$A$2:$C$70,3,FALSE)</f>
        <v>Cash</v>
      </c>
      <c r="J3001" s="5">
        <f>VLOOKUP(F3001,'Set up'!$A$2:$D$70,4,FALSE)</f>
        <v>0</v>
      </c>
      <c r="K3001" s="4">
        <f t="shared" si="756"/>
        <v>45475</v>
      </c>
      <c r="L3001" s="5">
        <f t="shared" si="757"/>
        <v>7</v>
      </c>
      <c r="M3001" s="5">
        <f t="shared" si="758"/>
        <v>2024</v>
      </c>
      <c r="N3001" s="12">
        <v>30</v>
      </c>
      <c r="O3001" s="6">
        <f t="shared" si="767"/>
        <v>-30</v>
      </c>
      <c r="P3001" s="6">
        <f t="shared" si="762"/>
        <v>0</v>
      </c>
      <c r="Q3001" s="7">
        <v>4912401.95</v>
      </c>
      <c r="R3001" s="44" t="str">
        <f>VLOOKUP(F3001,'Set up'!$A$2:$E$70,5,FALSE)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754"/>
        <v>7</v>
      </c>
      <c r="C3002" s="5">
        <f t="shared" si="755"/>
        <v>2024</v>
      </c>
      <c r="D3002" s="5" t="s">
        <v>2748</v>
      </c>
      <c r="E3002" s="5" t="str">
        <f>VLOOKUP(F3002,'Set up'!$A$2:$C$70,2,FALSE)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up'!$A$2:$C$70,3,FALSE)</f>
        <v>120</v>
      </c>
      <c r="J3002" s="5">
        <f>VLOOKUP(F3002,'Set up'!$A$2:$D$70,4,FALSE)</f>
        <v>120</v>
      </c>
      <c r="K3002" s="4">
        <f t="shared" si="756"/>
        <v>45595</v>
      </c>
      <c r="L3002" s="5">
        <f t="shared" si="757"/>
        <v>10</v>
      </c>
      <c r="M3002" s="5">
        <f t="shared" si="758"/>
        <v>2024</v>
      </c>
      <c r="N3002" s="12">
        <v>160</v>
      </c>
      <c r="O3002" s="6">
        <f t="shared" si="767"/>
        <v>-160</v>
      </c>
      <c r="P3002" s="6">
        <f t="shared" si="762"/>
        <v>0</v>
      </c>
      <c r="Q3002" s="7">
        <v>4912561.95</v>
      </c>
      <c r="R3002" s="44" t="str">
        <f>VLOOKUP(F3002,'Set up'!$A$2:$E$70,5,FALSE)</f>
        <v>Trsf</v>
      </c>
      <c r="S3002" s="1" t="s">
        <v>3288</v>
      </c>
    </row>
    <row r="3003" spans="1:19" ht="15" customHeight="1" x14ac:dyDescent="0.35">
      <c r="A3003" s="4">
        <v>45475</v>
      </c>
      <c r="B3003" s="5">
        <f t="shared" si="754"/>
        <v>7</v>
      </c>
      <c r="C3003" s="5">
        <f t="shared" si="755"/>
        <v>2024</v>
      </c>
      <c r="D3003" s="5" t="s">
        <v>2748</v>
      </c>
      <c r="E3003" s="5" t="str">
        <f>VLOOKUP(F3003,'Set up'!$A$2:$C$70,2,FALSE)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up'!$A$2:$C$70,3,FALSE)</f>
        <v>120</v>
      </c>
      <c r="J3003" s="5">
        <f>VLOOKUP(F3003,'Set up'!$A$2:$D$70,4,FALSE)</f>
        <v>120</v>
      </c>
      <c r="K3003" s="4">
        <f t="shared" si="756"/>
        <v>45595</v>
      </c>
      <c r="L3003" s="5">
        <f t="shared" si="757"/>
        <v>10</v>
      </c>
      <c r="M3003" s="5">
        <f t="shared" si="758"/>
        <v>2024</v>
      </c>
      <c r="N3003" s="12">
        <v>260</v>
      </c>
      <c r="O3003" s="6">
        <f t="shared" si="767"/>
        <v>-260</v>
      </c>
      <c r="P3003" s="6">
        <f t="shared" si="762"/>
        <v>0</v>
      </c>
      <c r="Q3003" s="7">
        <v>4912821.95</v>
      </c>
      <c r="R3003" s="44" t="str">
        <f>VLOOKUP(F3003,'Set up'!$A$2:$E$70,5,FALSE)</f>
        <v>Trsf</v>
      </c>
      <c r="S3003" s="1" t="s">
        <v>3288</v>
      </c>
    </row>
    <row r="3004" spans="1:19" ht="15" customHeight="1" x14ac:dyDescent="0.35">
      <c r="A3004" s="4">
        <v>45475</v>
      </c>
      <c r="B3004" s="5">
        <f t="shared" si="754"/>
        <v>7</v>
      </c>
      <c r="C3004" s="5">
        <f t="shared" si="755"/>
        <v>2024</v>
      </c>
      <c r="D3004" s="5" t="s">
        <v>2749</v>
      </c>
      <c r="E3004" s="5" t="str">
        <f>VLOOKUP(F3004,'Set up'!$A$2:$C$70,2,FALSE)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up'!$A$2:$C$70,3,FALSE)</f>
        <v>Cash</v>
      </c>
      <c r="J3004" s="5">
        <f>VLOOKUP(F3004,'Set up'!$A$2:$D$70,4,FALSE)</f>
        <v>0</v>
      </c>
      <c r="K3004" s="4">
        <f t="shared" si="756"/>
        <v>45475</v>
      </c>
      <c r="L3004" s="5">
        <f t="shared" si="757"/>
        <v>7</v>
      </c>
      <c r="M3004" s="5">
        <f t="shared" si="758"/>
        <v>2024</v>
      </c>
      <c r="N3004" s="12">
        <v>534</v>
      </c>
      <c r="O3004" s="6">
        <f t="shared" ref="O3004:O3005" si="768">-N3004</f>
        <v>-534</v>
      </c>
      <c r="P3004" s="6">
        <f t="shared" si="762"/>
        <v>0</v>
      </c>
      <c r="Q3004" s="7">
        <v>4913355.95</v>
      </c>
      <c r="R3004" s="44" t="str">
        <f>VLOOKUP(F3004,'Set up'!$A$2:$E$70,5,FALSE)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754"/>
        <v>7</v>
      </c>
      <c r="C3005" s="5">
        <f t="shared" si="755"/>
        <v>2024</v>
      </c>
      <c r="D3005" s="5" t="s">
        <v>2749</v>
      </c>
      <c r="E3005" s="5" t="str">
        <f>VLOOKUP(F3005,'Set up'!$A$2:$C$70,2,FALSE)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up'!$A$2:$C$70,3,FALSE)</f>
        <v>Cash</v>
      </c>
      <c r="J3005" s="5">
        <f>VLOOKUP(F3005,'Set up'!$A$2:$D$70,4,FALSE)</f>
        <v>0</v>
      </c>
      <c r="K3005" s="4">
        <f t="shared" si="756"/>
        <v>45475</v>
      </c>
      <c r="L3005" s="5">
        <f t="shared" si="757"/>
        <v>7</v>
      </c>
      <c r="M3005" s="5">
        <f t="shared" si="758"/>
        <v>2024</v>
      </c>
      <c r="N3005" s="12">
        <v>552</v>
      </c>
      <c r="O3005" s="6">
        <f t="shared" si="768"/>
        <v>-552</v>
      </c>
      <c r="P3005" s="6">
        <f t="shared" si="762"/>
        <v>0</v>
      </c>
      <c r="Q3005" s="7">
        <v>4913907.95</v>
      </c>
      <c r="R3005" s="44" t="str">
        <f>VLOOKUP(F3005,'Set up'!$A$2:$E$70,5,FALSE)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754"/>
        <v>7</v>
      </c>
      <c r="C3006" s="5">
        <f t="shared" si="755"/>
        <v>2024</v>
      </c>
      <c r="D3006" s="5" t="s">
        <v>2750</v>
      </c>
      <c r="E3006" s="5" t="str">
        <f>VLOOKUP(F3006,'Set up'!$A$2:$C$70,2,FALSE)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up'!$A$2:$C$70,3,FALSE)</f>
        <v>Cash</v>
      </c>
      <c r="J3006" s="5">
        <f>VLOOKUP(F3006,'Set up'!$A$2:$D$70,4,FALSE)</f>
        <v>0</v>
      </c>
      <c r="K3006" s="4">
        <f t="shared" si="756"/>
        <v>45475</v>
      </c>
      <c r="L3006" s="5">
        <f t="shared" si="757"/>
        <v>7</v>
      </c>
      <c r="M3006" s="5">
        <f t="shared" si="758"/>
        <v>2024</v>
      </c>
      <c r="N3006" s="12">
        <v>7040</v>
      </c>
      <c r="O3006" s="12">
        <f>-511.1-5000-1528.9</f>
        <v>-7040</v>
      </c>
      <c r="P3006" s="6">
        <f t="shared" si="762"/>
        <v>0</v>
      </c>
      <c r="Q3006" s="7">
        <v>4920947.95</v>
      </c>
      <c r="R3006" s="44" t="str">
        <f>VLOOKUP(F3006,'Set up'!$A$2:$E$70,5,FALSE)</f>
        <v>Trsf</v>
      </c>
      <c r="S3006" s="1" t="s">
        <v>3364</v>
      </c>
    </row>
    <row r="3007" spans="1:19" ht="15" customHeight="1" x14ac:dyDescent="0.35">
      <c r="A3007" s="4">
        <v>45475</v>
      </c>
      <c r="B3007" s="5">
        <f t="shared" si="754"/>
        <v>7</v>
      </c>
      <c r="C3007" s="5">
        <f t="shared" si="755"/>
        <v>2024</v>
      </c>
      <c r="D3007" s="5" t="s">
        <v>2750</v>
      </c>
      <c r="E3007" s="5" t="str">
        <f>VLOOKUP(F3007,'Set up'!$A$2:$C$70,2,FALSE)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up'!$A$2:$C$70,3,FALSE)</f>
        <v>Cash</v>
      </c>
      <c r="J3007" s="5">
        <f>VLOOKUP(F3007,'Set up'!$A$2:$D$70,4,FALSE)</f>
        <v>0</v>
      </c>
      <c r="K3007" s="4">
        <f t="shared" si="756"/>
        <v>45475</v>
      </c>
      <c r="L3007" s="5">
        <f t="shared" si="757"/>
        <v>7</v>
      </c>
      <c r="M3007" s="5">
        <f t="shared" si="758"/>
        <v>2024</v>
      </c>
      <c r="N3007" s="12">
        <v>1108.4000000000001</v>
      </c>
      <c r="O3007" s="6">
        <f t="shared" ref="O3007:O3011" si="769">-N3007</f>
        <v>-1108.4000000000001</v>
      </c>
      <c r="P3007" s="6">
        <f t="shared" si="762"/>
        <v>0</v>
      </c>
      <c r="Q3007" s="7">
        <v>4922056.3500000006</v>
      </c>
      <c r="R3007" s="44" t="str">
        <f>VLOOKUP(F3007,'Set up'!$A$2:$E$70,5,FALSE)</f>
        <v>Trsf</v>
      </c>
      <c r="S3007" s="1" t="s">
        <v>3365</v>
      </c>
    </row>
    <row r="3008" spans="1:19" ht="15" customHeight="1" x14ac:dyDescent="0.35">
      <c r="A3008" s="4">
        <v>45475</v>
      </c>
      <c r="B3008" s="5">
        <f t="shared" si="754"/>
        <v>7</v>
      </c>
      <c r="C3008" s="5">
        <f t="shared" si="755"/>
        <v>2024</v>
      </c>
      <c r="D3008" s="5" t="s">
        <v>2750</v>
      </c>
      <c r="E3008" s="5" t="str">
        <f>VLOOKUP(F3008,'Set up'!$A$2:$C$70,2,FALSE)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up'!$A$2:$C$70,3,FALSE)</f>
        <v>Cash</v>
      </c>
      <c r="J3008" s="5">
        <f>VLOOKUP(F3008,'Set up'!$A$2:$D$70,4,FALSE)</f>
        <v>0</v>
      </c>
      <c r="K3008" s="4">
        <f t="shared" si="756"/>
        <v>45475</v>
      </c>
      <c r="L3008" s="5">
        <f t="shared" si="757"/>
        <v>7</v>
      </c>
      <c r="M3008" s="5">
        <f t="shared" si="758"/>
        <v>2024</v>
      </c>
      <c r="N3008" s="12">
        <v>320</v>
      </c>
      <c r="O3008" s="6">
        <f t="shared" si="769"/>
        <v>-320</v>
      </c>
      <c r="P3008" s="6">
        <f t="shared" si="762"/>
        <v>0</v>
      </c>
      <c r="Q3008" s="7">
        <v>4922376.3500000006</v>
      </c>
      <c r="R3008" s="44" t="str">
        <f>VLOOKUP(F3008,'Set up'!$A$2:$E$70,5,FALSE)</f>
        <v>Trsf</v>
      </c>
      <c r="S3008" s="1" t="s">
        <v>3366</v>
      </c>
    </row>
    <row r="3009" spans="1:21" ht="15" customHeight="1" x14ac:dyDescent="0.35">
      <c r="A3009" s="4">
        <v>45475</v>
      </c>
      <c r="B3009" s="5">
        <f t="shared" si="754"/>
        <v>7</v>
      </c>
      <c r="C3009" s="5">
        <f t="shared" si="755"/>
        <v>2024</v>
      </c>
      <c r="D3009" s="5" t="s">
        <v>2750</v>
      </c>
      <c r="E3009" s="5" t="str">
        <f>VLOOKUP(F3009,'Set up'!$A$2:$C$70,2,FALSE)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up'!$A$2:$C$70,3,FALSE)</f>
        <v>Cash</v>
      </c>
      <c r="J3009" s="5">
        <f>VLOOKUP(F3009,'Set up'!$A$2:$D$70,4,FALSE)</f>
        <v>0</v>
      </c>
      <c r="K3009" s="4">
        <f t="shared" si="756"/>
        <v>45475</v>
      </c>
      <c r="L3009" s="5">
        <f t="shared" si="757"/>
        <v>7</v>
      </c>
      <c r="M3009" s="5">
        <f t="shared" si="758"/>
        <v>2024</v>
      </c>
      <c r="N3009" s="12">
        <v>360</v>
      </c>
      <c r="O3009" s="6">
        <f t="shared" si="769"/>
        <v>-360</v>
      </c>
      <c r="P3009" s="6">
        <f t="shared" si="762"/>
        <v>0</v>
      </c>
      <c r="Q3009" s="7">
        <v>4922736.3500000006</v>
      </c>
      <c r="R3009" s="44" t="str">
        <f>VLOOKUP(F3009,'Set up'!$A$2:$E$70,5,FALSE)</f>
        <v>Trsf</v>
      </c>
      <c r="S3009" s="1" t="s">
        <v>3367</v>
      </c>
    </row>
    <row r="3010" spans="1:21" ht="15" customHeight="1" x14ac:dyDescent="0.35">
      <c r="A3010" s="4">
        <v>45475</v>
      </c>
      <c r="B3010" s="5">
        <f t="shared" si="754"/>
        <v>7</v>
      </c>
      <c r="C3010" s="5">
        <f t="shared" si="755"/>
        <v>2024</v>
      </c>
      <c r="D3010" s="5" t="s">
        <v>2750</v>
      </c>
      <c r="E3010" s="5" t="str">
        <f>VLOOKUP(F3010,'Set up'!$A$2:$C$70,2,FALSE)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up'!$A$2:$C$70,3,FALSE)</f>
        <v>Cash</v>
      </c>
      <c r="J3010" s="5">
        <f>VLOOKUP(F3010,'Set up'!$A$2:$D$70,4,FALSE)</f>
        <v>0</v>
      </c>
      <c r="K3010" s="4">
        <f t="shared" si="756"/>
        <v>45475</v>
      </c>
      <c r="L3010" s="5">
        <f t="shared" si="757"/>
        <v>7</v>
      </c>
      <c r="M3010" s="5">
        <f t="shared" si="758"/>
        <v>2024</v>
      </c>
      <c r="N3010" s="12">
        <v>190</v>
      </c>
      <c r="O3010" s="6">
        <f t="shared" si="769"/>
        <v>-190</v>
      </c>
      <c r="P3010" s="6">
        <f t="shared" si="762"/>
        <v>0</v>
      </c>
      <c r="Q3010" s="7">
        <v>4922926.3500000006</v>
      </c>
      <c r="R3010" s="44" t="str">
        <f>VLOOKUP(F3010,'Set up'!$A$2:$E$70,5,FALSE)</f>
        <v>Trsf</v>
      </c>
      <c r="S3010" s="1" t="s">
        <v>3368</v>
      </c>
    </row>
    <row r="3011" spans="1:21" ht="15" customHeight="1" x14ac:dyDescent="0.35">
      <c r="A3011" s="4">
        <v>45475</v>
      </c>
      <c r="B3011" s="5">
        <f t="shared" ref="B3011:B3074" si="770">MONTH(A3011)</f>
        <v>7</v>
      </c>
      <c r="C3011" s="5">
        <f t="shared" ref="C3011:C3074" si="771">YEAR(A3011)</f>
        <v>2024</v>
      </c>
      <c r="D3011" s="5" t="s">
        <v>2750</v>
      </c>
      <c r="E3011" s="5" t="str">
        <f>VLOOKUP(F3011,'Set up'!$A$2:$C$70,2,FALSE)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up'!$A$2:$C$70,3,FALSE)</f>
        <v>Cash</v>
      </c>
      <c r="J3011" s="5">
        <f>VLOOKUP(F3011,'Set up'!$A$2:$D$70,4,FALSE)</f>
        <v>0</v>
      </c>
      <c r="K3011" s="4">
        <f t="shared" ref="K3011:K3074" si="772">A3011+J3011</f>
        <v>45475</v>
      </c>
      <c r="L3011" s="5">
        <f t="shared" ref="L3011:L3074" si="773">MONTH(K3011)</f>
        <v>7</v>
      </c>
      <c r="M3011" s="5">
        <f t="shared" ref="M3011:M3074" si="774">YEAR(K3011)</f>
        <v>2024</v>
      </c>
      <c r="N3011" s="12">
        <v>563.20000000000005</v>
      </c>
      <c r="O3011" s="6">
        <f t="shared" si="769"/>
        <v>-563.20000000000005</v>
      </c>
      <c r="P3011" s="6">
        <f t="shared" si="762"/>
        <v>0</v>
      </c>
      <c r="Q3011" s="7">
        <v>4923489.5500000007</v>
      </c>
      <c r="R3011" s="44" t="str">
        <f>VLOOKUP(F3011,'Set up'!$A$2:$E$70,5,FALSE)</f>
        <v>Trsf</v>
      </c>
      <c r="S3011" s="1" t="s">
        <v>3369</v>
      </c>
    </row>
    <row r="3012" spans="1:21" ht="15" customHeight="1" x14ac:dyDescent="0.35">
      <c r="A3012" s="4">
        <v>45475</v>
      </c>
      <c r="B3012" s="5">
        <f t="shared" si="770"/>
        <v>7</v>
      </c>
      <c r="C3012" s="5">
        <f t="shared" si="771"/>
        <v>2024</v>
      </c>
      <c r="D3012" s="5" t="s">
        <v>2750</v>
      </c>
      <c r="E3012" s="5" t="str">
        <f>VLOOKUP(F3012,'Set up'!$A$2:$C$70,2,FALSE)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up'!$A$2:$C$70,3,FALSE)</f>
        <v>Cash</v>
      </c>
      <c r="J3012" s="5">
        <f>VLOOKUP(F3012,'Set up'!$A$2:$D$70,4,FALSE)</f>
        <v>0</v>
      </c>
      <c r="K3012" s="4">
        <f t="shared" si="772"/>
        <v>45475</v>
      </c>
      <c r="L3012" s="5">
        <f t="shared" si="773"/>
        <v>7</v>
      </c>
      <c r="M3012" s="5">
        <f t="shared" si="774"/>
        <v>2024</v>
      </c>
      <c r="N3012" s="12">
        <v>1684.8</v>
      </c>
      <c r="O3012" s="12">
        <f>-929.5-755.3</f>
        <v>-1684.8</v>
      </c>
      <c r="P3012" s="6">
        <f t="shared" si="762"/>
        <v>0</v>
      </c>
      <c r="Q3012" s="7">
        <v>4925174.3500000006</v>
      </c>
      <c r="R3012" s="44" t="str">
        <f>VLOOKUP(F3012,'Set up'!$A$2:$E$70,5,FALSE)</f>
        <v>Trsf</v>
      </c>
      <c r="S3012" s="1" t="s">
        <v>3370</v>
      </c>
    </row>
    <row r="3013" spans="1:21" ht="15" customHeight="1" x14ac:dyDescent="0.35">
      <c r="A3013" s="4">
        <v>45475</v>
      </c>
      <c r="B3013" s="5">
        <f t="shared" si="770"/>
        <v>7</v>
      </c>
      <c r="C3013" s="5">
        <f t="shared" si="771"/>
        <v>2024</v>
      </c>
      <c r="D3013" s="5" t="s">
        <v>2751</v>
      </c>
      <c r="E3013" s="5" t="str">
        <f>VLOOKUP(F3013,'Set up'!$A$2:$C$70,2,FALSE)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up'!$A$2:$C$70,3,FALSE)</f>
        <v>45</v>
      </c>
      <c r="J3013" s="5">
        <f>VLOOKUP(F3013,'Set up'!$A$2:$D$70,4,FALSE)</f>
        <v>45</v>
      </c>
      <c r="K3013" s="4">
        <f t="shared" si="772"/>
        <v>45520</v>
      </c>
      <c r="L3013" s="5">
        <f t="shared" si="773"/>
        <v>8</v>
      </c>
      <c r="M3013" s="5">
        <f t="shared" si="774"/>
        <v>2024</v>
      </c>
      <c r="N3013" s="12">
        <v>130</v>
      </c>
      <c r="O3013" s="6">
        <f>-N3013</f>
        <v>-130</v>
      </c>
      <c r="P3013" s="6">
        <f t="shared" si="762"/>
        <v>0</v>
      </c>
      <c r="Q3013" s="7">
        <v>4925304.3500000006</v>
      </c>
      <c r="R3013" s="44" t="str">
        <f>VLOOKUP(F3013,'Set up'!$A$2:$E$70,5,FALSE)</f>
        <v>PD Chq</v>
      </c>
      <c r="S3013" s="1" t="s">
        <v>2833</v>
      </c>
      <c r="U3013" s="1" t="s">
        <v>3603</v>
      </c>
    </row>
    <row r="3014" spans="1:21" ht="15" customHeight="1" x14ac:dyDescent="0.35">
      <c r="A3014" s="4">
        <v>45476</v>
      </c>
      <c r="B3014" s="5">
        <f t="shared" si="770"/>
        <v>7</v>
      </c>
      <c r="C3014" s="5">
        <f t="shared" si="771"/>
        <v>2024</v>
      </c>
      <c r="D3014" s="5" t="s">
        <v>2752</v>
      </c>
      <c r="E3014" s="5" t="str">
        <f>VLOOKUP(F3014,'Set up'!$A$2:$C$70,2,FALSE)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up'!$A$2:$C$70,3,FALSE)</f>
        <v>Cash</v>
      </c>
      <c r="J3014" s="5">
        <f>VLOOKUP(F3014,'Set up'!$A$2:$D$70,4,FALSE)</f>
        <v>0</v>
      </c>
      <c r="K3014" s="4">
        <f t="shared" si="772"/>
        <v>45476</v>
      </c>
      <c r="L3014" s="5">
        <f t="shared" si="773"/>
        <v>7</v>
      </c>
      <c r="M3014" s="5">
        <f t="shared" si="774"/>
        <v>2024</v>
      </c>
      <c r="N3014" s="12">
        <v>200</v>
      </c>
      <c r="O3014" s="6">
        <f t="shared" ref="O3014:O3021" si="775">-N3014</f>
        <v>-200</v>
      </c>
      <c r="P3014" s="6">
        <f t="shared" si="762"/>
        <v>0</v>
      </c>
      <c r="Q3014" s="7">
        <v>4925504.3500000006</v>
      </c>
      <c r="R3014" s="44" t="str">
        <f>VLOOKUP(F3014,'Set up'!$A$2:$E$70,5,FALSE)</f>
        <v>Cash</v>
      </c>
      <c r="S3014" s="1" t="s">
        <v>2784</v>
      </c>
    </row>
    <row r="3015" spans="1:21" ht="15" customHeight="1" x14ac:dyDescent="0.35">
      <c r="A3015" s="4">
        <v>45476</v>
      </c>
      <c r="B3015" s="5">
        <f t="shared" si="770"/>
        <v>7</v>
      </c>
      <c r="C3015" s="5">
        <f t="shared" si="771"/>
        <v>2024</v>
      </c>
      <c r="D3015" s="5" t="s">
        <v>2752</v>
      </c>
      <c r="E3015" s="5" t="str">
        <f>VLOOKUP(F3015,'Set up'!$A$2:$C$70,2,FALSE)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up'!$A$2:$C$70,3,FALSE)</f>
        <v>Cash</v>
      </c>
      <c r="J3015" s="5">
        <f>VLOOKUP(F3015,'Set up'!$A$2:$D$70,4,FALSE)</f>
        <v>0</v>
      </c>
      <c r="K3015" s="4">
        <f t="shared" si="772"/>
        <v>45476</v>
      </c>
      <c r="L3015" s="5">
        <f t="shared" si="773"/>
        <v>7</v>
      </c>
      <c r="M3015" s="5">
        <f t="shared" si="774"/>
        <v>2024</v>
      </c>
      <c r="N3015" s="12">
        <v>175</v>
      </c>
      <c r="O3015" s="6">
        <f t="shared" si="775"/>
        <v>-175</v>
      </c>
      <c r="P3015" s="6">
        <f t="shared" si="762"/>
        <v>0</v>
      </c>
      <c r="Q3015" s="7">
        <v>4925679.3500000006</v>
      </c>
      <c r="R3015" s="44" t="str">
        <f>VLOOKUP(F3015,'Set up'!$A$2:$E$70,5,FALSE)</f>
        <v>Cash</v>
      </c>
      <c r="S3015" s="1" t="s">
        <v>2784</v>
      </c>
    </row>
    <row r="3016" spans="1:21" ht="15" customHeight="1" x14ac:dyDescent="0.35">
      <c r="A3016" s="4">
        <v>45477</v>
      </c>
      <c r="B3016" s="5">
        <f t="shared" si="770"/>
        <v>7</v>
      </c>
      <c r="C3016" s="5">
        <f t="shared" si="771"/>
        <v>2024</v>
      </c>
      <c r="D3016" s="5" t="s">
        <v>2753</v>
      </c>
      <c r="E3016" s="5" t="str">
        <f>VLOOKUP(F3016,'Set up'!$A$2:$C$70,2,FALSE)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up'!$A$2:$C$70,3,FALSE)</f>
        <v>Cash</v>
      </c>
      <c r="J3016" s="5">
        <f>VLOOKUP(F3016,'Set up'!$A$2:$D$70,4,FALSE)</f>
        <v>0</v>
      </c>
      <c r="K3016" s="4">
        <f t="shared" si="772"/>
        <v>45477</v>
      </c>
      <c r="L3016" s="5">
        <f t="shared" si="773"/>
        <v>7</v>
      </c>
      <c r="M3016" s="5">
        <f t="shared" si="774"/>
        <v>2024</v>
      </c>
      <c r="N3016" s="12">
        <v>1738</v>
      </c>
      <c r="O3016" s="6">
        <f t="shared" si="775"/>
        <v>-1738</v>
      </c>
      <c r="P3016" s="6">
        <f t="shared" si="762"/>
        <v>0</v>
      </c>
      <c r="Q3016" s="7">
        <v>4927417.3500000006</v>
      </c>
      <c r="R3016" s="44" t="str">
        <f>VLOOKUP(F3016,'Set up'!$A$2:$E$70,5,FALSE)</f>
        <v>Chq</v>
      </c>
      <c r="S3016" s="1" t="s">
        <v>2987</v>
      </c>
    </row>
    <row r="3017" spans="1:21" ht="15" customHeight="1" x14ac:dyDescent="0.35">
      <c r="A3017" s="4">
        <v>45477</v>
      </c>
      <c r="B3017" s="5">
        <f t="shared" si="770"/>
        <v>7</v>
      </c>
      <c r="C3017" s="5">
        <f t="shared" si="771"/>
        <v>2024</v>
      </c>
      <c r="D3017" s="5" t="s">
        <v>2753</v>
      </c>
      <c r="E3017" s="5" t="str">
        <f>VLOOKUP(F3017,'Set up'!$A$2:$C$70,2,FALSE)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up'!$A$2:$C$70,3,FALSE)</f>
        <v>Cash</v>
      </c>
      <c r="J3017" s="5">
        <f>VLOOKUP(F3017,'Set up'!$A$2:$D$70,4,FALSE)</f>
        <v>0</v>
      </c>
      <c r="K3017" s="4">
        <f t="shared" si="772"/>
        <v>45477</v>
      </c>
      <c r="L3017" s="5">
        <f t="shared" si="773"/>
        <v>7</v>
      </c>
      <c r="M3017" s="5">
        <f t="shared" si="774"/>
        <v>2024</v>
      </c>
      <c r="N3017" s="12">
        <v>555</v>
      </c>
      <c r="O3017" s="6">
        <f t="shared" si="775"/>
        <v>-555</v>
      </c>
      <c r="P3017" s="6">
        <f t="shared" si="762"/>
        <v>0</v>
      </c>
      <c r="Q3017" s="7">
        <v>4927972.3500000006</v>
      </c>
      <c r="R3017" s="44" t="str">
        <f>VLOOKUP(F3017,'Set up'!$A$2:$E$70,5,FALSE)</f>
        <v>Chq</v>
      </c>
      <c r="S3017" s="1" t="s">
        <v>2987</v>
      </c>
    </row>
    <row r="3018" spans="1:21" ht="15" customHeight="1" x14ac:dyDescent="0.35">
      <c r="A3018" s="4">
        <v>45477</v>
      </c>
      <c r="B3018" s="5">
        <f t="shared" si="770"/>
        <v>7</v>
      </c>
      <c r="C3018" s="5">
        <f t="shared" si="771"/>
        <v>2024</v>
      </c>
      <c r="D3018" s="5" t="s">
        <v>2753</v>
      </c>
      <c r="E3018" s="5" t="str">
        <f>VLOOKUP(F3018,'Set up'!$A$2:$C$70,2,FALSE)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up'!$A$2:$C$70,3,FALSE)</f>
        <v>Cash</v>
      </c>
      <c r="J3018" s="5">
        <f>VLOOKUP(F3018,'Set up'!$A$2:$D$70,4,FALSE)</f>
        <v>0</v>
      </c>
      <c r="K3018" s="4">
        <f t="shared" si="772"/>
        <v>45477</v>
      </c>
      <c r="L3018" s="5">
        <f t="shared" si="773"/>
        <v>7</v>
      </c>
      <c r="M3018" s="5">
        <f t="shared" si="774"/>
        <v>2024</v>
      </c>
      <c r="N3018" s="12">
        <v>322.5</v>
      </c>
      <c r="O3018" s="6">
        <f t="shared" si="775"/>
        <v>-322.5</v>
      </c>
      <c r="P3018" s="6">
        <f t="shared" si="762"/>
        <v>0</v>
      </c>
      <c r="Q3018" s="7">
        <v>4928294.8500000006</v>
      </c>
      <c r="R3018" s="44" t="str">
        <f>VLOOKUP(F3018,'Set up'!$A$2:$E$70,5,FALSE)</f>
        <v>Chq</v>
      </c>
      <c r="S3018" s="1" t="s">
        <v>2987</v>
      </c>
    </row>
    <row r="3019" spans="1:21" ht="15" customHeight="1" x14ac:dyDescent="0.35">
      <c r="A3019" s="4">
        <v>45477</v>
      </c>
      <c r="B3019" s="5">
        <f t="shared" si="770"/>
        <v>7</v>
      </c>
      <c r="C3019" s="5">
        <f t="shared" si="771"/>
        <v>2024</v>
      </c>
      <c r="D3019" s="5" t="s">
        <v>2753</v>
      </c>
      <c r="E3019" s="5" t="str">
        <f>VLOOKUP(F3019,'Set up'!$A$2:$C$70,2,FALSE)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up'!$A$2:$C$70,3,FALSE)</f>
        <v>Cash</v>
      </c>
      <c r="J3019" s="5">
        <f>VLOOKUP(F3019,'Set up'!$A$2:$D$70,4,FALSE)</f>
        <v>0</v>
      </c>
      <c r="K3019" s="4">
        <f t="shared" si="772"/>
        <v>45477</v>
      </c>
      <c r="L3019" s="5">
        <f t="shared" si="773"/>
        <v>7</v>
      </c>
      <c r="M3019" s="5">
        <f t="shared" si="774"/>
        <v>2024</v>
      </c>
      <c r="N3019" s="12">
        <v>120</v>
      </c>
      <c r="O3019" s="6">
        <f t="shared" si="775"/>
        <v>-120</v>
      </c>
      <c r="P3019" s="6">
        <f t="shared" si="762"/>
        <v>0</v>
      </c>
      <c r="Q3019" s="7">
        <v>4928414.8500000006</v>
      </c>
      <c r="R3019" s="44" t="str">
        <f>VLOOKUP(F3019,'Set up'!$A$2:$E$70,5,FALSE)</f>
        <v>Chq</v>
      </c>
      <c r="S3019" s="1" t="s">
        <v>2987</v>
      </c>
    </row>
    <row r="3020" spans="1:21" ht="15" customHeight="1" x14ac:dyDescent="0.35">
      <c r="A3020" s="4">
        <v>45477</v>
      </c>
      <c r="B3020" s="5">
        <f t="shared" si="770"/>
        <v>7</v>
      </c>
      <c r="C3020" s="5">
        <f t="shared" si="771"/>
        <v>2024</v>
      </c>
      <c r="D3020" s="5" t="s">
        <v>2753</v>
      </c>
      <c r="E3020" s="5" t="str">
        <f>VLOOKUP(F3020,'Set up'!$A$2:$C$70,2,FALSE)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up'!$A$2:$C$70,3,FALSE)</f>
        <v>Cash</v>
      </c>
      <c r="J3020" s="5">
        <f>VLOOKUP(F3020,'Set up'!$A$2:$D$70,4,FALSE)</f>
        <v>0</v>
      </c>
      <c r="K3020" s="4">
        <f t="shared" si="772"/>
        <v>45477</v>
      </c>
      <c r="L3020" s="5">
        <f t="shared" si="773"/>
        <v>7</v>
      </c>
      <c r="M3020" s="5">
        <f t="shared" si="774"/>
        <v>2024</v>
      </c>
      <c r="N3020" s="12">
        <v>175</v>
      </c>
      <c r="O3020" s="6">
        <f t="shared" si="775"/>
        <v>-175</v>
      </c>
      <c r="P3020" s="6">
        <f t="shared" si="762"/>
        <v>0</v>
      </c>
      <c r="Q3020" s="7">
        <v>4928589.8500000006</v>
      </c>
      <c r="R3020" s="44" t="str">
        <f>VLOOKUP(F3020,'Set up'!$A$2:$E$70,5,FALSE)</f>
        <v>Chq</v>
      </c>
      <c r="S3020" s="1" t="s">
        <v>2987</v>
      </c>
    </row>
    <row r="3021" spans="1:21" ht="15" customHeight="1" x14ac:dyDescent="0.35">
      <c r="A3021" s="4">
        <v>45477</v>
      </c>
      <c r="B3021" s="5">
        <f t="shared" si="770"/>
        <v>7</v>
      </c>
      <c r="C3021" s="5">
        <f t="shared" si="771"/>
        <v>2024</v>
      </c>
      <c r="D3021" s="5" t="s">
        <v>2753</v>
      </c>
      <c r="E3021" s="5" t="str">
        <f>VLOOKUP(F3021,'Set up'!$A$2:$C$70,2,FALSE)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up'!$A$2:$C$70,3,FALSE)</f>
        <v>Cash</v>
      </c>
      <c r="J3021" s="5">
        <f>VLOOKUP(F3021,'Set up'!$A$2:$D$70,4,FALSE)</f>
        <v>0</v>
      </c>
      <c r="K3021" s="4">
        <f t="shared" si="772"/>
        <v>45477</v>
      </c>
      <c r="L3021" s="5">
        <f t="shared" si="773"/>
        <v>7</v>
      </c>
      <c r="M3021" s="5">
        <f t="shared" si="774"/>
        <v>2024</v>
      </c>
      <c r="N3021" s="12">
        <v>210</v>
      </c>
      <c r="O3021" s="6">
        <f t="shared" si="775"/>
        <v>-210</v>
      </c>
      <c r="P3021" s="6">
        <f t="shared" si="762"/>
        <v>0</v>
      </c>
      <c r="Q3021" s="7">
        <v>4928799.8500000006</v>
      </c>
      <c r="R3021" s="44" t="str">
        <f>VLOOKUP(F3021,'Set up'!$A$2:$E$70,5,FALSE)</f>
        <v>Chq</v>
      </c>
      <c r="S3021" s="1" t="s">
        <v>2987</v>
      </c>
    </row>
    <row r="3022" spans="1:21" ht="15" customHeight="1" x14ac:dyDescent="0.35">
      <c r="A3022" s="4">
        <v>45477</v>
      </c>
      <c r="B3022" s="5">
        <f t="shared" si="770"/>
        <v>7</v>
      </c>
      <c r="C3022" s="5">
        <f t="shared" si="771"/>
        <v>2024</v>
      </c>
      <c r="D3022" s="5" t="s">
        <v>2754</v>
      </c>
      <c r="E3022" s="5" t="str">
        <f>VLOOKUP(F3022,'Set up'!$A$2:$C$70,2,FALSE)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up'!$A$2:$C$70,3,FALSE)</f>
        <v>Cash</v>
      </c>
      <c r="J3022" s="5">
        <f>VLOOKUP(F3022,'Set up'!$A$2:$D$70,4,FALSE)</f>
        <v>0</v>
      </c>
      <c r="K3022" s="4">
        <f t="shared" si="772"/>
        <v>45477</v>
      </c>
      <c r="L3022" s="5">
        <f t="shared" si="773"/>
        <v>7</v>
      </c>
      <c r="M3022" s="5">
        <f t="shared" si="774"/>
        <v>2024</v>
      </c>
      <c r="N3022" s="12">
        <v>1760</v>
      </c>
      <c r="O3022" s="12"/>
      <c r="P3022" s="6">
        <f t="shared" si="762"/>
        <v>1760</v>
      </c>
      <c r="Q3022" s="7">
        <v>4930559.8500000006</v>
      </c>
      <c r="R3022" s="44" t="str">
        <f>VLOOKUP(F3022,'Set up'!$A$2:$E$70,5,FALSE)</f>
        <v>Trsf</v>
      </c>
    </row>
    <row r="3023" spans="1:21" ht="15" customHeight="1" x14ac:dyDescent="0.35">
      <c r="A3023" s="4">
        <v>45477</v>
      </c>
      <c r="B3023" s="5">
        <f t="shared" si="770"/>
        <v>7</v>
      </c>
      <c r="C3023" s="5">
        <f t="shared" si="771"/>
        <v>2024</v>
      </c>
      <c r="D3023" s="5" t="s">
        <v>2754</v>
      </c>
      <c r="E3023" s="5" t="str">
        <f>VLOOKUP(F3023,'Set up'!$A$2:$C$70,2,FALSE)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up'!$A$2:$C$70,3,FALSE)</f>
        <v>Cash</v>
      </c>
      <c r="J3023" s="5">
        <f>VLOOKUP(F3023,'Set up'!$A$2:$D$70,4,FALSE)</f>
        <v>0</v>
      </c>
      <c r="K3023" s="4">
        <f t="shared" si="772"/>
        <v>45477</v>
      </c>
      <c r="L3023" s="5">
        <f t="shared" si="773"/>
        <v>7</v>
      </c>
      <c r="M3023" s="5">
        <f t="shared" si="774"/>
        <v>2024</v>
      </c>
      <c r="N3023" s="12">
        <v>405</v>
      </c>
      <c r="O3023" s="12"/>
      <c r="P3023" s="6">
        <f t="shared" si="762"/>
        <v>405</v>
      </c>
      <c r="Q3023" s="7">
        <v>4930964.8500000006</v>
      </c>
      <c r="R3023" s="44" t="str">
        <f>VLOOKUP(F3023,'Set up'!$A$2:$E$70,5,FALSE)</f>
        <v>Trsf</v>
      </c>
    </row>
    <row r="3024" spans="1:21" ht="15" customHeight="1" x14ac:dyDescent="0.35">
      <c r="A3024" s="4">
        <v>45477</v>
      </c>
      <c r="B3024" s="5">
        <f t="shared" si="770"/>
        <v>7</v>
      </c>
      <c r="C3024" s="5">
        <f t="shared" si="771"/>
        <v>2024</v>
      </c>
      <c r="D3024" s="5" t="s">
        <v>2754</v>
      </c>
      <c r="E3024" s="5" t="str">
        <f>VLOOKUP(F3024,'Set up'!$A$2:$C$70,2,FALSE)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up'!$A$2:$C$70,3,FALSE)</f>
        <v>Cash</v>
      </c>
      <c r="J3024" s="5">
        <f>VLOOKUP(F3024,'Set up'!$A$2:$D$70,4,FALSE)</f>
        <v>0</v>
      </c>
      <c r="K3024" s="4">
        <f t="shared" si="772"/>
        <v>45477</v>
      </c>
      <c r="L3024" s="5">
        <f t="shared" si="773"/>
        <v>7</v>
      </c>
      <c r="M3024" s="5">
        <f t="shared" si="774"/>
        <v>2024</v>
      </c>
      <c r="N3024" s="12">
        <v>125</v>
      </c>
      <c r="O3024" s="12"/>
      <c r="P3024" s="6">
        <f t="shared" si="762"/>
        <v>125</v>
      </c>
      <c r="Q3024" s="7">
        <v>4931089.8500000006</v>
      </c>
      <c r="R3024" s="44" t="str">
        <f>VLOOKUP(F3024,'Set up'!$A$2:$E$70,5,FALSE)</f>
        <v>Trsf</v>
      </c>
    </row>
    <row r="3025" spans="1:19" ht="15" customHeight="1" x14ac:dyDescent="0.35">
      <c r="A3025" s="4">
        <v>45477</v>
      </c>
      <c r="B3025" s="5">
        <f t="shared" si="770"/>
        <v>7</v>
      </c>
      <c r="C3025" s="5">
        <f t="shared" si="771"/>
        <v>2024</v>
      </c>
      <c r="D3025" s="5" t="s">
        <v>2754</v>
      </c>
      <c r="E3025" s="5" t="str">
        <f>VLOOKUP(F3025,'Set up'!$A$2:$C$70,2,FALSE)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up'!$A$2:$C$70,3,FALSE)</f>
        <v>Cash</v>
      </c>
      <c r="J3025" s="5">
        <f>VLOOKUP(F3025,'Set up'!$A$2:$D$70,4,FALSE)</f>
        <v>0</v>
      </c>
      <c r="K3025" s="4">
        <f t="shared" si="772"/>
        <v>45477</v>
      </c>
      <c r="L3025" s="5">
        <f t="shared" si="773"/>
        <v>7</v>
      </c>
      <c r="M3025" s="5">
        <f t="shared" si="774"/>
        <v>2024</v>
      </c>
      <c r="N3025" s="12">
        <v>420</v>
      </c>
      <c r="O3025" s="12"/>
      <c r="P3025" s="6">
        <f t="shared" si="762"/>
        <v>420</v>
      </c>
      <c r="Q3025" s="7">
        <v>4931509.8500000006</v>
      </c>
      <c r="R3025" s="44" t="str">
        <f>VLOOKUP(F3025,'Set up'!$A$2:$E$70,5,FALSE)</f>
        <v>Trsf</v>
      </c>
    </row>
    <row r="3026" spans="1:19" ht="15" customHeight="1" x14ac:dyDescent="0.35">
      <c r="A3026" s="4">
        <v>45477</v>
      </c>
      <c r="B3026" s="5">
        <f t="shared" si="770"/>
        <v>7</v>
      </c>
      <c r="C3026" s="5">
        <f t="shared" si="771"/>
        <v>2024</v>
      </c>
      <c r="D3026" s="5" t="s">
        <v>2754</v>
      </c>
      <c r="E3026" s="5" t="str">
        <f>VLOOKUP(F3026,'Set up'!$A$2:$C$70,2,FALSE)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up'!$A$2:$C$70,3,FALSE)</f>
        <v>Cash</v>
      </c>
      <c r="J3026" s="5">
        <f>VLOOKUP(F3026,'Set up'!$A$2:$D$70,4,FALSE)</f>
        <v>0</v>
      </c>
      <c r="K3026" s="4">
        <f t="shared" si="772"/>
        <v>45477</v>
      </c>
      <c r="L3026" s="5">
        <f t="shared" si="773"/>
        <v>7</v>
      </c>
      <c r="M3026" s="5">
        <f t="shared" si="774"/>
        <v>2024</v>
      </c>
      <c r="N3026" s="12">
        <v>395</v>
      </c>
      <c r="O3026" s="12"/>
      <c r="P3026" s="6">
        <f t="shared" si="762"/>
        <v>395</v>
      </c>
      <c r="Q3026" s="7">
        <v>4931904.8500000006</v>
      </c>
      <c r="R3026" s="44" t="str">
        <f>VLOOKUP(F3026,'Set up'!$A$2:$E$70,5,FALSE)</f>
        <v>Trsf</v>
      </c>
    </row>
    <row r="3027" spans="1:19" ht="15" customHeight="1" x14ac:dyDescent="0.35">
      <c r="A3027" s="4">
        <v>45479</v>
      </c>
      <c r="B3027" s="5">
        <f t="shared" si="770"/>
        <v>7</v>
      </c>
      <c r="C3027" s="5">
        <f t="shared" si="771"/>
        <v>2024</v>
      </c>
      <c r="D3027" s="5" t="s">
        <v>2755</v>
      </c>
      <c r="E3027" s="5" t="str">
        <f>VLOOKUP(F3027,'Set up'!$A$2:$C$70,2,FALSE)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up'!$A$2:$C$70,3,FALSE)</f>
        <v>Cash</v>
      </c>
      <c r="J3027" s="5">
        <f>VLOOKUP(F3027,'Set up'!$A$2:$D$70,4,FALSE)</f>
        <v>0</v>
      </c>
      <c r="K3027" s="4">
        <f t="shared" si="772"/>
        <v>45479</v>
      </c>
      <c r="L3027" s="5">
        <f t="shared" si="773"/>
        <v>7</v>
      </c>
      <c r="M3027" s="5">
        <f t="shared" si="774"/>
        <v>2024</v>
      </c>
      <c r="N3027" s="12">
        <v>1694</v>
      </c>
      <c r="O3027" s="6">
        <f t="shared" ref="O3027:O3028" si="776">-N3027</f>
        <v>-1694</v>
      </c>
      <c r="P3027" s="6">
        <f t="shared" si="762"/>
        <v>0</v>
      </c>
      <c r="Q3027" s="7">
        <v>4933598.8500000006</v>
      </c>
      <c r="R3027" s="44" t="str">
        <f>VLOOKUP(F3027,'Set up'!$A$2:$E$70,5,FALSE)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770"/>
        <v>7</v>
      </c>
      <c r="C3028" s="5">
        <f t="shared" si="771"/>
        <v>2024</v>
      </c>
      <c r="D3028" s="5" t="s">
        <v>2755</v>
      </c>
      <c r="E3028" s="5" t="str">
        <f>VLOOKUP(F3028,'Set up'!$A$2:$C$70,2,FALSE)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up'!$A$2:$C$70,3,FALSE)</f>
        <v>Cash</v>
      </c>
      <c r="J3028" s="5">
        <f>VLOOKUP(F3028,'Set up'!$A$2:$D$70,4,FALSE)</f>
        <v>0</v>
      </c>
      <c r="K3028" s="4">
        <f t="shared" si="772"/>
        <v>45479</v>
      </c>
      <c r="L3028" s="5">
        <f t="shared" si="773"/>
        <v>7</v>
      </c>
      <c r="M3028" s="5">
        <f t="shared" si="774"/>
        <v>2024</v>
      </c>
      <c r="N3028" s="12">
        <v>438</v>
      </c>
      <c r="O3028" s="6">
        <f t="shared" si="776"/>
        <v>-438</v>
      </c>
      <c r="P3028" s="6">
        <f t="shared" si="762"/>
        <v>0</v>
      </c>
      <c r="Q3028" s="7">
        <v>4934036.8500000006</v>
      </c>
      <c r="R3028" s="44" t="str">
        <f>VLOOKUP(F3028,'Set up'!$A$2:$E$70,5,FALSE)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770"/>
        <v>7</v>
      </c>
      <c r="C3029" s="5">
        <f t="shared" si="771"/>
        <v>2024</v>
      </c>
      <c r="D3029" s="5" t="s">
        <v>2756</v>
      </c>
      <c r="E3029" s="5" t="str">
        <f>VLOOKUP(F3029,'Set up'!$A$2:$C$70,2,FALSE)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up'!$A$2:$C$70,3,FALSE)</f>
        <v>Cash</v>
      </c>
      <c r="J3029" s="5">
        <f>VLOOKUP(F3029,'Set up'!$A$2:$D$70,4,FALSE)</f>
        <v>0</v>
      </c>
      <c r="K3029" s="4">
        <f t="shared" si="772"/>
        <v>45479</v>
      </c>
      <c r="L3029" s="5">
        <f t="shared" si="773"/>
        <v>7</v>
      </c>
      <c r="M3029" s="5">
        <f t="shared" si="774"/>
        <v>2024</v>
      </c>
      <c r="N3029" s="12">
        <v>1760</v>
      </c>
      <c r="O3029" s="12">
        <f>-1500-260</f>
        <v>-1760</v>
      </c>
      <c r="P3029" s="6">
        <f t="shared" ref="P3029:P3092" si="777">SUM(N3029+O3029)</f>
        <v>0</v>
      </c>
      <c r="Q3029" s="7">
        <v>4935796.8500000006</v>
      </c>
      <c r="R3029" s="44" t="str">
        <f>VLOOKUP(F3029,'Set up'!$A$2:$E$70,5,FALSE)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770"/>
        <v>7</v>
      </c>
      <c r="C3030" s="5">
        <f t="shared" si="771"/>
        <v>2024</v>
      </c>
      <c r="D3030" s="5" t="s">
        <v>2757</v>
      </c>
      <c r="E3030" s="5" t="str">
        <f>VLOOKUP(F3030,'Set up'!$A$2:$C$70,2,FALSE)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up'!$A$2:$C$70,3,FALSE)</f>
        <v>Cash</v>
      </c>
      <c r="J3030" s="5">
        <f>VLOOKUP(F3030,'Set up'!$A$2:$D$70,4,FALSE)</f>
        <v>0</v>
      </c>
      <c r="K3030" s="4">
        <f t="shared" si="772"/>
        <v>45482</v>
      </c>
      <c r="L3030" s="5">
        <f t="shared" si="773"/>
        <v>7</v>
      </c>
      <c r="M3030" s="5">
        <f t="shared" si="774"/>
        <v>2024</v>
      </c>
      <c r="N3030" s="12">
        <v>937.5</v>
      </c>
      <c r="O3030" s="6">
        <f t="shared" ref="O3030" si="778">-N3030</f>
        <v>-937.5</v>
      </c>
      <c r="P3030" s="6">
        <f t="shared" si="777"/>
        <v>0</v>
      </c>
      <c r="Q3030" s="7">
        <v>4936734.3500000006</v>
      </c>
      <c r="R3030" s="44" t="str">
        <f>VLOOKUP(F3030,'Set up'!$A$2:$E$70,5,FALSE)</f>
        <v>Trsf</v>
      </c>
      <c r="S3030" s="1" t="s">
        <v>3294</v>
      </c>
    </row>
    <row r="3031" spans="1:19" ht="15" customHeight="1" x14ac:dyDescent="0.35">
      <c r="A3031" s="4">
        <v>45482</v>
      </c>
      <c r="B3031" s="5">
        <f t="shared" si="770"/>
        <v>7</v>
      </c>
      <c r="C3031" s="5">
        <f t="shared" si="771"/>
        <v>2024</v>
      </c>
      <c r="D3031" s="5" t="s">
        <v>2758</v>
      </c>
      <c r="E3031" s="5" t="str">
        <f>VLOOKUP(F3031,'Set up'!$A$2:$C$70,2,FALSE)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up'!$A$2:$C$70,3,FALSE)</f>
        <v>Cash</v>
      </c>
      <c r="J3031" s="5">
        <f>VLOOKUP(F3031,'Set up'!$A$2:$D$70,4,FALSE)</f>
        <v>0</v>
      </c>
      <c r="K3031" s="4">
        <f t="shared" si="772"/>
        <v>45482</v>
      </c>
      <c r="L3031" s="5">
        <f t="shared" si="773"/>
        <v>7</v>
      </c>
      <c r="M3031" s="5">
        <f t="shared" si="774"/>
        <v>2024</v>
      </c>
      <c r="N3031" s="12">
        <v>24420</v>
      </c>
      <c r="O3031" s="12">
        <f>-8495.6-15924.4</f>
        <v>-24420</v>
      </c>
      <c r="P3031" s="6">
        <f t="shared" si="777"/>
        <v>0</v>
      </c>
      <c r="Q3031" s="7">
        <v>4961154.3500000006</v>
      </c>
      <c r="R3031" s="44" t="str">
        <f>VLOOKUP(F3031,'Set up'!$A$2:$E$70,5,FALSE)</f>
        <v>Trsf</v>
      </c>
      <c r="S3031" s="1" t="s">
        <v>3295</v>
      </c>
    </row>
    <row r="3032" spans="1:19" ht="15" customHeight="1" x14ac:dyDescent="0.35">
      <c r="A3032" s="4">
        <v>45482</v>
      </c>
      <c r="B3032" s="5">
        <f t="shared" si="770"/>
        <v>7</v>
      </c>
      <c r="C3032" s="5">
        <f t="shared" si="771"/>
        <v>2024</v>
      </c>
      <c r="D3032" s="5" t="s">
        <v>2758</v>
      </c>
      <c r="E3032" s="5" t="str">
        <f>VLOOKUP(F3032,'Set up'!$A$2:$C$70,2,FALSE)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up'!$A$2:$C$70,3,FALSE)</f>
        <v>Cash</v>
      </c>
      <c r="J3032" s="5">
        <f>VLOOKUP(F3032,'Set up'!$A$2:$D$70,4,FALSE)</f>
        <v>0</v>
      </c>
      <c r="K3032" s="4">
        <f t="shared" si="772"/>
        <v>45482</v>
      </c>
      <c r="L3032" s="5">
        <f t="shared" si="773"/>
        <v>7</v>
      </c>
      <c r="M3032" s="5">
        <f t="shared" si="774"/>
        <v>2024</v>
      </c>
      <c r="N3032" s="12">
        <v>9028</v>
      </c>
      <c r="O3032" s="12">
        <f>-4075.6-4952.4</f>
        <v>-9028</v>
      </c>
      <c r="P3032" s="6">
        <f t="shared" si="777"/>
        <v>0</v>
      </c>
      <c r="Q3032" s="7">
        <v>4970182.3500000006</v>
      </c>
      <c r="R3032" s="44" t="str">
        <f>VLOOKUP(F3032,'Set up'!$A$2:$E$70,5,FALSE)</f>
        <v>Trsf</v>
      </c>
      <c r="S3032" s="1" t="s">
        <v>3296</v>
      </c>
    </row>
    <row r="3033" spans="1:19" ht="15" customHeight="1" x14ac:dyDescent="0.35">
      <c r="A3033" s="4">
        <v>45482</v>
      </c>
      <c r="B3033" s="5">
        <f t="shared" si="770"/>
        <v>7</v>
      </c>
      <c r="C3033" s="5">
        <f t="shared" si="771"/>
        <v>2024</v>
      </c>
      <c r="D3033" s="5" t="s">
        <v>2758</v>
      </c>
      <c r="E3033" s="5" t="str">
        <f>VLOOKUP(F3033,'Set up'!$A$2:$C$70,2,FALSE)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up'!$A$2:$C$70,3,FALSE)</f>
        <v>Cash</v>
      </c>
      <c r="J3033" s="5">
        <f>VLOOKUP(F3033,'Set up'!$A$2:$D$70,4,FALSE)</f>
        <v>0</v>
      </c>
      <c r="K3033" s="4">
        <f t="shared" si="772"/>
        <v>45482</v>
      </c>
      <c r="L3033" s="5">
        <f t="shared" si="773"/>
        <v>7</v>
      </c>
      <c r="M3033" s="5">
        <f t="shared" si="774"/>
        <v>2024</v>
      </c>
      <c r="N3033" s="12">
        <v>2640</v>
      </c>
      <c r="O3033" s="6">
        <f t="shared" ref="O3033:O3038" si="779">-N3033</f>
        <v>-2640</v>
      </c>
      <c r="P3033" s="6">
        <f t="shared" si="777"/>
        <v>0</v>
      </c>
      <c r="Q3033" s="7">
        <v>4972822.3500000006</v>
      </c>
      <c r="R3033" s="44" t="str">
        <f>VLOOKUP(F3033,'Set up'!$A$2:$E$70,5,FALSE)</f>
        <v>Trsf</v>
      </c>
      <c r="S3033" s="1" t="s">
        <v>3297</v>
      </c>
    </row>
    <row r="3034" spans="1:19" ht="15" customHeight="1" x14ac:dyDescent="0.35">
      <c r="A3034" s="4">
        <v>45482</v>
      </c>
      <c r="B3034" s="5">
        <f t="shared" si="770"/>
        <v>7</v>
      </c>
      <c r="C3034" s="5">
        <f t="shared" si="771"/>
        <v>2024</v>
      </c>
      <c r="D3034" s="5" t="s">
        <v>2758</v>
      </c>
      <c r="E3034" s="5" t="str">
        <f>VLOOKUP(F3034,'Set up'!$A$2:$C$70,2,FALSE)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up'!$A$2:$C$70,3,FALSE)</f>
        <v>Cash</v>
      </c>
      <c r="J3034" s="5">
        <f>VLOOKUP(F3034,'Set up'!$A$2:$D$70,4,FALSE)</f>
        <v>0</v>
      </c>
      <c r="K3034" s="4">
        <f t="shared" si="772"/>
        <v>45482</v>
      </c>
      <c r="L3034" s="5">
        <f t="shared" si="773"/>
        <v>7</v>
      </c>
      <c r="M3034" s="5">
        <f t="shared" si="774"/>
        <v>2024</v>
      </c>
      <c r="N3034" s="12">
        <v>3600</v>
      </c>
      <c r="O3034" s="6">
        <f t="shared" si="779"/>
        <v>-3600</v>
      </c>
      <c r="P3034" s="6">
        <f t="shared" si="777"/>
        <v>0</v>
      </c>
      <c r="Q3034" s="7">
        <v>4976422.3500000006</v>
      </c>
      <c r="R3034" s="44" t="str">
        <f>VLOOKUP(F3034,'Set up'!$A$2:$E$70,5,FALSE)</f>
        <v>Trsf</v>
      </c>
      <c r="S3034" s="1" t="s">
        <v>3298</v>
      </c>
    </row>
    <row r="3035" spans="1:19" ht="15" customHeight="1" x14ac:dyDescent="0.35">
      <c r="A3035" s="4">
        <v>45482</v>
      </c>
      <c r="B3035" s="5">
        <f t="shared" si="770"/>
        <v>7</v>
      </c>
      <c r="C3035" s="5">
        <f t="shared" si="771"/>
        <v>2024</v>
      </c>
      <c r="D3035" s="5" t="s">
        <v>2758</v>
      </c>
      <c r="E3035" s="5" t="str">
        <f>VLOOKUP(F3035,'Set up'!$A$2:$C$70,2,FALSE)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up'!$A$2:$C$70,3,FALSE)</f>
        <v>Cash</v>
      </c>
      <c r="J3035" s="5">
        <f>VLOOKUP(F3035,'Set up'!$A$2:$D$70,4,FALSE)</f>
        <v>0</v>
      </c>
      <c r="K3035" s="4">
        <f t="shared" si="772"/>
        <v>45482</v>
      </c>
      <c r="L3035" s="5">
        <f t="shared" si="773"/>
        <v>7</v>
      </c>
      <c r="M3035" s="5">
        <f t="shared" si="774"/>
        <v>2024</v>
      </c>
      <c r="N3035" s="12">
        <v>380</v>
      </c>
      <c r="O3035" s="6">
        <f t="shared" si="779"/>
        <v>-380</v>
      </c>
      <c r="P3035" s="6">
        <f t="shared" si="777"/>
        <v>0</v>
      </c>
      <c r="Q3035" s="7">
        <v>4976802.3500000006</v>
      </c>
      <c r="R3035" s="44" t="str">
        <f>VLOOKUP(F3035,'Set up'!$A$2:$E$70,5,FALSE)</f>
        <v>Trsf</v>
      </c>
      <c r="S3035" s="1" t="s">
        <v>3299</v>
      </c>
    </row>
    <row r="3036" spans="1:19" ht="15" customHeight="1" x14ac:dyDescent="0.35">
      <c r="A3036" s="4">
        <v>45482</v>
      </c>
      <c r="B3036" s="5">
        <f t="shared" si="770"/>
        <v>7</v>
      </c>
      <c r="C3036" s="5">
        <f t="shared" si="771"/>
        <v>2024</v>
      </c>
      <c r="D3036" s="5" t="s">
        <v>2758</v>
      </c>
      <c r="E3036" s="5" t="str">
        <f>VLOOKUP(F3036,'Set up'!$A$2:$C$70,2,FALSE)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up'!$A$2:$C$70,3,FALSE)</f>
        <v>Cash</v>
      </c>
      <c r="J3036" s="5">
        <f>VLOOKUP(F3036,'Set up'!$A$2:$D$70,4,FALSE)</f>
        <v>0</v>
      </c>
      <c r="K3036" s="4">
        <f t="shared" si="772"/>
        <v>45482</v>
      </c>
      <c r="L3036" s="5">
        <f t="shared" si="773"/>
        <v>7</v>
      </c>
      <c r="M3036" s="5">
        <f t="shared" si="774"/>
        <v>2024</v>
      </c>
      <c r="N3036" s="12">
        <v>1000</v>
      </c>
      <c r="O3036" s="6">
        <f t="shared" si="779"/>
        <v>-1000</v>
      </c>
      <c r="P3036" s="6">
        <f t="shared" si="777"/>
        <v>0</v>
      </c>
      <c r="Q3036" s="7">
        <v>4977802.3500000006</v>
      </c>
      <c r="R3036" s="44" t="str">
        <f>VLOOKUP(F3036,'Set up'!$A$2:$E$70,5,FALSE)</f>
        <v>Trsf</v>
      </c>
      <c r="S3036" s="1" t="s">
        <v>3300</v>
      </c>
    </row>
    <row r="3037" spans="1:19" ht="15" customHeight="1" x14ac:dyDescent="0.35">
      <c r="A3037" s="4">
        <v>45485</v>
      </c>
      <c r="B3037" s="5">
        <f t="shared" si="770"/>
        <v>7</v>
      </c>
      <c r="C3037" s="5">
        <f t="shared" si="771"/>
        <v>2024</v>
      </c>
      <c r="D3037" s="5" t="s">
        <v>2759</v>
      </c>
      <c r="E3037" s="5" t="str">
        <f>VLOOKUP(F3037,'Set up'!$A$2:$C$70,2,FALSE)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up'!$A$2:$C$70,3,FALSE)</f>
        <v>60</v>
      </c>
      <c r="J3037" s="5">
        <f>VLOOKUP(F3037,'Set up'!$A$2:$D$70,4,FALSE)</f>
        <v>60</v>
      </c>
      <c r="K3037" s="4">
        <f t="shared" si="772"/>
        <v>45545</v>
      </c>
      <c r="L3037" s="5">
        <f t="shared" si="773"/>
        <v>9</v>
      </c>
      <c r="M3037" s="5">
        <f t="shared" si="774"/>
        <v>2024</v>
      </c>
      <c r="N3037" s="12">
        <v>658.8</v>
      </c>
      <c r="O3037" s="6">
        <f t="shared" si="779"/>
        <v>-658.8</v>
      </c>
      <c r="P3037" s="6">
        <f t="shared" si="777"/>
        <v>0</v>
      </c>
      <c r="Q3037" s="7">
        <v>4978461.1500000004</v>
      </c>
      <c r="R3037" s="44" t="str">
        <f>VLOOKUP(F3037,'Set up'!$A$2:$E$70,5,FALSE)</f>
        <v>Chq</v>
      </c>
      <c r="S3037" s="1" t="s">
        <v>3432</v>
      </c>
    </row>
    <row r="3038" spans="1:19" ht="15" customHeight="1" x14ac:dyDescent="0.35">
      <c r="A3038" s="4">
        <v>45485</v>
      </c>
      <c r="B3038" s="5">
        <f t="shared" si="770"/>
        <v>7</v>
      </c>
      <c r="C3038" s="5">
        <f t="shared" si="771"/>
        <v>2024</v>
      </c>
      <c r="D3038" s="5" t="s">
        <v>2759</v>
      </c>
      <c r="E3038" s="5" t="str">
        <f>VLOOKUP(F3038,'Set up'!$A$2:$C$70,2,FALSE)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up'!$A$2:$C$70,3,FALSE)</f>
        <v>60</v>
      </c>
      <c r="J3038" s="5">
        <f>VLOOKUP(F3038,'Set up'!$A$2:$D$70,4,FALSE)</f>
        <v>60</v>
      </c>
      <c r="K3038" s="4">
        <f t="shared" si="772"/>
        <v>45545</v>
      </c>
      <c r="L3038" s="5">
        <f t="shared" si="773"/>
        <v>9</v>
      </c>
      <c r="M3038" s="5">
        <f t="shared" si="774"/>
        <v>2024</v>
      </c>
      <c r="N3038" s="12">
        <v>160</v>
      </c>
      <c r="O3038" s="6">
        <f t="shared" si="779"/>
        <v>-160</v>
      </c>
      <c r="P3038" s="6">
        <f t="shared" si="777"/>
        <v>0</v>
      </c>
      <c r="Q3038" s="7">
        <v>4978621.1500000004</v>
      </c>
      <c r="R3038" s="44" t="str">
        <f>VLOOKUP(F3038,'Set up'!$A$2:$E$70,5,FALSE)</f>
        <v>Chq</v>
      </c>
      <c r="S3038" s="1" t="s">
        <v>3432</v>
      </c>
    </row>
    <row r="3039" spans="1:19" ht="15" customHeight="1" x14ac:dyDescent="0.35">
      <c r="A3039" s="4">
        <v>45485</v>
      </c>
      <c r="B3039" s="5">
        <f t="shared" si="770"/>
        <v>7</v>
      </c>
      <c r="C3039" s="5">
        <f t="shared" si="771"/>
        <v>2024</v>
      </c>
      <c r="D3039" s="5" t="s">
        <v>2760</v>
      </c>
      <c r="E3039" s="5" t="str">
        <f>VLOOKUP(F3039,'Set up'!$A$2:$C$70,2,FALSE)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up'!$A$2:$C$70,3,FALSE)</f>
        <v>Cash</v>
      </c>
      <c r="J3039" s="5">
        <f>VLOOKUP(F3039,'Set up'!$A$2:$D$70,4,FALSE)</f>
        <v>0</v>
      </c>
      <c r="K3039" s="4">
        <f t="shared" si="772"/>
        <v>45485</v>
      </c>
      <c r="L3039" s="5">
        <f t="shared" si="773"/>
        <v>7</v>
      </c>
      <c r="M3039" s="5">
        <f t="shared" si="774"/>
        <v>2024</v>
      </c>
      <c r="N3039" s="12">
        <v>1760</v>
      </c>
      <c r="O3039" s="6">
        <f t="shared" ref="O3039:O3042" si="780">-N3039</f>
        <v>-1760</v>
      </c>
      <c r="P3039" s="6">
        <f t="shared" si="777"/>
        <v>0</v>
      </c>
      <c r="Q3039" s="7">
        <v>4980381.1500000004</v>
      </c>
      <c r="R3039" s="44" t="str">
        <f>VLOOKUP(F3039,'Set up'!$A$2:$E$70,5,FALSE)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770"/>
        <v>7</v>
      </c>
      <c r="C3040" s="5">
        <f t="shared" si="771"/>
        <v>2024</v>
      </c>
      <c r="D3040" s="5" t="s">
        <v>2760</v>
      </c>
      <c r="E3040" s="5" t="str">
        <f>VLOOKUP(F3040,'Set up'!$A$2:$C$70,2,FALSE)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up'!$A$2:$C$70,3,FALSE)</f>
        <v>Cash</v>
      </c>
      <c r="J3040" s="5">
        <f>VLOOKUP(F3040,'Set up'!$A$2:$D$70,4,FALSE)</f>
        <v>0</v>
      </c>
      <c r="K3040" s="4">
        <f t="shared" si="772"/>
        <v>45485</v>
      </c>
      <c r="L3040" s="5">
        <f t="shared" si="773"/>
        <v>7</v>
      </c>
      <c r="M3040" s="5">
        <f t="shared" si="774"/>
        <v>2024</v>
      </c>
      <c r="N3040" s="12">
        <v>555</v>
      </c>
      <c r="O3040" s="6">
        <f t="shared" si="780"/>
        <v>-555</v>
      </c>
      <c r="P3040" s="6">
        <f t="shared" si="777"/>
        <v>0</v>
      </c>
      <c r="Q3040" s="7">
        <v>4980936.1500000004</v>
      </c>
      <c r="R3040" s="44" t="str">
        <f>VLOOKUP(F3040,'Set up'!$A$2:$E$70,5,FALSE)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770"/>
        <v>7</v>
      </c>
      <c r="C3041" s="5">
        <f t="shared" si="771"/>
        <v>2024</v>
      </c>
      <c r="D3041" s="5" t="s">
        <v>2760</v>
      </c>
      <c r="E3041" s="5" t="str">
        <f>VLOOKUP(F3041,'Set up'!$A$2:$C$70,2,FALSE)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up'!$A$2:$C$70,3,FALSE)</f>
        <v>Cash</v>
      </c>
      <c r="J3041" s="5">
        <f>VLOOKUP(F3041,'Set up'!$A$2:$D$70,4,FALSE)</f>
        <v>0</v>
      </c>
      <c r="K3041" s="4">
        <f t="shared" si="772"/>
        <v>45485</v>
      </c>
      <c r="L3041" s="5">
        <f t="shared" si="773"/>
        <v>7</v>
      </c>
      <c r="M3041" s="5">
        <f t="shared" si="774"/>
        <v>2024</v>
      </c>
      <c r="N3041" s="12">
        <v>95</v>
      </c>
      <c r="O3041" s="6">
        <f t="shared" si="780"/>
        <v>-95</v>
      </c>
      <c r="P3041" s="6">
        <f t="shared" si="777"/>
        <v>0</v>
      </c>
      <c r="Q3041" s="7">
        <v>4981031.1500000004</v>
      </c>
      <c r="R3041" s="44" t="str">
        <f>VLOOKUP(F3041,'Set up'!$A$2:$E$70,5,FALSE)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770"/>
        <v>7</v>
      </c>
      <c r="C3042" s="5">
        <f t="shared" si="771"/>
        <v>2024</v>
      </c>
      <c r="D3042" s="5" t="s">
        <v>2760</v>
      </c>
      <c r="E3042" s="5" t="str">
        <f>VLOOKUP(F3042,'Set up'!$A$2:$C$70,2,FALSE)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up'!$A$2:$C$70,3,FALSE)</f>
        <v>Cash</v>
      </c>
      <c r="J3042" s="5">
        <f>VLOOKUP(F3042,'Set up'!$A$2:$D$70,4,FALSE)</f>
        <v>0</v>
      </c>
      <c r="K3042" s="4">
        <f t="shared" si="772"/>
        <v>45485</v>
      </c>
      <c r="L3042" s="5">
        <f t="shared" si="773"/>
        <v>7</v>
      </c>
      <c r="M3042" s="5">
        <f t="shared" si="774"/>
        <v>2024</v>
      </c>
      <c r="N3042" s="12">
        <v>312.5</v>
      </c>
      <c r="O3042" s="6">
        <f t="shared" si="780"/>
        <v>-312.5</v>
      </c>
      <c r="P3042" s="6">
        <f t="shared" si="777"/>
        <v>0</v>
      </c>
      <c r="Q3042" s="7">
        <v>4981343.6500000004</v>
      </c>
      <c r="R3042" s="44" t="str">
        <f>VLOOKUP(F3042,'Set up'!$A$2:$E$70,5,FALSE)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770"/>
        <v>7</v>
      </c>
      <c r="C3043" s="5">
        <f t="shared" si="771"/>
        <v>2024</v>
      </c>
      <c r="D3043" s="5" t="s">
        <v>2761</v>
      </c>
      <c r="E3043" s="5" t="str">
        <f>VLOOKUP(F3043,'Set up'!$A$2:$C$70,2,FALSE)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up'!$A$2:$C$70,3,FALSE)</f>
        <v>Cash</v>
      </c>
      <c r="J3043" s="5">
        <f>VLOOKUP(F3043,'Set up'!$A$2:$D$70,4,FALSE)</f>
        <v>0</v>
      </c>
      <c r="K3043" s="4">
        <f t="shared" si="772"/>
        <v>45489</v>
      </c>
      <c r="L3043" s="5">
        <f t="shared" si="773"/>
        <v>7</v>
      </c>
      <c r="M3043" s="5">
        <f t="shared" si="774"/>
        <v>2024</v>
      </c>
      <c r="N3043" s="12">
        <v>625</v>
      </c>
      <c r="O3043" s="6">
        <f t="shared" ref="O3043" si="781">-N3043</f>
        <v>-625</v>
      </c>
      <c r="P3043" s="6">
        <f t="shared" si="777"/>
        <v>0</v>
      </c>
      <c r="Q3043" s="7">
        <v>4981968.6500000004</v>
      </c>
      <c r="R3043" s="44" t="str">
        <f>VLOOKUP(F3043,'Set up'!$A$2:$E$70,5,FALSE)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770"/>
        <v>7</v>
      </c>
      <c r="C3044" s="5">
        <f t="shared" si="771"/>
        <v>2024</v>
      </c>
      <c r="D3044" s="5" t="s">
        <v>2762</v>
      </c>
      <c r="E3044" s="5" t="str">
        <f>VLOOKUP(F3044,'Set up'!$A$2:$C$70,2,FALSE)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up'!$A$2:$C$70,3,FALSE)</f>
        <v>Cash</v>
      </c>
      <c r="J3044" s="5">
        <f>VLOOKUP(F3044,'Set up'!$A$2:$D$70,4,FALSE)</f>
        <v>0</v>
      </c>
      <c r="K3044" s="4">
        <f t="shared" si="772"/>
        <v>45490</v>
      </c>
      <c r="L3044" s="5">
        <f t="shared" si="773"/>
        <v>7</v>
      </c>
      <c r="M3044" s="5">
        <f t="shared" si="774"/>
        <v>2024</v>
      </c>
      <c r="N3044" s="12">
        <v>1760</v>
      </c>
      <c r="O3044" s="12"/>
      <c r="P3044" s="6">
        <f t="shared" si="777"/>
        <v>1760</v>
      </c>
      <c r="Q3044" s="7">
        <v>4983728.6500000004</v>
      </c>
      <c r="R3044" s="44" t="str">
        <f>VLOOKUP(F3044,'Set up'!$A$2:$E$70,5,FALSE)</f>
        <v>Trsf</v>
      </c>
    </row>
    <row r="3045" spans="1:19" ht="15" customHeight="1" x14ac:dyDescent="0.35">
      <c r="A3045" s="4">
        <v>45490</v>
      </c>
      <c r="B3045" s="5">
        <f t="shared" si="770"/>
        <v>7</v>
      </c>
      <c r="C3045" s="5">
        <f t="shared" si="771"/>
        <v>2024</v>
      </c>
      <c r="D3045" s="5" t="s">
        <v>2762</v>
      </c>
      <c r="E3045" s="5" t="str">
        <f>VLOOKUP(F3045,'Set up'!$A$2:$C$70,2,FALSE)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up'!$A$2:$C$70,3,FALSE)</f>
        <v>Cash</v>
      </c>
      <c r="J3045" s="5">
        <f>VLOOKUP(F3045,'Set up'!$A$2:$D$70,4,FALSE)</f>
        <v>0</v>
      </c>
      <c r="K3045" s="4">
        <f t="shared" si="772"/>
        <v>45490</v>
      </c>
      <c r="L3045" s="5">
        <f t="shared" si="773"/>
        <v>7</v>
      </c>
      <c r="M3045" s="5">
        <f t="shared" si="774"/>
        <v>2024</v>
      </c>
      <c r="N3045" s="12">
        <v>405</v>
      </c>
      <c r="O3045" s="12"/>
      <c r="P3045" s="6">
        <f t="shared" si="777"/>
        <v>405</v>
      </c>
      <c r="Q3045" s="7">
        <v>4984133.6500000004</v>
      </c>
      <c r="R3045" s="44" t="str">
        <f>VLOOKUP(F3045,'Set up'!$A$2:$E$70,5,FALSE)</f>
        <v>Trsf</v>
      </c>
    </row>
    <row r="3046" spans="1:19" ht="15" customHeight="1" x14ac:dyDescent="0.35">
      <c r="A3046" s="4">
        <v>45491</v>
      </c>
      <c r="B3046" s="5">
        <f t="shared" si="770"/>
        <v>7</v>
      </c>
      <c r="C3046" s="5">
        <f t="shared" si="771"/>
        <v>2024</v>
      </c>
      <c r="D3046" s="5" t="s">
        <v>2763</v>
      </c>
      <c r="E3046" s="5" t="str">
        <f>VLOOKUP(F3046,'Set up'!$A$2:$C$70,2,FALSE)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up'!$A$2:$C$70,3,FALSE)</f>
        <v>120</v>
      </c>
      <c r="J3046" s="5">
        <f>VLOOKUP(F3046,'Set up'!$A$2:$D$70,4,FALSE)</f>
        <v>120</v>
      </c>
      <c r="K3046" s="4">
        <f t="shared" si="772"/>
        <v>45611</v>
      </c>
      <c r="L3046" s="5">
        <f t="shared" si="773"/>
        <v>11</v>
      </c>
      <c r="M3046" s="5">
        <f t="shared" si="774"/>
        <v>2024</v>
      </c>
      <c r="N3046" s="12">
        <v>13024</v>
      </c>
      <c r="O3046" s="6">
        <f t="shared" ref="O3046:O3053" si="782">-N3046</f>
        <v>-13024</v>
      </c>
      <c r="P3046" s="6">
        <f t="shared" si="777"/>
        <v>0</v>
      </c>
      <c r="Q3046" s="7">
        <v>4997157.6500000004</v>
      </c>
      <c r="R3046" s="44" t="str">
        <f>VLOOKUP(F3046,'Set up'!$A$2:$E$70,5,FALSE)</f>
        <v>Trsf</v>
      </c>
      <c r="S3046" s="1" t="s">
        <v>3288</v>
      </c>
    </row>
    <row r="3047" spans="1:19" ht="15" customHeight="1" x14ac:dyDescent="0.35">
      <c r="A3047" s="4">
        <v>45491</v>
      </c>
      <c r="B3047" s="5">
        <f t="shared" si="770"/>
        <v>7</v>
      </c>
      <c r="C3047" s="5">
        <f t="shared" si="771"/>
        <v>2024</v>
      </c>
      <c r="D3047" s="5" t="s">
        <v>2763</v>
      </c>
      <c r="E3047" s="5" t="str">
        <f>VLOOKUP(F3047,'Set up'!$A$2:$C$70,2,FALSE)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up'!$A$2:$C$70,3,FALSE)</f>
        <v>120</v>
      </c>
      <c r="J3047" s="5">
        <f>VLOOKUP(F3047,'Set up'!$A$2:$D$70,4,FALSE)</f>
        <v>120</v>
      </c>
      <c r="K3047" s="4">
        <f t="shared" si="772"/>
        <v>45611</v>
      </c>
      <c r="L3047" s="5">
        <f t="shared" si="773"/>
        <v>11</v>
      </c>
      <c r="M3047" s="5">
        <f t="shared" si="774"/>
        <v>2024</v>
      </c>
      <c r="N3047" s="12">
        <v>900</v>
      </c>
      <c r="O3047" s="6">
        <f t="shared" si="782"/>
        <v>-900</v>
      </c>
      <c r="P3047" s="6">
        <f t="shared" si="777"/>
        <v>0</v>
      </c>
      <c r="Q3047" s="7">
        <v>4998057.6500000004</v>
      </c>
      <c r="R3047" s="44" t="str">
        <f>VLOOKUP(F3047,'Set up'!$A$2:$E$70,5,FALSE)</f>
        <v>Trsf</v>
      </c>
      <c r="S3047" s="1" t="s">
        <v>3288</v>
      </c>
    </row>
    <row r="3048" spans="1:19" ht="15" customHeight="1" x14ac:dyDescent="0.35">
      <c r="A3048" s="4">
        <v>45491</v>
      </c>
      <c r="B3048" s="5">
        <f t="shared" si="770"/>
        <v>7</v>
      </c>
      <c r="C3048" s="5">
        <f t="shared" si="771"/>
        <v>2024</v>
      </c>
      <c r="D3048" s="5" t="s">
        <v>2763</v>
      </c>
      <c r="E3048" s="5" t="str">
        <f>VLOOKUP(F3048,'Set up'!$A$2:$C$70,2,FALSE)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up'!$A$2:$C$70,3,FALSE)</f>
        <v>120</v>
      </c>
      <c r="J3048" s="5">
        <f>VLOOKUP(F3048,'Set up'!$A$2:$D$70,4,FALSE)</f>
        <v>120</v>
      </c>
      <c r="K3048" s="4">
        <f t="shared" si="772"/>
        <v>45611</v>
      </c>
      <c r="L3048" s="5">
        <f t="shared" si="773"/>
        <v>11</v>
      </c>
      <c r="M3048" s="5">
        <f t="shared" si="774"/>
        <v>2024</v>
      </c>
      <c r="N3048" s="12">
        <v>287.5</v>
      </c>
      <c r="O3048" s="6">
        <f t="shared" si="782"/>
        <v>-287.5</v>
      </c>
      <c r="P3048" s="6">
        <f t="shared" si="777"/>
        <v>0</v>
      </c>
      <c r="Q3048" s="7">
        <v>4998345.1500000004</v>
      </c>
      <c r="R3048" s="44" t="str">
        <f>VLOOKUP(F3048,'Set up'!$A$2:$E$70,5,FALSE)</f>
        <v>Trsf</v>
      </c>
      <c r="S3048" s="1" t="s">
        <v>3288</v>
      </c>
    </row>
    <row r="3049" spans="1:19" ht="15" customHeight="1" x14ac:dyDescent="0.35">
      <c r="A3049" s="4">
        <v>45491</v>
      </c>
      <c r="B3049" s="5">
        <f t="shared" si="770"/>
        <v>7</v>
      </c>
      <c r="C3049" s="5">
        <f t="shared" si="771"/>
        <v>2024</v>
      </c>
      <c r="D3049" s="5" t="s">
        <v>2763</v>
      </c>
      <c r="E3049" s="5" t="str">
        <f>VLOOKUP(F3049,'Set up'!$A$2:$C$70,2,FALSE)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up'!$A$2:$C$70,3,FALSE)</f>
        <v>120</v>
      </c>
      <c r="J3049" s="5">
        <f>VLOOKUP(F3049,'Set up'!$A$2:$D$70,4,FALSE)</f>
        <v>120</v>
      </c>
      <c r="K3049" s="4">
        <f t="shared" si="772"/>
        <v>45611</v>
      </c>
      <c r="L3049" s="5">
        <f t="shared" si="773"/>
        <v>11</v>
      </c>
      <c r="M3049" s="5">
        <f t="shared" si="774"/>
        <v>2024</v>
      </c>
      <c r="N3049" s="12">
        <v>440</v>
      </c>
      <c r="O3049" s="6">
        <f t="shared" si="782"/>
        <v>-440</v>
      </c>
      <c r="P3049" s="6">
        <f t="shared" si="777"/>
        <v>0</v>
      </c>
      <c r="Q3049" s="7">
        <v>4998785.1500000004</v>
      </c>
      <c r="R3049" s="44" t="str">
        <f>VLOOKUP(F3049,'Set up'!$A$2:$E$70,5,FALSE)</f>
        <v>Trsf</v>
      </c>
      <c r="S3049" s="1" t="s">
        <v>3288</v>
      </c>
    </row>
    <row r="3050" spans="1:19" ht="15" customHeight="1" x14ac:dyDescent="0.35">
      <c r="A3050" s="4">
        <v>45491</v>
      </c>
      <c r="B3050" s="5">
        <f t="shared" si="770"/>
        <v>7</v>
      </c>
      <c r="C3050" s="5">
        <f t="shared" si="771"/>
        <v>2024</v>
      </c>
      <c r="D3050" s="5" t="s">
        <v>2763</v>
      </c>
      <c r="E3050" s="5" t="str">
        <f>VLOOKUP(F3050,'Set up'!$A$2:$C$70,2,FALSE)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up'!$A$2:$C$70,3,FALSE)</f>
        <v>120</v>
      </c>
      <c r="J3050" s="5">
        <f>VLOOKUP(F3050,'Set up'!$A$2:$D$70,4,FALSE)</f>
        <v>120</v>
      </c>
      <c r="K3050" s="4">
        <f t="shared" si="772"/>
        <v>45611</v>
      </c>
      <c r="L3050" s="5">
        <f t="shared" si="773"/>
        <v>11</v>
      </c>
      <c r="M3050" s="5">
        <f t="shared" si="774"/>
        <v>2024</v>
      </c>
      <c r="N3050" s="12">
        <v>696</v>
      </c>
      <c r="O3050" s="6">
        <f t="shared" si="782"/>
        <v>-696</v>
      </c>
      <c r="P3050" s="6">
        <f t="shared" si="777"/>
        <v>0</v>
      </c>
      <c r="Q3050" s="7">
        <v>4999481.1500000004</v>
      </c>
      <c r="R3050" s="44" t="str">
        <f>VLOOKUP(F3050,'Set up'!$A$2:$E$70,5,FALSE)</f>
        <v>Trsf</v>
      </c>
      <c r="S3050" s="1" t="s">
        <v>3288</v>
      </c>
    </row>
    <row r="3051" spans="1:19" ht="15" customHeight="1" x14ac:dyDescent="0.35">
      <c r="A3051" s="4">
        <v>45491</v>
      </c>
      <c r="B3051" s="5">
        <f t="shared" si="770"/>
        <v>7</v>
      </c>
      <c r="C3051" s="5">
        <f t="shared" si="771"/>
        <v>2024</v>
      </c>
      <c r="D3051" s="5" t="s">
        <v>2764</v>
      </c>
      <c r="E3051" s="5" t="str">
        <f>VLOOKUP(F3051,'Set up'!$A$2:$C$70,2,FALSE)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up'!$A$2:$C$70,3,FALSE)</f>
        <v>120</v>
      </c>
      <c r="J3051" s="5">
        <f>VLOOKUP(F3051,'Set up'!$A$2:$D$70,4,FALSE)</f>
        <v>120</v>
      </c>
      <c r="K3051" s="4">
        <f t="shared" si="772"/>
        <v>45611</v>
      </c>
      <c r="L3051" s="5">
        <f t="shared" si="773"/>
        <v>11</v>
      </c>
      <c r="M3051" s="5">
        <f t="shared" si="774"/>
        <v>2024</v>
      </c>
      <c r="N3051" s="12">
        <v>1440</v>
      </c>
      <c r="O3051" s="6">
        <f t="shared" si="782"/>
        <v>-1440</v>
      </c>
      <c r="P3051" s="6">
        <f t="shared" si="777"/>
        <v>0</v>
      </c>
      <c r="Q3051" s="7">
        <v>5000921.1500000004</v>
      </c>
      <c r="R3051" s="44" t="str">
        <f>VLOOKUP(F3051,'Set up'!$A$2:$E$70,5,FALSE)</f>
        <v>Trsf</v>
      </c>
      <c r="S3051" s="1" t="s">
        <v>3288</v>
      </c>
    </row>
    <row r="3052" spans="1:19" ht="15" customHeight="1" x14ac:dyDescent="0.35">
      <c r="A3052" s="4">
        <v>45491</v>
      </c>
      <c r="B3052" s="5">
        <f t="shared" si="770"/>
        <v>7</v>
      </c>
      <c r="C3052" s="5">
        <f t="shared" si="771"/>
        <v>2024</v>
      </c>
      <c r="D3052" s="5" t="s">
        <v>2764</v>
      </c>
      <c r="E3052" s="5" t="str">
        <f>VLOOKUP(F3052,'Set up'!$A$2:$C$70,2,FALSE)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up'!$A$2:$C$70,3,FALSE)</f>
        <v>120</v>
      </c>
      <c r="J3052" s="5">
        <f>VLOOKUP(F3052,'Set up'!$A$2:$D$70,4,FALSE)</f>
        <v>120</v>
      </c>
      <c r="K3052" s="4">
        <f t="shared" si="772"/>
        <v>45611</v>
      </c>
      <c r="L3052" s="5">
        <f t="shared" si="773"/>
        <v>11</v>
      </c>
      <c r="M3052" s="5">
        <f t="shared" si="774"/>
        <v>2024</v>
      </c>
      <c r="N3052" s="12">
        <v>364</v>
      </c>
      <c r="O3052" s="6">
        <f t="shared" si="782"/>
        <v>-364</v>
      </c>
      <c r="P3052" s="6">
        <f t="shared" si="777"/>
        <v>0</v>
      </c>
      <c r="Q3052" s="7">
        <v>5001285.1500000004</v>
      </c>
      <c r="R3052" s="44" t="str">
        <f>VLOOKUP(F3052,'Set up'!$A$2:$E$70,5,FALSE)</f>
        <v>Trsf</v>
      </c>
      <c r="S3052" s="1" t="s">
        <v>3288</v>
      </c>
    </row>
    <row r="3053" spans="1:19" ht="15" customHeight="1" x14ac:dyDescent="0.35">
      <c r="A3053" s="4">
        <v>45491</v>
      </c>
      <c r="B3053" s="5">
        <f t="shared" si="770"/>
        <v>7</v>
      </c>
      <c r="C3053" s="5">
        <f t="shared" si="771"/>
        <v>2024</v>
      </c>
      <c r="D3053" s="5" t="s">
        <v>2764</v>
      </c>
      <c r="E3053" s="5" t="str">
        <f>VLOOKUP(F3053,'Set up'!$A$2:$C$70,2,FALSE)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up'!$A$2:$C$70,3,FALSE)</f>
        <v>120</v>
      </c>
      <c r="J3053" s="5">
        <f>VLOOKUP(F3053,'Set up'!$A$2:$D$70,4,FALSE)</f>
        <v>120</v>
      </c>
      <c r="K3053" s="4">
        <f t="shared" si="772"/>
        <v>45611</v>
      </c>
      <c r="L3053" s="5">
        <f t="shared" si="773"/>
        <v>11</v>
      </c>
      <c r="M3053" s="5">
        <f t="shared" si="774"/>
        <v>2024</v>
      </c>
      <c r="N3053" s="12">
        <v>250</v>
      </c>
      <c r="O3053" s="6">
        <f t="shared" si="782"/>
        <v>-250</v>
      </c>
      <c r="P3053" s="6">
        <f t="shared" si="777"/>
        <v>0</v>
      </c>
      <c r="Q3053" s="7">
        <v>5001535.1500000004</v>
      </c>
      <c r="R3053" s="44" t="str">
        <f>VLOOKUP(F3053,'Set up'!$A$2:$E$70,5,FALSE)</f>
        <v>Trsf</v>
      </c>
      <c r="S3053" s="1" t="s">
        <v>3288</v>
      </c>
    </row>
    <row r="3054" spans="1:19" ht="15" customHeight="1" x14ac:dyDescent="0.35">
      <c r="A3054" s="4">
        <v>45493</v>
      </c>
      <c r="B3054" s="5">
        <f t="shared" si="770"/>
        <v>7</v>
      </c>
      <c r="C3054" s="5">
        <f t="shared" si="771"/>
        <v>2024</v>
      </c>
      <c r="D3054" s="5" t="s">
        <v>2765</v>
      </c>
      <c r="E3054" s="5" t="str">
        <f>VLOOKUP(F3054,'Set up'!$A$2:$C$70,2,FALSE)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up'!$A$2:$C$70,3,FALSE)</f>
        <v>Cash</v>
      </c>
      <c r="J3054" s="5">
        <f>VLOOKUP(F3054,'Set up'!$A$2:$D$70,4,FALSE)</f>
        <v>0</v>
      </c>
      <c r="K3054" s="4">
        <f t="shared" si="772"/>
        <v>45493</v>
      </c>
      <c r="L3054" s="5">
        <f t="shared" si="773"/>
        <v>7</v>
      </c>
      <c r="M3054" s="5">
        <f t="shared" si="774"/>
        <v>2024</v>
      </c>
      <c r="N3054" s="12">
        <v>1760</v>
      </c>
      <c r="O3054" s="6">
        <f t="shared" ref="O3054:O3060" si="783">-N3054</f>
        <v>-1760</v>
      </c>
      <c r="P3054" s="6">
        <f t="shared" si="777"/>
        <v>0</v>
      </c>
      <c r="Q3054" s="7">
        <v>5003295.1500000004</v>
      </c>
      <c r="R3054" s="44" t="str">
        <f>VLOOKUP(F3054,'Set up'!$A$2:$E$70,5,FALSE)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770"/>
        <v>7</v>
      </c>
      <c r="C3055" s="5">
        <f t="shared" si="771"/>
        <v>2024</v>
      </c>
      <c r="D3055" s="5" t="s">
        <v>2765</v>
      </c>
      <c r="E3055" s="5" t="str">
        <f>VLOOKUP(F3055,'Set up'!$A$2:$C$70,2,FALSE)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up'!$A$2:$C$70,3,FALSE)</f>
        <v>Cash</v>
      </c>
      <c r="J3055" s="5">
        <f>VLOOKUP(F3055,'Set up'!$A$2:$D$70,4,FALSE)</f>
        <v>0</v>
      </c>
      <c r="K3055" s="4">
        <f t="shared" si="772"/>
        <v>45493</v>
      </c>
      <c r="L3055" s="5">
        <f t="shared" si="773"/>
        <v>7</v>
      </c>
      <c r="M3055" s="5">
        <f t="shared" si="774"/>
        <v>2024</v>
      </c>
      <c r="N3055" s="12">
        <v>277.5</v>
      </c>
      <c r="O3055" s="6">
        <f t="shared" si="783"/>
        <v>-277.5</v>
      </c>
      <c r="P3055" s="6">
        <f t="shared" si="777"/>
        <v>0</v>
      </c>
      <c r="Q3055" s="7">
        <v>5003572.6500000004</v>
      </c>
      <c r="R3055" s="44" t="str">
        <f>VLOOKUP(F3055,'Set up'!$A$2:$E$70,5,FALSE)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770"/>
        <v>7</v>
      </c>
      <c r="C3056" s="5">
        <f t="shared" si="771"/>
        <v>2024</v>
      </c>
      <c r="D3056" s="5" t="s">
        <v>2765</v>
      </c>
      <c r="E3056" s="5" t="str">
        <f>VLOOKUP(F3056,'Set up'!$A$2:$C$70,2,FALSE)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up'!$A$2:$C$70,3,FALSE)</f>
        <v>Cash</v>
      </c>
      <c r="J3056" s="5">
        <f>VLOOKUP(F3056,'Set up'!$A$2:$D$70,4,FALSE)</f>
        <v>0</v>
      </c>
      <c r="K3056" s="4">
        <f t="shared" si="772"/>
        <v>45493</v>
      </c>
      <c r="L3056" s="5">
        <f t="shared" si="773"/>
        <v>7</v>
      </c>
      <c r="M3056" s="5">
        <f t="shared" si="774"/>
        <v>2024</v>
      </c>
      <c r="N3056" s="12">
        <v>95</v>
      </c>
      <c r="O3056" s="6">
        <f t="shared" si="783"/>
        <v>-95</v>
      </c>
      <c r="P3056" s="6">
        <f t="shared" si="777"/>
        <v>0</v>
      </c>
      <c r="Q3056" s="7">
        <v>5003667.6500000004</v>
      </c>
      <c r="R3056" s="44" t="str">
        <f>VLOOKUP(F3056,'Set up'!$A$2:$E$70,5,FALSE)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770"/>
        <v>7</v>
      </c>
      <c r="C3057" s="5">
        <f t="shared" si="771"/>
        <v>2024</v>
      </c>
      <c r="D3057" s="5" t="s">
        <v>2765</v>
      </c>
      <c r="E3057" s="5" t="str">
        <f>VLOOKUP(F3057,'Set up'!$A$2:$C$70,2,FALSE)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up'!$A$2:$C$70,3,FALSE)</f>
        <v>Cash</v>
      </c>
      <c r="J3057" s="5">
        <f>VLOOKUP(F3057,'Set up'!$A$2:$D$70,4,FALSE)</f>
        <v>0</v>
      </c>
      <c r="K3057" s="4">
        <f t="shared" si="772"/>
        <v>45493</v>
      </c>
      <c r="L3057" s="5">
        <f t="shared" si="773"/>
        <v>7</v>
      </c>
      <c r="M3057" s="5">
        <f t="shared" si="774"/>
        <v>2024</v>
      </c>
      <c r="N3057" s="12">
        <v>312.5</v>
      </c>
      <c r="O3057" s="6">
        <f t="shared" si="783"/>
        <v>-312.5</v>
      </c>
      <c r="P3057" s="6">
        <f t="shared" si="777"/>
        <v>0</v>
      </c>
      <c r="Q3057" s="7">
        <v>5003980.1500000004</v>
      </c>
      <c r="R3057" s="44" t="str">
        <f>VLOOKUP(F3057,'Set up'!$A$2:$E$70,5,FALSE)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770"/>
        <v>7</v>
      </c>
      <c r="C3058" s="5">
        <f t="shared" si="771"/>
        <v>2024</v>
      </c>
      <c r="D3058" s="5" t="s">
        <v>2765</v>
      </c>
      <c r="E3058" s="5" t="str">
        <f>VLOOKUP(F3058,'Set up'!$A$2:$C$70,2,FALSE)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up'!$A$2:$C$70,3,FALSE)</f>
        <v>Cash</v>
      </c>
      <c r="J3058" s="5">
        <f>VLOOKUP(F3058,'Set up'!$A$2:$D$70,4,FALSE)</f>
        <v>0</v>
      </c>
      <c r="K3058" s="4">
        <f t="shared" si="772"/>
        <v>45493</v>
      </c>
      <c r="L3058" s="5">
        <f t="shared" si="773"/>
        <v>7</v>
      </c>
      <c r="M3058" s="5">
        <f t="shared" si="774"/>
        <v>2024</v>
      </c>
      <c r="N3058" s="12">
        <v>540</v>
      </c>
      <c r="O3058" s="6">
        <f t="shared" si="783"/>
        <v>-540</v>
      </c>
      <c r="P3058" s="6">
        <f t="shared" si="777"/>
        <v>0</v>
      </c>
      <c r="Q3058" s="7">
        <v>5004520.1500000004</v>
      </c>
      <c r="R3058" s="44" t="str">
        <f>VLOOKUP(F3058,'Set up'!$A$2:$E$70,5,FALSE)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si="770"/>
        <v>7</v>
      </c>
      <c r="C3059" s="5">
        <f t="shared" si="771"/>
        <v>2024</v>
      </c>
      <c r="D3059" s="5" t="s">
        <v>2766</v>
      </c>
      <c r="E3059" s="5" t="str">
        <f>VLOOKUP(F3059,'Set up'!$A$2:$C$70,2,FALSE)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up'!$A$2:$C$70,3,FALSE)</f>
        <v>60</v>
      </c>
      <c r="J3059" s="5">
        <f>VLOOKUP(F3059,'Set up'!$A$2:$D$70,4,FALSE)</f>
        <v>60</v>
      </c>
      <c r="K3059" s="4">
        <f t="shared" si="772"/>
        <v>45556</v>
      </c>
      <c r="L3059" s="5">
        <f t="shared" si="773"/>
        <v>9</v>
      </c>
      <c r="M3059" s="5">
        <f t="shared" si="774"/>
        <v>2024</v>
      </c>
      <c r="N3059" s="12">
        <v>3256</v>
      </c>
      <c r="O3059" s="6">
        <f t="shared" si="783"/>
        <v>-3256</v>
      </c>
      <c r="P3059" s="6">
        <f t="shared" si="777"/>
        <v>0</v>
      </c>
      <c r="Q3059" s="7">
        <v>5007776.1500000004</v>
      </c>
      <c r="R3059" s="44" t="str">
        <f>VLOOKUP(F3059,'Set up'!$A$2:$E$70,5,FALSE)</f>
        <v>Chq</v>
      </c>
      <c r="S3059" s="1" t="s">
        <v>3432</v>
      </c>
    </row>
    <row r="3060" spans="1:19" ht="15" customHeight="1" x14ac:dyDescent="0.35">
      <c r="A3060" s="4">
        <v>45496</v>
      </c>
      <c r="B3060" s="5">
        <f t="shared" si="770"/>
        <v>7</v>
      </c>
      <c r="C3060" s="5">
        <f t="shared" si="771"/>
        <v>2024</v>
      </c>
      <c r="D3060" s="5" t="s">
        <v>2766</v>
      </c>
      <c r="E3060" s="5" t="str">
        <f>VLOOKUP(F3060,'Set up'!$A$2:$C$70,2,FALSE)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up'!$A$2:$C$70,3,FALSE)</f>
        <v>60</v>
      </c>
      <c r="J3060" s="5">
        <f>VLOOKUP(F3060,'Set up'!$A$2:$D$70,4,FALSE)</f>
        <v>60</v>
      </c>
      <c r="K3060" s="4">
        <f t="shared" si="772"/>
        <v>45556</v>
      </c>
      <c r="L3060" s="5">
        <f t="shared" si="773"/>
        <v>9</v>
      </c>
      <c r="M3060" s="5">
        <f t="shared" si="774"/>
        <v>2024</v>
      </c>
      <c r="N3060" s="12">
        <v>1628</v>
      </c>
      <c r="O3060" s="6">
        <f t="shared" si="783"/>
        <v>-1628</v>
      </c>
      <c r="P3060" s="6">
        <f t="shared" si="777"/>
        <v>0</v>
      </c>
      <c r="Q3060" s="7">
        <v>5009404.1500000004</v>
      </c>
      <c r="R3060" s="44" t="str">
        <f>VLOOKUP(F3060,'Set up'!$A$2:$E$70,5,FALSE)</f>
        <v>Chq</v>
      </c>
      <c r="S3060" s="1" t="s">
        <v>3432</v>
      </c>
    </row>
    <row r="3061" spans="1:19" ht="15" customHeight="1" x14ac:dyDescent="0.35">
      <c r="A3061" s="4">
        <v>45497</v>
      </c>
      <c r="B3061" s="5">
        <f t="shared" si="770"/>
        <v>7</v>
      </c>
      <c r="C3061" s="5">
        <f t="shared" si="771"/>
        <v>2024</v>
      </c>
      <c r="D3061" s="5" t="s">
        <v>2767</v>
      </c>
      <c r="E3061" s="5" t="str">
        <f>VLOOKUP(F3061,'Set up'!$A$2:$C$70,2,FALSE)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up'!$A$2:$C$70,3,FALSE)</f>
        <v>Cash</v>
      </c>
      <c r="J3061" s="5">
        <f>VLOOKUP(F3061,'Set up'!$A$2:$D$70,4,FALSE)</f>
        <v>0</v>
      </c>
      <c r="K3061" s="4">
        <f t="shared" si="772"/>
        <v>45497</v>
      </c>
      <c r="L3061" s="5">
        <f t="shared" si="773"/>
        <v>7</v>
      </c>
      <c r="M3061" s="5">
        <f t="shared" si="774"/>
        <v>2024</v>
      </c>
      <c r="N3061" s="12">
        <v>1760</v>
      </c>
      <c r="O3061" s="12"/>
      <c r="P3061" s="6">
        <f t="shared" si="777"/>
        <v>1760</v>
      </c>
      <c r="Q3061" s="7">
        <v>5011164.1500000004</v>
      </c>
      <c r="R3061" s="44" t="str">
        <f>VLOOKUP(F3061,'Set up'!$A$2:$E$70,5,FALSE)</f>
        <v>Trsf</v>
      </c>
    </row>
    <row r="3062" spans="1:19" ht="15" customHeight="1" x14ac:dyDescent="0.35">
      <c r="A3062" s="4">
        <v>45497</v>
      </c>
      <c r="B3062" s="5">
        <f t="shared" si="770"/>
        <v>7</v>
      </c>
      <c r="C3062" s="5">
        <f t="shared" si="771"/>
        <v>2024</v>
      </c>
      <c r="D3062" s="5" t="s">
        <v>2767</v>
      </c>
      <c r="E3062" s="5" t="str">
        <f>VLOOKUP(F3062,'Set up'!$A$2:$C$70,2,FALSE)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up'!$A$2:$C$70,3,FALSE)</f>
        <v>Cash</v>
      </c>
      <c r="J3062" s="5">
        <f>VLOOKUP(F3062,'Set up'!$A$2:$D$70,4,FALSE)</f>
        <v>0</v>
      </c>
      <c r="K3062" s="4">
        <f t="shared" si="772"/>
        <v>45497</v>
      </c>
      <c r="L3062" s="5">
        <f t="shared" si="773"/>
        <v>7</v>
      </c>
      <c r="M3062" s="5">
        <f t="shared" si="774"/>
        <v>2024</v>
      </c>
      <c r="N3062" s="12">
        <v>405</v>
      </c>
      <c r="O3062" s="12"/>
      <c r="P3062" s="6">
        <f t="shared" si="777"/>
        <v>405</v>
      </c>
      <c r="Q3062" s="7">
        <v>5011569.1500000004</v>
      </c>
      <c r="R3062" s="44" t="str">
        <f>VLOOKUP(F3062,'Set up'!$A$2:$E$70,5,FALSE)</f>
        <v>Trsf</v>
      </c>
    </row>
    <row r="3063" spans="1:19" ht="15" customHeight="1" x14ac:dyDescent="0.35">
      <c r="A3063" s="4">
        <v>45497</v>
      </c>
      <c r="B3063" s="5">
        <f t="shared" si="770"/>
        <v>7</v>
      </c>
      <c r="C3063" s="5">
        <f t="shared" si="771"/>
        <v>2024</v>
      </c>
      <c r="D3063" s="5" t="s">
        <v>2767</v>
      </c>
      <c r="E3063" s="5" t="str">
        <f>VLOOKUP(F3063,'Set up'!$A$2:$C$70,2,FALSE)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up'!$A$2:$C$70,3,FALSE)</f>
        <v>Cash</v>
      </c>
      <c r="J3063" s="5">
        <f>VLOOKUP(F3063,'Set up'!$A$2:$D$70,4,FALSE)</f>
        <v>0</v>
      </c>
      <c r="K3063" s="4">
        <f t="shared" si="772"/>
        <v>45497</v>
      </c>
      <c r="L3063" s="5">
        <f t="shared" si="773"/>
        <v>7</v>
      </c>
      <c r="M3063" s="5">
        <f t="shared" si="774"/>
        <v>2024</v>
      </c>
      <c r="N3063" s="12">
        <v>187.5</v>
      </c>
      <c r="O3063" s="12"/>
      <c r="P3063" s="6">
        <f t="shared" si="777"/>
        <v>187.5</v>
      </c>
      <c r="Q3063" s="7">
        <v>5011756.6500000004</v>
      </c>
      <c r="R3063" s="44" t="str">
        <f>VLOOKUP(F3063,'Set up'!$A$2:$E$70,5,FALSE)</f>
        <v>Trsf</v>
      </c>
    </row>
    <row r="3064" spans="1:19" ht="15" customHeight="1" x14ac:dyDescent="0.35">
      <c r="A3064" s="4">
        <v>45497</v>
      </c>
      <c r="B3064" s="5">
        <f t="shared" si="770"/>
        <v>7</v>
      </c>
      <c r="C3064" s="5">
        <f t="shared" si="771"/>
        <v>2024</v>
      </c>
      <c r="D3064" s="5" t="s">
        <v>2767</v>
      </c>
      <c r="E3064" s="5" t="str">
        <f>VLOOKUP(F3064,'Set up'!$A$2:$C$70,2,FALSE)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up'!$A$2:$C$70,3,FALSE)</f>
        <v>Cash</v>
      </c>
      <c r="J3064" s="5">
        <f>VLOOKUP(F3064,'Set up'!$A$2:$D$70,4,FALSE)</f>
        <v>0</v>
      </c>
      <c r="K3064" s="4">
        <f t="shared" si="772"/>
        <v>45497</v>
      </c>
      <c r="L3064" s="5">
        <f t="shared" si="773"/>
        <v>7</v>
      </c>
      <c r="M3064" s="5">
        <f t="shared" si="774"/>
        <v>2024</v>
      </c>
      <c r="N3064" s="12">
        <v>110</v>
      </c>
      <c r="O3064" s="12"/>
      <c r="P3064" s="6">
        <f t="shared" si="777"/>
        <v>110</v>
      </c>
      <c r="Q3064" s="7">
        <v>5011866.6500000004</v>
      </c>
      <c r="R3064" s="44" t="str">
        <f>VLOOKUP(F3064,'Set up'!$A$2:$E$70,5,FALSE)</f>
        <v>Trsf</v>
      </c>
    </row>
    <row r="3065" spans="1:19" ht="15" customHeight="1" x14ac:dyDescent="0.35">
      <c r="A3065" s="4">
        <v>45497</v>
      </c>
      <c r="B3065" s="5">
        <f t="shared" si="770"/>
        <v>7</v>
      </c>
      <c r="C3065" s="5">
        <f t="shared" si="771"/>
        <v>2024</v>
      </c>
      <c r="D3065" s="5" t="s">
        <v>2767</v>
      </c>
      <c r="E3065" s="5" t="str">
        <f>VLOOKUP(F3065,'Set up'!$A$2:$C$70,2,FALSE)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up'!$A$2:$C$70,3,FALSE)</f>
        <v>Cash</v>
      </c>
      <c r="J3065" s="5">
        <f>VLOOKUP(F3065,'Set up'!$A$2:$D$70,4,FALSE)</f>
        <v>0</v>
      </c>
      <c r="K3065" s="4">
        <f t="shared" si="772"/>
        <v>45497</v>
      </c>
      <c r="L3065" s="5">
        <f t="shared" si="773"/>
        <v>7</v>
      </c>
      <c r="M3065" s="5">
        <f t="shared" si="774"/>
        <v>2024</v>
      </c>
      <c r="N3065" s="12">
        <v>395</v>
      </c>
      <c r="O3065" s="12"/>
      <c r="P3065" s="6">
        <f t="shared" si="777"/>
        <v>395</v>
      </c>
      <c r="Q3065" s="7">
        <v>5012261.6500000004</v>
      </c>
      <c r="R3065" s="44" t="str">
        <f>VLOOKUP(F3065,'Set up'!$A$2:$E$70,5,FALSE)</f>
        <v>Trsf</v>
      </c>
    </row>
    <row r="3066" spans="1:19" ht="15" customHeight="1" x14ac:dyDescent="0.35">
      <c r="A3066" s="4">
        <v>45497</v>
      </c>
      <c r="B3066" s="5">
        <f t="shared" si="770"/>
        <v>7</v>
      </c>
      <c r="C3066" s="5">
        <f t="shared" si="771"/>
        <v>2024</v>
      </c>
      <c r="D3066" s="5" t="s">
        <v>2767</v>
      </c>
      <c r="E3066" s="5" t="str">
        <f>VLOOKUP(F3066,'Set up'!$A$2:$C$70,2,FALSE)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up'!$A$2:$C$70,3,FALSE)</f>
        <v>Cash</v>
      </c>
      <c r="J3066" s="5">
        <f>VLOOKUP(F3066,'Set up'!$A$2:$D$70,4,FALSE)</f>
        <v>0</v>
      </c>
      <c r="K3066" s="4">
        <f t="shared" si="772"/>
        <v>45497</v>
      </c>
      <c r="L3066" s="5">
        <f t="shared" si="773"/>
        <v>7</v>
      </c>
      <c r="M3066" s="5">
        <f t="shared" si="774"/>
        <v>2024</v>
      </c>
      <c r="N3066" s="12">
        <v>160</v>
      </c>
      <c r="O3066" s="12"/>
      <c r="P3066" s="6">
        <f t="shared" si="777"/>
        <v>160</v>
      </c>
      <c r="Q3066" s="7">
        <v>5012421.6500000004</v>
      </c>
      <c r="R3066" s="44" t="str">
        <f>VLOOKUP(F3066,'Set up'!$A$2:$E$70,5,FALSE)</f>
        <v>Trsf</v>
      </c>
    </row>
    <row r="3067" spans="1:19" ht="15" customHeight="1" x14ac:dyDescent="0.35">
      <c r="A3067" s="4">
        <v>45497</v>
      </c>
      <c r="B3067" s="5">
        <f t="shared" si="770"/>
        <v>7</v>
      </c>
      <c r="C3067" s="5">
        <f t="shared" si="771"/>
        <v>2024</v>
      </c>
      <c r="D3067" s="5" t="s">
        <v>2767</v>
      </c>
      <c r="E3067" s="5" t="str">
        <f>VLOOKUP(F3067,'Set up'!$A$2:$C$70,2,FALSE)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up'!$A$2:$C$70,3,FALSE)</f>
        <v>Cash</v>
      </c>
      <c r="J3067" s="5">
        <f>VLOOKUP(F3067,'Set up'!$A$2:$D$70,4,FALSE)</f>
        <v>0</v>
      </c>
      <c r="K3067" s="4">
        <f t="shared" si="772"/>
        <v>45497</v>
      </c>
      <c r="L3067" s="5">
        <f t="shared" si="773"/>
        <v>7</v>
      </c>
      <c r="M3067" s="5">
        <f t="shared" si="774"/>
        <v>2024</v>
      </c>
      <c r="N3067" s="12">
        <v>150</v>
      </c>
      <c r="O3067" s="12"/>
      <c r="P3067" s="6">
        <f t="shared" si="777"/>
        <v>150</v>
      </c>
      <c r="Q3067" s="7">
        <v>5012571.6500000004</v>
      </c>
      <c r="R3067" s="44" t="str">
        <f>VLOOKUP(F3067,'Set up'!$A$2:$E$70,5,FALSE)</f>
        <v>Trsf</v>
      </c>
    </row>
    <row r="3068" spans="1:19" ht="15" customHeight="1" x14ac:dyDescent="0.35">
      <c r="A3068" s="4">
        <v>45497</v>
      </c>
      <c r="B3068" s="5">
        <f t="shared" si="770"/>
        <v>7</v>
      </c>
      <c r="C3068" s="5">
        <f t="shared" si="771"/>
        <v>2024</v>
      </c>
      <c r="D3068" s="5" t="s">
        <v>2767</v>
      </c>
      <c r="E3068" s="5" t="str">
        <f>VLOOKUP(F3068,'Set up'!$A$2:$C$70,2,FALSE)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up'!$A$2:$C$70,3,FALSE)</f>
        <v>Cash</v>
      </c>
      <c r="J3068" s="5">
        <f>VLOOKUP(F3068,'Set up'!$A$2:$D$70,4,FALSE)</f>
        <v>0</v>
      </c>
      <c r="K3068" s="4">
        <f t="shared" si="772"/>
        <v>45497</v>
      </c>
      <c r="L3068" s="5">
        <f t="shared" si="773"/>
        <v>7</v>
      </c>
      <c r="M3068" s="5">
        <f t="shared" si="774"/>
        <v>2024</v>
      </c>
      <c r="N3068" s="12">
        <v>283.8</v>
      </c>
      <c r="O3068" s="12"/>
      <c r="P3068" s="6">
        <f t="shared" si="777"/>
        <v>283.8</v>
      </c>
      <c r="Q3068" s="7">
        <v>5012855.45</v>
      </c>
      <c r="R3068" s="44" t="str">
        <f>VLOOKUP(F3068,'Set up'!$A$2:$E$70,5,FALSE)</f>
        <v>Trsf</v>
      </c>
    </row>
    <row r="3069" spans="1:19" ht="15" customHeight="1" x14ac:dyDescent="0.35">
      <c r="A3069" s="4">
        <v>45498</v>
      </c>
      <c r="B3069" s="5">
        <f t="shared" si="770"/>
        <v>7</v>
      </c>
      <c r="C3069" s="5">
        <f t="shared" si="771"/>
        <v>2024</v>
      </c>
      <c r="D3069" s="5" t="s">
        <v>2768</v>
      </c>
      <c r="E3069" s="5" t="str">
        <f>VLOOKUP(F3069,'Set up'!$A$2:$C$70,2,FALSE)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up'!$A$2:$C$70,3,FALSE)</f>
        <v>Cash</v>
      </c>
      <c r="J3069" s="5">
        <f>VLOOKUP(F3069,'Set up'!$A$2:$D$70,4,FALSE)</f>
        <v>0</v>
      </c>
      <c r="K3069" s="4">
        <f t="shared" si="772"/>
        <v>45498</v>
      </c>
      <c r="L3069" s="5">
        <f t="shared" si="773"/>
        <v>7</v>
      </c>
      <c r="M3069" s="5">
        <f t="shared" si="774"/>
        <v>2024</v>
      </c>
      <c r="N3069" s="12">
        <v>937.5</v>
      </c>
      <c r="O3069" s="6">
        <f t="shared" ref="O3069" si="784">-N3069</f>
        <v>-937.5</v>
      </c>
      <c r="P3069" s="6">
        <f t="shared" si="777"/>
        <v>0</v>
      </c>
      <c r="Q3069" s="7">
        <v>5013792.95</v>
      </c>
      <c r="R3069" s="44" t="str">
        <f>VLOOKUP(F3069,'Set up'!$A$2:$E$70,5,FALSE)</f>
        <v>Trsf</v>
      </c>
      <c r="S3069" s="1" t="s">
        <v>3301</v>
      </c>
    </row>
    <row r="3070" spans="1:19" ht="15" customHeight="1" x14ac:dyDescent="0.35">
      <c r="A3070" s="4">
        <v>45498</v>
      </c>
      <c r="B3070" s="5">
        <f t="shared" si="770"/>
        <v>7</v>
      </c>
      <c r="C3070" s="5">
        <f t="shared" si="771"/>
        <v>2024</v>
      </c>
      <c r="D3070" s="5" t="s">
        <v>2769</v>
      </c>
      <c r="E3070" s="5" t="str">
        <f>VLOOKUP(F3070,'Set up'!$A$2:$C$70,2,FALSE)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up'!$A$2:$C$70,3,FALSE)</f>
        <v>Cash</v>
      </c>
      <c r="J3070" s="5">
        <f>VLOOKUP(F3070,'Set up'!$A$2:$D$70,4,FALSE)</f>
        <v>0</v>
      </c>
      <c r="K3070" s="4">
        <f t="shared" si="772"/>
        <v>45498</v>
      </c>
      <c r="L3070" s="5">
        <f t="shared" si="773"/>
        <v>7</v>
      </c>
      <c r="M3070" s="5">
        <f t="shared" si="774"/>
        <v>2024</v>
      </c>
      <c r="N3070" s="12">
        <v>24420</v>
      </c>
      <c r="O3070" s="12">
        <f>-16490.1-7929.9</f>
        <v>-24420</v>
      </c>
      <c r="P3070" s="6">
        <f t="shared" si="777"/>
        <v>0</v>
      </c>
      <c r="Q3070" s="7">
        <v>5038212.95</v>
      </c>
      <c r="R3070" s="44" t="str">
        <f>VLOOKUP(F3070,'Set up'!$A$2:$E$70,5,FALSE)</f>
        <v>Trsf</v>
      </c>
      <c r="S3070" s="1" t="s">
        <v>3302</v>
      </c>
    </row>
    <row r="3071" spans="1:19" ht="15" customHeight="1" x14ac:dyDescent="0.35">
      <c r="A3071" s="4">
        <v>45498</v>
      </c>
      <c r="B3071" s="5">
        <f t="shared" si="770"/>
        <v>7</v>
      </c>
      <c r="C3071" s="5">
        <f t="shared" si="771"/>
        <v>2024</v>
      </c>
      <c r="D3071" s="5" t="s">
        <v>2769</v>
      </c>
      <c r="E3071" s="5" t="str">
        <f>VLOOKUP(F3071,'Set up'!$A$2:$C$70,2,FALSE)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up'!$A$2:$C$70,3,FALSE)</f>
        <v>Cash</v>
      </c>
      <c r="J3071" s="5">
        <f>VLOOKUP(F3071,'Set up'!$A$2:$D$70,4,FALSE)</f>
        <v>0</v>
      </c>
      <c r="K3071" s="4">
        <f t="shared" si="772"/>
        <v>45498</v>
      </c>
      <c r="L3071" s="5">
        <f t="shared" si="773"/>
        <v>7</v>
      </c>
      <c r="M3071" s="5">
        <f t="shared" si="774"/>
        <v>2024</v>
      </c>
      <c r="N3071" s="12">
        <v>7320</v>
      </c>
      <c r="O3071" s="6">
        <f t="shared" ref="O3071" si="785">-N3071</f>
        <v>-7320</v>
      </c>
      <c r="P3071" s="6">
        <f t="shared" si="777"/>
        <v>0</v>
      </c>
      <c r="Q3071" s="7">
        <v>5045532.95</v>
      </c>
      <c r="R3071" s="44" t="str">
        <f>VLOOKUP(F3071,'Set up'!$A$2:$E$70,5,FALSE)</f>
        <v>Trsf</v>
      </c>
      <c r="S3071" s="1" t="s">
        <v>3303</v>
      </c>
    </row>
    <row r="3072" spans="1:19" ht="15" customHeight="1" x14ac:dyDescent="0.35">
      <c r="A3072" s="4">
        <v>45498</v>
      </c>
      <c r="B3072" s="5">
        <f t="shared" si="770"/>
        <v>7</v>
      </c>
      <c r="C3072" s="5">
        <f t="shared" si="771"/>
        <v>2024</v>
      </c>
      <c r="D3072" s="5" t="s">
        <v>2769</v>
      </c>
      <c r="E3072" s="5" t="str">
        <f>VLOOKUP(F3072,'Set up'!$A$2:$C$70,2,FALSE)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up'!$A$2:$C$70,3,FALSE)</f>
        <v>Cash</v>
      </c>
      <c r="J3072" s="5">
        <f>VLOOKUP(F3072,'Set up'!$A$2:$D$70,4,FALSE)</f>
        <v>0</v>
      </c>
      <c r="K3072" s="4">
        <f t="shared" si="772"/>
        <v>45498</v>
      </c>
      <c r="L3072" s="5">
        <f t="shared" si="773"/>
        <v>7</v>
      </c>
      <c r="M3072" s="5">
        <f t="shared" si="774"/>
        <v>2024</v>
      </c>
      <c r="N3072" s="12">
        <v>4800</v>
      </c>
      <c r="O3072" s="12">
        <f>-2750.1-2049.9</f>
        <v>-4800</v>
      </c>
      <c r="P3072" s="6">
        <f t="shared" si="777"/>
        <v>0</v>
      </c>
      <c r="Q3072" s="7">
        <v>5050332.95</v>
      </c>
      <c r="R3072" s="44" t="str">
        <f>VLOOKUP(F3072,'Set up'!$A$2:$E$70,5,FALSE)</f>
        <v>Trsf</v>
      </c>
      <c r="S3072" s="1" t="s">
        <v>3372</v>
      </c>
    </row>
    <row r="3073" spans="1:19" ht="15" customHeight="1" x14ac:dyDescent="0.35">
      <c r="A3073" s="4">
        <v>45498</v>
      </c>
      <c r="B3073" s="5">
        <f t="shared" si="770"/>
        <v>7</v>
      </c>
      <c r="C3073" s="5">
        <f t="shared" si="771"/>
        <v>2024</v>
      </c>
      <c r="D3073" s="5" t="s">
        <v>2769</v>
      </c>
      <c r="E3073" s="5" t="str">
        <f>VLOOKUP(F3073,'Set up'!$A$2:$C$70,2,FALSE)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up'!$A$2:$C$70,3,FALSE)</f>
        <v>Cash</v>
      </c>
      <c r="J3073" s="5">
        <f>VLOOKUP(F3073,'Set up'!$A$2:$D$70,4,FALSE)</f>
        <v>0</v>
      </c>
      <c r="K3073" s="4">
        <f t="shared" si="772"/>
        <v>45498</v>
      </c>
      <c r="L3073" s="5">
        <f t="shared" si="773"/>
        <v>7</v>
      </c>
      <c r="M3073" s="5">
        <f t="shared" si="774"/>
        <v>2024</v>
      </c>
      <c r="N3073" s="12">
        <v>380</v>
      </c>
      <c r="O3073" s="6">
        <f t="shared" ref="O3073:O3075" si="786">-N3073</f>
        <v>-380</v>
      </c>
      <c r="P3073" s="6">
        <f t="shared" si="777"/>
        <v>0</v>
      </c>
      <c r="Q3073" s="7">
        <v>5050712.95</v>
      </c>
      <c r="R3073" s="44" t="str">
        <f>VLOOKUP(F3073,'Set up'!$A$2:$E$70,5,FALSE)</f>
        <v>Trsf</v>
      </c>
      <c r="S3073" s="1" t="s">
        <v>3373</v>
      </c>
    </row>
    <row r="3074" spans="1:19" ht="15" customHeight="1" x14ac:dyDescent="0.35">
      <c r="A3074" s="4">
        <v>45498</v>
      </c>
      <c r="B3074" s="5">
        <f t="shared" si="770"/>
        <v>7</v>
      </c>
      <c r="C3074" s="5">
        <f t="shared" si="771"/>
        <v>2024</v>
      </c>
      <c r="D3074" s="5" t="s">
        <v>2769</v>
      </c>
      <c r="E3074" s="5" t="str">
        <f>VLOOKUP(F3074,'Set up'!$A$2:$C$70,2,FALSE)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up'!$A$2:$C$70,3,FALSE)</f>
        <v>Cash</v>
      </c>
      <c r="J3074" s="5">
        <f>VLOOKUP(F3074,'Set up'!$A$2:$D$70,4,FALSE)</f>
        <v>0</v>
      </c>
      <c r="K3074" s="4">
        <f t="shared" si="772"/>
        <v>45498</v>
      </c>
      <c r="L3074" s="5">
        <f t="shared" si="773"/>
        <v>7</v>
      </c>
      <c r="M3074" s="5">
        <f t="shared" si="774"/>
        <v>2024</v>
      </c>
      <c r="N3074" s="12">
        <v>1000</v>
      </c>
      <c r="O3074" s="6">
        <f t="shared" si="786"/>
        <v>-1000</v>
      </c>
      <c r="P3074" s="6">
        <f t="shared" si="777"/>
        <v>0</v>
      </c>
      <c r="Q3074" s="7">
        <v>5051712.95</v>
      </c>
      <c r="R3074" s="44" t="str">
        <f>VLOOKUP(F3074,'Set up'!$A$2:$E$70,5,FALSE)</f>
        <v>Trsf</v>
      </c>
      <c r="S3074" s="1" t="s">
        <v>3374</v>
      </c>
    </row>
    <row r="3075" spans="1:19" ht="15" customHeight="1" x14ac:dyDescent="0.35">
      <c r="A3075" s="4">
        <v>45498</v>
      </c>
      <c r="B3075" s="5">
        <f t="shared" ref="B3075:B3138" si="787">MONTH(A3075)</f>
        <v>7</v>
      </c>
      <c r="C3075" s="5">
        <f t="shared" ref="C3075:C3138" si="788">YEAR(A3075)</f>
        <v>2024</v>
      </c>
      <c r="D3075" s="5" t="s">
        <v>2769</v>
      </c>
      <c r="E3075" s="5" t="str">
        <f>VLOOKUP(F3075,'Set up'!$A$2:$C$70,2,FALSE)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up'!$A$2:$C$70,3,FALSE)</f>
        <v>Cash</v>
      </c>
      <c r="J3075" s="5">
        <f>VLOOKUP(F3075,'Set up'!$A$2:$D$70,4,FALSE)</f>
        <v>0</v>
      </c>
      <c r="K3075" s="4">
        <f t="shared" ref="K3075:K3138" si="789">A3075+J3075</f>
        <v>45498</v>
      </c>
      <c r="L3075" s="5">
        <f t="shared" ref="L3075:L3138" si="790">MONTH(K3075)</f>
        <v>7</v>
      </c>
      <c r="M3075" s="5">
        <f t="shared" ref="M3075:M3138" si="791">YEAR(K3075)</f>
        <v>2024</v>
      </c>
      <c r="N3075" s="12">
        <v>975</v>
      </c>
      <c r="O3075" s="6">
        <f t="shared" si="786"/>
        <v>-975</v>
      </c>
      <c r="P3075" s="6">
        <f t="shared" si="777"/>
        <v>0</v>
      </c>
      <c r="Q3075" s="7">
        <v>5052687.95</v>
      </c>
      <c r="R3075" s="44" t="str">
        <f>VLOOKUP(F3075,'Set up'!$A$2:$E$70,5,FALSE)</f>
        <v>Trsf</v>
      </c>
      <c r="S3075" s="1" t="s">
        <v>3375</v>
      </c>
    </row>
    <row r="3076" spans="1:19" ht="15" customHeight="1" x14ac:dyDescent="0.35">
      <c r="A3076" s="4">
        <v>45500</v>
      </c>
      <c r="B3076" s="5">
        <f t="shared" si="787"/>
        <v>7</v>
      </c>
      <c r="C3076" s="5">
        <f t="shared" si="788"/>
        <v>2024</v>
      </c>
      <c r="D3076" s="5" t="s">
        <v>2770</v>
      </c>
      <c r="E3076" s="5" t="str">
        <f>VLOOKUP(F3076,'Set up'!$A$2:$C$70,2,FALSE)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up'!$A$2:$C$70,3,FALSE)</f>
        <v>Cash</v>
      </c>
      <c r="J3076" s="5">
        <f>VLOOKUP(F3076,'Set up'!$A$2:$D$70,4,FALSE)</f>
        <v>0</v>
      </c>
      <c r="K3076" s="4">
        <f t="shared" si="789"/>
        <v>45500</v>
      </c>
      <c r="L3076" s="5">
        <f t="shared" si="790"/>
        <v>7</v>
      </c>
      <c r="M3076" s="5">
        <f t="shared" si="791"/>
        <v>2024</v>
      </c>
      <c r="N3076" s="12">
        <v>3520</v>
      </c>
      <c r="O3076" s="12">
        <f>-1000-1200</f>
        <v>-2200</v>
      </c>
      <c r="P3076" s="6">
        <f t="shared" si="777"/>
        <v>1320</v>
      </c>
      <c r="Q3076" s="7">
        <v>5056207.95</v>
      </c>
      <c r="R3076" s="44" t="str">
        <f>VLOOKUP(F3076,'Set up'!$A$2:$E$70,5,FALSE)</f>
        <v>Cash</v>
      </c>
      <c r="S3076" s="1" t="s">
        <v>3612</v>
      </c>
    </row>
    <row r="3077" spans="1:19" ht="15" customHeight="1" x14ac:dyDescent="0.35">
      <c r="A3077" s="4">
        <v>45500</v>
      </c>
      <c r="B3077" s="5">
        <f t="shared" si="787"/>
        <v>7</v>
      </c>
      <c r="C3077" s="5">
        <f t="shared" si="788"/>
        <v>2024</v>
      </c>
      <c r="D3077" s="5" t="s">
        <v>2770</v>
      </c>
      <c r="E3077" s="5" t="str">
        <f>VLOOKUP(F3077,'Set up'!$A$2:$C$70,2,FALSE)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up'!$A$2:$C$70,3,FALSE)</f>
        <v>Cash</v>
      </c>
      <c r="J3077" s="5">
        <f>VLOOKUP(F3077,'Set up'!$A$2:$D$70,4,FALSE)</f>
        <v>0</v>
      </c>
      <c r="K3077" s="4">
        <f t="shared" si="789"/>
        <v>45500</v>
      </c>
      <c r="L3077" s="5">
        <f t="shared" si="790"/>
        <v>7</v>
      </c>
      <c r="M3077" s="5">
        <f t="shared" si="791"/>
        <v>2024</v>
      </c>
      <c r="N3077" s="12">
        <v>900</v>
      </c>
      <c r="O3077" s="12"/>
      <c r="P3077" s="6">
        <f t="shared" si="777"/>
        <v>900</v>
      </c>
      <c r="Q3077" s="7">
        <v>5057107.95</v>
      </c>
      <c r="R3077" s="44" t="str">
        <f>VLOOKUP(F3077,'Set up'!$A$2:$E$70,5,FALSE)</f>
        <v>Cash</v>
      </c>
    </row>
    <row r="3078" spans="1:19" ht="15" customHeight="1" x14ac:dyDescent="0.35">
      <c r="A3078" s="4">
        <v>45500</v>
      </c>
      <c r="B3078" s="5">
        <f t="shared" si="787"/>
        <v>7</v>
      </c>
      <c r="C3078" s="5">
        <f t="shared" si="788"/>
        <v>2024</v>
      </c>
      <c r="D3078" s="5" t="s">
        <v>2770</v>
      </c>
      <c r="E3078" s="5" t="str">
        <f>VLOOKUP(F3078,'Set up'!$A$2:$C$70,2,FALSE)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up'!$A$2:$C$70,3,FALSE)</f>
        <v>Cash</v>
      </c>
      <c r="J3078" s="5">
        <f>VLOOKUP(F3078,'Set up'!$A$2:$D$70,4,FALSE)</f>
        <v>0</v>
      </c>
      <c r="K3078" s="4">
        <f t="shared" si="789"/>
        <v>45500</v>
      </c>
      <c r="L3078" s="5">
        <f t="shared" si="790"/>
        <v>7</v>
      </c>
      <c r="M3078" s="5">
        <f t="shared" si="791"/>
        <v>2024</v>
      </c>
      <c r="N3078" s="12">
        <v>110</v>
      </c>
      <c r="O3078" s="12"/>
      <c r="P3078" s="6">
        <f t="shared" si="777"/>
        <v>110</v>
      </c>
      <c r="Q3078" s="7">
        <v>5057217.95</v>
      </c>
      <c r="R3078" s="44" t="str">
        <f>VLOOKUP(F3078,'Set up'!$A$2:$E$70,5,FALSE)</f>
        <v>Cash</v>
      </c>
    </row>
    <row r="3079" spans="1:19" ht="15" customHeight="1" x14ac:dyDescent="0.35">
      <c r="A3079" s="4">
        <v>45500</v>
      </c>
      <c r="B3079" s="5">
        <f t="shared" si="787"/>
        <v>7</v>
      </c>
      <c r="C3079" s="5">
        <f t="shared" si="788"/>
        <v>2024</v>
      </c>
      <c r="D3079" s="5" t="s">
        <v>2770</v>
      </c>
      <c r="E3079" s="5" t="str">
        <f>VLOOKUP(F3079,'Set up'!$A$2:$C$70,2,FALSE)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up'!$A$2:$C$70,3,FALSE)</f>
        <v>Cash</v>
      </c>
      <c r="J3079" s="5">
        <f>VLOOKUP(F3079,'Set up'!$A$2:$D$70,4,FALSE)</f>
        <v>0</v>
      </c>
      <c r="K3079" s="4">
        <f t="shared" si="789"/>
        <v>45500</v>
      </c>
      <c r="L3079" s="5">
        <f t="shared" si="790"/>
        <v>7</v>
      </c>
      <c r="M3079" s="5">
        <f t="shared" si="791"/>
        <v>2024</v>
      </c>
      <c r="N3079" s="12">
        <v>40</v>
      </c>
      <c r="O3079" s="12"/>
      <c r="P3079" s="6">
        <f t="shared" si="777"/>
        <v>40</v>
      </c>
      <c r="Q3079" s="7">
        <v>5057257.95</v>
      </c>
      <c r="R3079" s="44" t="str">
        <f>VLOOKUP(F3079,'Set up'!$A$2:$E$70,5,FALSE)</f>
        <v>Cash</v>
      </c>
    </row>
    <row r="3080" spans="1:19" ht="15" customHeight="1" x14ac:dyDescent="0.35">
      <c r="A3080" s="4">
        <v>45500</v>
      </c>
      <c r="B3080" s="5">
        <f t="shared" si="787"/>
        <v>7</v>
      </c>
      <c r="C3080" s="5">
        <f t="shared" si="788"/>
        <v>2024</v>
      </c>
      <c r="D3080" s="5" t="s">
        <v>2770</v>
      </c>
      <c r="E3080" s="5" t="str">
        <f>VLOOKUP(F3080,'Set up'!$A$2:$C$70,2,FALSE)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up'!$A$2:$C$70,3,FALSE)</f>
        <v>Cash</v>
      </c>
      <c r="J3080" s="5">
        <f>VLOOKUP(F3080,'Set up'!$A$2:$D$70,4,FALSE)</f>
        <v>0</v>
      </c>
      <c r="K3080" s="4">
        <f t="shared" si="789"/>
        <v>45500</v>
      </c>
      <c r="L3080" s="5">
        <f t="shared" si="790"/>
        <v>7</v>
      </c>
      <c r="M3080" s="5">
        <f t="shared" si="791"/>
        <v>2024</v>
      </c>
      <c r="N3080" s="12">
        <v>175</v>
      </c>
      <c r="O3080" s="12"/>
      <c r="P3080" s="6">
        <f t="shared" si="777"/>
        <v>175</v>
      </c>
      <c r="Q3080" s="7">
        <v>5057432.95</v>
      </c>
      <c r="R3080" s="44" t="str">
        <f>VLOOKUP(F3080,'Set up'!$A$2:$E$70,5,FALSE)</f>
        <v>Cash</v>
      </c>
    </row>
    <row r="3081" spans="1:19" ht="15" customHeight="1" x14ac:dyDescent="0.35">
      <c r="A3081" s="4">
        <v>45502</v>
      </c>
      <c r="B3081" s="5">
        <f t="shared" si="787"/>
        <v>7</v>
      </c>
      <c r="C3081" s="5">
        <f t="shared" si="788"/>
        <v>2024</v>
      </c>
      <c r="D3081" s="5" t="s">
        <v>2771</v>
      </c>
      <c r="E3081" s="5" t="str">
        <f>VLOOKUP(F3081,'Set up'!$A$2:$C$70,2,FALSE)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up'!$A$2:$C$70,3,FALSE)</f>
        <v>Cash</v>
      </c>
      <c r="J3081" s="5">
        <f>VLOOKUP(F3081,'Set up'!$A$2:$D$70,4,FALSE)</f>
        <v>0</v>
      </c>
      <c r="K3081" s="4">
        <f t="shared" si="789"/>
        <v>45502</v>
      </c>
      <c r="L3081" s="5">
        <f t="shared" si="790"/>
        <v>7</v>
      </c>
      <c r="M3081" s="5">
        <f t="shared" si="791"/>
        <v>2024</v>
      </c>
      <c r="N3081" s="12">
        <v>7040</v>
      </c>
      <c r="O3081" s="12">
        <f>-4244.7</f>
        <v>-4244.7</v>
      </c>
      <c r="P3081" s="6">
        <f t="shared" si="777"/>
        <v>2795.3</v>
      </c>
      <c r="Q3081" s="7">
        <v>5064472.95</v>
      </c>
      <c r="R3081" s="44" t="str">
        <f>VLOOKUP(F3081,'Set up'!$A$2:$E$70,5,FALSE)</f>
        <v>Trsf</v>
      </c>
      <c r="S3081" s="1" t="s">
        <v>3371</v>
      </c>
    </row>
    <row r="3082" spans="1:19" ht="15" customHeight="1" x14ac:dyDescent="0.35">
      <c r="A3082" s="4">
        <v>45502</v>
      </c>
      <c r="B3082" s="5">
        <f t="shared" si="787"/>
        <v>7</v>
      </c>
      <c r="C3082" s="5">
        <f t="shared" si="788"/>
        <v>2024</v>
      </c>
      <c r="D3082" s="5" t="s">
        <v>2771</v>
      </c>
      <c r="E3082" s="5" t="str">
        <f>VLOOKUP(F3082,'Set up'!$A$2:$C$70,2,FALSE)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up'!$A$2:$C$70,3,FALSE)</f>
        <v>Cash</v>
      </c>
      <c r="J3082" s="5">
        <f>VLOOKUP(F3082,'Set up'!$A$2:$D$70,4,FALSE)</f>
        <v>0</v>
      </c>
      <c r="K3082" s="4">
        <f t="shared" si="789"/>
        <v>45502</v>
      </c>
      <c r="L3082" s="5">
        <f t="shared" si="790"/>
        <v>7</v>
      </c>
      <c r="M3082" s="5">
        <f t="shared" si="791"/>
        <v>2024</v>
      </c>
      <c r="N3082" s="12">
        <v>1684.8</v>
      </c>
      <c r="O3082" s="12"/>
      <c r="P3082" s="6">
        <f t="shared" si="777"/>
        <v>1684.8</v>
      </c>
      <c r="Q3082" s="7">
        <v>5066157.75</v>
      </c>
      <c r="R3082" s="44" t="str">
        <f>VLOOKUP(F3082,'Set up'!$A$2:$E$70,5,FALSE)</f>
        <v>Trsf</v>
      </c>
    </row>
    <row r="3083" spans="1:19" ht="15" customHeight="1" x14ac:dyDescent="0.35">
      <c r="A3083" s="4">
        <v>45502</v>
      </c>
      <c r="B3083" s="5">
        <f t="shared" si="787"/>
        <v>7</v>
      </c>
      <c r="C3083" s="5">
        <f t="shared" si="788"/>
        <v>2024</v>
      </c>
      <c r="D3083" s="5" t="s">
        <v>2771</v>
      </c>
      <c r="E3083" s="5" t="str">
        <f>VLOOKUP(F3083,'Set up'!$A$2:$C$70,2,FALSE)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up'!$A$2:$C$70,3,FALSE)</f>
        <v>Cash</v>
      </c>
      <c r="J3083" s="5">
        <f>VLOOKUP(F3083,'Set up'!$A$2:$D$70,4,FALSE)</f>
        <v>0</v>
      </c>
      <c r="K3083" s="4">
        <f t="shared" si="789"/>
        <v>45502</v>
      </c>
      <c r="L3083" s="5">
        <f t="shared" si="790"/>
        <v>7</v>
      </c>
      <c r="M3083" s="5">
        <f t="shared" si="791"/>
        <v>2024</v>
      </c>
      <c r="N3083" s="12">
        <v>280</v>
      </c>
      <c r="O3083" s="12"/>
      <c r="P3083" s="6">
        <f t="shared" si="777"/>
        <v>280</v>
      </c>
      <c r="Q3083" s="7">
        <v>5066437.75</v>
      </c>
      <c r="R3083" s="44" t="str">
        <f>VLOOKUP(F3083,'Set up'!$A$2:$E$70,5,FALSE)</f>
        <v>Trsf</v>
      </c>
    </row>
    <row r="3084" spans="1:19" ht="15" customHeight="1" x14ac:dyDescent="0.35">
      <c r="A3084" s="4">
        <v>45502</v>
      </c>
      <c r="B3084" s="5">
        <f t="shared" si="787"/>
        <v>7</v>
      </c>
      <c r="C3084" s="5">
        <f t="shared" si="788"/>
        <v>2024</v>
      </c>
      <c r="D3084" s="5" t="s">
        <v>2771</v>
      </c>
      <c r="E3084" s="5" t="str">
        <f>VLOOKUP(F3084,'Set up'!$A$2:$C$70,2,FALSE)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up'!$A$2:$C$70,3,FALSE)</f>
        <v>Cash</v>
      </c>
      <c r="J3084" s="5">
        <f>VLOOKUP(F3084,'Set up'!$A$2:$D$70,4,FALSE)</f>
        <v>0</v>
      </c>
      <c r="K3084" s="4">
        <f t="shared" si="789"/>
        <v>45502</v>
      </c>
      <c r="L3084" s="5">
        <f t="shared" si="790"/>
        <v>7</v>
      </c>
      <c r="M3084" s="5">
        <f t="shared" si="791"/>
        <v>2024</v>
      </c>
      <c r="N3084" s="12">
        <v>563.20000000000005</v>
      </c>
      <c r="O3084" s="12"/>
      <c r="P3084" s="6">
        <f t="shared" si="777"/>
        <v>563.20000000000005</v>
      </c>
      <c r="Q3084" s="7">
        <v>5067000.95</v>
      </c>
      <c r="R3084" s="44" t="str">
        <f>VLOOKUP(F3084,'Set up'!$A$2:$E$70,5,FALSE)</f>
        <v>Trsf</v>
      </c>
    </row>
    <row r="3085" spans="1:19" ht="15" customHeight="1" x14ac:dyDescent="0.35">
      <c r="A3085" s="4">
        <v>45502</v>
      </c>
      <c r="B3085" s="5">
        <f t="shared" si="787"/>
        <v>7</v>
      </c>
      <c r="C3085" s="5">
        <f t="shared" si="788"/>
        <v>2024</v>
      </c>
      <c r="D3085" s="5" t="s">
        <v>2771</v>
      </c>
      <c r="E3085" s="5" t="str">
        <f>VLOOKUP(F3085,'Set up'!$A$2:$C$70,2,FALSE)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up'!$A$2:$C$70,3,FALSE)</f>
        <v>Cash</v>
      </c>
      <c r="J3085" s="5">
        <f>VLOOKUP(F3085,'Set up'!$A$2:$D$70,4,FALSE)</f>
        <v>0</v>
      </c>
      <c r="K3085" s="4">
        <f t="shared" si="789"/>
        <v>45502</v>
      </c>
      <c r="L3085" s="5">
        <f t="shared" si="790"/>
        <v>7</v>
      </c>
      <c r="M3085" s="5">
        <f t="shared" si="791"/>
        <v>2024</v>
      </c>
      <c r="N3085" s="12">
        <v>380</v>
      </c>
      <c r="O3085" s="12"/>
      <c r="P3085" s="6">
        <f t="shared" si="777"/>
        <v>380</v>
      </c>
      <c r="Q3085" s="7">
        <v>5067380.95</v>
      </c>
      <c r="R3085" s="44" t="str">
        <f>VLOOKUP(F3085,'Set up'!$A$2:$E$70,5,FALSE)</f>
        <v>Trsf</v>
      </c>
    </row>
    <row r="3086" spans="1:19" ht="15" customHeight="1" x14ac:dyDescent="0.35">
      <c r="A3086" s="4">
        <v>45502</v>
      </c>
      <c r="B3086" s="5">
        <f t="shared" si="787"/>
        <v>7</v>
      </c>
      <c r="C3086" s="5">
        <f t="shared" si="788"/>
        <v>2024</v>
      </c>
      <c r="D3086" s="5" t="s">
        <v>2771</v>
      </c>
      <c r="E3086" s="5" t="str">
        <f>VLOOKUP(F3086,'Set up'!$A$2:$C$70,2,FALSE)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up'!$A$2:$C$70,3,FALSE)</f>
        <v>Cash</v>
      </c>
      <c r="J3086" s="5">
        <f>VLOOKUP(F3086,'Set up'!$A$2:$D$70,4,FALSE)</f>
        <v>0</v>
      </c>
      <c r="K3086" s="4">
        <f t="shared" si="789"/>
        <v>45502</v>
      </c>
      <c r="L3086" s="5">
        <f t="shared" si="790"/>
        <v>7</v>
      </c>
      <c r="M3086" s="5">
        <f t="shared" si="791"/>
        <v>2024</v>
      </c>
      <c r="N3086" s="12">
        <v>320</v>
      </c>
      <c r="O3086" s="12"/>
      <c r="P3086" s="6">
        <f t="shared" si="777"/>
        <v>320</v>
      </c>
      <c r="Q3086" s="7">
        <v>5067700.95</v>
      </c>
      <c r="R3086" s="44" t="str">
        <f>VLOOKUP(F3086,'Set up'!$A$2:$E$70,5,FALSE)</f>
        <v>Trsf</v>
      </c>
    </row>
    <row r="3087" spans="1:19" ht="15" customHeight="1" x14ac:dyDescent="0.35">
      <c r="A3087" s="4">
        <v>45500</v>
      </c>
      <c r="B3087" s="5">
        <f t="shared" si="787"/>
        <v>7</v>
      </c>
      <c r="C3087" s="5">
        <f t="shared" si="788"/>
        <v>2024</v>
      </c>
      <c r="D3087" s="5" t="s">
        <v>2772</v>
      </c>
      <c r="E3087" s="5" t="str">
        <f>VLOOKUP(F3087,'Set up'!$A$2:$C$70,2,FALSE)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up'!$A$2:$C$70,3,FALSE)</f>
        <v>Cash</v>
      </c>
      <c r="J3087" s="5">
        <f>VLOOKUP(F3087,'Set up'!$A$2:$D$70,4,FALSE)</f>
        <v>0</v>
      </c>
      <c r="K3087" s="4">
        <f t="shared" si="789"/>
        <v>45500</v>
      </c>
      <c r="L3087" s="5">
        <f t="shared" si="790"/>
        <v>7</v>
      </c>
      <c r="M3087" s="5">
        <f t="shared" si="791"/>
        <v>2024</v>
      </c>
      <c r="N3087" s="12">
        <v>1000</v>
      </c>
      <c r="O3087" s="6">
        <f t="shared" ref="O3087" si="792">-N3087</f>
        <v>-1000</v>
      </c>
      <c r="P3087" s="6">
        <f t="shared" si="777"/>
        <v>0</v>
      </c>
      <c r="Q3087" s="7">
        <v>5013261.6500000004</v>
      </c>
      <c r="R3087" s="44" t="str">
        <f>VLOOKUP(F3087,'Set up'!$A$2:$E$70,5,FALSE)</f>
        <v>Trsf</v>
      </c>
      <c r="S3087" s="1" t="s">
        <v>3374</v>
      </c>
    </row>
    <row r="3088" spans="1:19" ht="15" customHeight="1" x14ac:dyDescent="0.35">
      <c r="A3088" s="4">
        <v>45502</v>
      </c>
      <c r="B3088" s="5">
        <f t="shared" si="787"/>
        <v>7</v>
      </c>
      <c r="C3088" s="5">
        <f t="shared" si="788"/>
        <v>2024</v>
      </c>
      <c r="D3088" s="5" t="s">
        <v>2773</v>
      </c>
      <c r="E3088" s="5" t="str">
        <f>VLOOKUP(F3088,'Set up'!$A$2:$C$70,2,FALSE)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up'!$A$2:$C$70,3,FALSE)</f>
        <v>Cash</v>
      </c>
      <c r="J3088" s="5">
        <f>VLOOKUP(F3088,'Set up'!$A$2:$D$70,4,FALSE)</f>
        <v>0</v>
      </c>
      <c r="K3088" s="4">
        <f t="shared" si="789"/>
        <v>45502</v>
      </c>
      <c r="L3088" s="5">
        <f t="shared" si="790"/>
        <v>7</v>
      </c>
      <c r="M3088" s="5">
        <f t="shared" si="791"/>
        <v>2024</v>
      </c>
      <c r="N3088" s="12">
        <v>225</v>
      </c>
      <c r="O3088" s="12"/>
      <c r="P3088" s="6">
        <f t="shared" si="777"/>
        <v>225</v>
      </c>
      <c r="Q3088" s="7">
        <v>5012646.6500000004</v>
      </c>
      <c r="R3088" s="44" t="str">
        <f>VLOOKUP(F3088,'Set up'!$A$2:$E$70,5,FALSE)</f>
        <v>Cash</v>
      </c>
    </row>
    <row r="3089" spans="1:19" ht="15" customHeight="1" x14ac:dyDescent="0.35">
      <c r="A3089" s="4">
        <v>45503</v>
      </c>
      <c r="B3089" s="5">
        <f t="shared" si="787"/>
        <v>7</v>
      </c>
      <c r="C3089" s="5">
        <f t="shared" si="788"/>
        <v>2024</v>
      </c>
      <c r="D3089" s="5" t="s">
        <v>2774</v>
      </c>
      <c r="E3089" s="5" t="str">
        <f>VLOOKUP(F3089,'Set up'!$A$2:$C$70,2,FALSE)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up'!$A$2:$C$70,3,FALSE)</f>
        <v>Cash</v>
      </c>
      <c r="J3089" s="5">
        <f>VLOOKUP(F3089,'Set up'!$A$2:$D$70,4,FALSE)</f>
        <v>0</v>
      </c>
      <c r="K3089" s="4">
        <f t="shared" si="789"/>
        <v>45503</v>
      </c>
      <c r="L3089" s="5">
        <f t="shared" si="790"/>
        <v>7</v>
      </c>
      <c r="M3089" s="5">
        <f t="shared" si="791"/>
        <v>2024</v>
      </c>
      <c r="N3089" s="12">
        <v>1760</v>
      </c>
      <c r="O3089" s="6">
        <f t="shared" ref="O3089:O3101" si="793">-N3089</f>
        <v>-1760</v>
      </c>
      <c r="P3089" s="6">
        <f t="shared" si="777"/>
        <v>0</v>
      </c>
      <c r="Q3089" s="7">
        <v>5014331.6500000004</v>
      </c>
      <c r="R3089" s="44" t="str">
        <f>VLOOKUP(F3089,'Set up'!$A$2:$E$70,5,FALSE)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787"/>
        <v>7</v>
      </c>
      <c r="C3090" s="5">
        <f t="shared" si="788"/>
        <v>2024</v>
      </c>
      <c r="D3090" s="5" t="s">
        <v>2774</v>
      </c>
      <c r="E3090" s="5" t="str">
        <f>VLOOKUP(F3090,'Set up'!$A$2:$C$70,2,FALSE)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up'!$A$2:$C$70,3,FALSE)</f>
        <v>Cash</v>
      </c>
      <c r="J3090" s="5">
        <f>VLOOKUP(F3090,'Set up'!$A$2:$D$70,4,FALSE)</f>
        <v>0</v>
      </c>
      <c r="K3090" s="4">
        <f t="shared" si="789"/>
        <v>45503</v>
      </c>
      <c r="L3090" s="5">
        <f t="shared" si="790"/>
        <v>7</v>
      </c>
      <c r="M3090" s="5">
        <f t="shared" si="791"/>
        <v>2024</v>
      </c>
      <c r="N3090" s="12">
        <v>555</v>
      </c>
      <c r="O3090" s="6">
        <f t="shared" si="793"/>
        <v>-555</v>
      </c>
      <c r="P3090" s="6">
        <f t="shared" si="777"/>
        <v>0</v>
      </c>
      <c r="Q3090" s="7">
        <v>5013410.45</v>
      </c>
      <c r="R3090" s="44" t="str">
        <f>VLOOKUP(F3090,'Set up'!$A$2:$E$70,5,FALSE)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787"/>
        <v>7</v>
      </c>
      <c r="C3091" s="5">
        <f t="shared" si="788"/>
        <v>2024</v>
      </c>
      <c r="D3091" s="5" t="s">
        <v>2774</v>
      </c>
      <c r="E3091" s="5" t="str">
        <f>VLOOKUP(F3091,'Set up'!$A$2:$C$70,2,FALSE)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up'!$A$2:$C$70,3,FALSE)</f>
        <v>Cash</v>
      </c>
      <c r="J3091" s="5">
        <f>VLOOKUP(F3091,'Set up'!$A$2:$D$70,4,FALSE)</f>
        <v>0</v>
      </c>
      <c r="K3091" s="4">
        <f t="shared" si="789"/>
        <v>45503</v>
      </c>
      <c r="L3091" s="5">
        <f t="shared" si="790"/>
        <v>7</v>
      </c>
      <c r="M3091" s="5">
        <f t="shared" si="791"/>
        <v>2024</v>
      </c>
      <c r="N3091" s="12">
        <v>95</v>
      </c>
      <c r="O3091" s="6">
        <f t="shared" si="793"/>
        <v>-95</v>
      </c>
      <c r="P3091" s="6">
        <f t="shared" si="777"/>
        <v>0</v>
      </c>
      <c r="Q3091" s="7">
        <v>5013887.95</v>
      </c>
      <c r="R3091" s="44" t="str">
        <f>VLOOKUP(F3091,'Set up'!$A$2:$E$70,5,FALSE)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787"/>
        <v>7</v>
      </c>
      <c r="C3092" s="5">
        <f t="shared" si="788"/>
        <v>2024</v>
      </c>
      <c r="D3092" s="5" t="s">
        <v>2774</v>
      </c>
      <c r="E3092" s="5" t="str">
        <f>VLOOKUP(F3092,'Set up'!$A$2:$C$70,2,FALSE)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up'!$A$2:$C$70,3,FALSE)</f>
        <v>Cash</v>
      </c>
      <c r="J3092" s="5">
        <f>VLOOKUP(F3092,'Set up'!$A$2:$D$70,4,FALSE)</f>
        <v>0</v>
      </c>
      <c r="K3092" s="4">
        <f t="shared" si="789"/>
        <v>45503</v>
      </c>
      <c r="L3092" s="5">
        <f t="shared" si="790"/>
        <v>7</v>
      </c>
      <c r="M3092" s="5">
        <f t="shared" si="791"/>
        <v>2024</v>
      </c>
      <c r="N3092" s="12">
        <v>312.5</v>
      </c>
      <c r="O3092" s="6">
        <f t="shared" si="793"/>
        <v>-312.5</v>
      </c>
      <c r="P3092" s="6">
        <f t="shared" si="777"/>
        <v>0</v>
      </c>
      <c r="Q3092" s="7">
        <v>5038525.45</v>
      </c>
      <c r="R3092" s="44" t="str">
        <f>VLOOKUP(F3092,'Set up'!$A$2:$E$70,5,FALSE)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si="787"/>
        <v>8</v>
      </c>
      <c r="C3093" s="5">
        <f t="shared" si="788"/>
        <v>2024</v>
      </c>
      <c r="D3093" s="5" t="s">
        <v>2840</v>
      </c>
      <c r="E3093" s="5" t="str">
        <f>VLOOKUP(F3093,'Set up'!$A$2:$C$70,2,FALSE)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up'!$A$2:$C$70,3,FALSE)</f>
        <v>30</v>
      </c>
      <c r="J3093" s="5">
        <f>VLOOKUP(F3093,'Set up'!$A$2:$D$70,4,FALSE)</f>
        <v>30</v>
      </c>
      <c r="K3093" s="4">
        <f t="shared" si="789"/>
        <v>45536</v>
      </c>
      <c r="L3093" s="5">
        <f t="shared" si="790"/>
        <v>9</v>
      </c>
      <c r="M3093" s="5">
        <f t="shared" si="791"/>
        <v>2024</v>
      </c>
      <c r="N3093" s="12">
        <v>5280</v>
      </c>
      <c r="O3093" s="6">
        <f t="shared" si="793"/>
        <v>-5280</v>
      </c>
      <c r="P3093" s="6">
        <f t="shared" ref="P3093:P3156" si="794">SUM(N3093+O3093)</f>
        <v>0</v>
      </c>
      <c r="Q3093" s="7">
        <v>5067920.4499999993</v>
      </c>
      <c r="R3093" s="44" t="str">
        <f>VLOOKUP(F3093,'Set up'!$A$2:$E$70,5,FALSE)</f>
        <v>Chq</v>
      </c>
      <c r="S3093" s="1" t="s">
        <v>3326</v>
      </c>
    </row>
    <row r="3094" spans="1:19" ht="15" customHeight="1" x14ac:dyDescent="0.35">
      <c r="A3094" s="4">
        <v>45506</v>
      </c>
      <c r="B3094" s="5">
        <f t="shared" si="787"/>
        <v>8</v>
      </c>
      <c r="C3094" s="5">
        <f t="shared" si="788"/>
        <v>2024</v>
      </c>
      <c r="D3094" s="5" t="s">
        <v>2840</v>
      </c>
      <c r="E3094" s="5" t="str">
        <f>VLOOKUP(F3094,'Set up'!$A$2:$C$70,2,FALSE)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up'!$A$2:$C$70,3,FALSE)</f>
        <v>30</v>
      </c>
      <c r="J3094" s="5">
        <f>VLOOKUP(F3094,'Set up'!$A$2:$D$70,4,FALSE)</f>
        <v>30</v>
      </c>
      <c r="K3094" s="4">
        <f t="shared" si="789"/>
        <v>45536</v>
      </c>
      <c r="L3094" s="5">
        <f t="shared" si="790"/>
        <v>9</v>
      </c>
      <c r="M3094" s="5">
        <f t="shared" si="791"/>
        <v>2024</v>
      </c>
      <c r="N3094" s="12">
        <v>842.4</v>
      </c>
      <c r="O3094" s="6">
        <f t="shared" si="793"/>
        <v>-842.4</v>
      </c>
      <c r="P3094" s="6">
        <f t="shared" si="794"/>
        <v>0</v>
      </c>
      <c r="Q3094" s="7">
        <v>5068762.8499999996</v>
      </c>
      <c r="R3094" s="44" t="str">
        <f>VLOOKUP(F3094,'Set up'!$A$2:$E$70,5,FALSE)</f>
        <v>Chq</v>
      </c>
      <c r="S3094" s="1" t="s">
        <v>3326</v>
      </c>
    </row>
    <row r="3095" spans="1:19" ht="15" customHeight="1" x14ac:dyDescent="0.35">
      <c r="A3095" s="4">
        <v>45506</v>
      </c>
      <c r="B3095" s="5">
        <f t="shared" si="787"/>
        <v>8</v>
      </c>
      <c r="C3095" s="5">
        <f t="shared" si="788"/>
        <v>2024</v>
      </c>
      <c r="D3095" s="5" t="s">
        <v>2840</v>
      </c>
      <c r="E3095" s="5" t="str">
        <f>VLOOKUP(F3095,'Set up'!$A$2:$C$70,2,FALSE)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up'!$A$2:$C$70,3,FALSE)</f>
        <v>30</v>
      </c>
      <c r="J3095" s="5">
        <f>VLOOKUP(F3095,'Set up'!$A$2:$D$70,4,FALSE)</f>
        <v>30</v>
      </c>
      <c r="K3095" s="4">
        <f t="shared" si="789"/>
        <v>45536</v>
      </c>
      <c r="L3095" s="5">
        <f t="shared" si="790"/>
        <v>9</v>
      </c>
      <c r="M3095" s="5">
        <f t="shared" si="791"/>
        <v>2024</v>
      </c>
      <c r="N3095" s="12">
        <v>842.4</v>
      </c>
      <c r="O3095" s="6">
        <f t="shared" si="793"/>
        <v>-842.4</v>
      </c>
      <c r="P3095" s="6">
        <f t="shared" si="794"/>
        <v>0</v>
      </c>
      <c r="Q3095" s="7">
        <v>5069605.25</v>
      </c>
      <c r="R3095" s="44" t="str">
        <f>VLOOKUP(F3095,'Set up'!$A$2:$E$70,5,FALSE)</f>
        <v>Chq</v>
      </c>
      <c r="S3095" s="1" t="s">
        <v>3326</v>
      </c>
    </row>
    <row r="3096" spans="1:19" ht="15" customHeight="1" x14ac:dyDescent="0.35">
      <c r="A3096" s="4">
        <v>45506</v>
      </c>
      <c r="B3096" s="5">
        <f t="shared" si="787"/>
        <v>8</v>
      </c>
      <c r="C3096" s="5">
        <f t="shared" si="788"/>
        <v>2024</v>
      </c>
      <c r="D3096" s="5" t="s">
        <v>2840</v>
      </c>
      <c r="E3096" s="5" t="str">
        <f>VLOOKUP(F3096,'Set up'!$A$2:$C$70,2,FALSE)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up'!$A$2:$C$70,3,FALSE)</f>
        <v>30</v>
      </c>
      <c r="J3096" s="5">
        <f>VLOOKUP(F3096,'Set up'!$A$2:$D$70,4,FALSE)</f>
        <v>30</v>
      </c>
      <c r="K3096" s="4">
        <f t="shared" si="789"/>
        <v>45536</v>
      </c>
      <c r="L3096" s="5">
        <f t="shared" si="790"/>
        <v>9</v>
      </c>
      <c r="M3096" s="5">
        <f t="shared" si="791"/>
        <v>2024</v>
      </c>
      <c r="N3096" s="12">
        <v>240</v>
      </c>
      <c r="O3096" s="6">
        <f t="shared" si="793"/>
        <v>-240</v>
      </c>
      <c r="P3096" s="6">
        <f t="shared" si="794"/>
        <v>0</v>
      </c>
      <c r="Q3096" s="7">
        <v>5069845.25</v>
      </c>
      <c r="R3096" s="44" t="str">
        <f>VLOOKUP(F3096,'Set up'!$A$2:$E$70,5,FALSE)</f>
        <v>Chq</v>
      </c>
      <c r="S3096" s="1" t="s">
        <v>3326</v>
      </c>
    </row>
    <row r="3097" spans="1:19" ht="15" customHeight="1" x14ac:dyDescent="0.35">
      <c r="A3097" s="4">
        <v>45506</v>
      </c>
      <c r="B3097" s="5">
        <f t="shared" si="787"/>
        <v>8</v>
      </c>
      <c r="C3097" s="5">
        <f t="shared" si="788"/>
        <v>2024</v>
      </c>
      <c r="D3097" s="5" t="s">
        <v>2840</v>
      </c>
      <c r="E3097" s="5" t="str">
        <f>VLOOKUP(F3097,'Set up'!$A$2:$C$70,2,FALSE)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up'!$A$2:$C$70,3,FALSE)</f>
        <v>30</v>
      </c>
      <c r="J3097" s="5">
        <f>VLOOKUP(F3097,'Set up'!$A$2:$D$70,4,FALSE)</f>
        <v>30</v>
      </c>
      <c r="K3097" s="4">
        <f t="shared" si="789"/>
        <v>45536</v>
      </c>
      <c r="L3097" s="5">
        <f t="shared" si="790"/>
        <v>9</v>
      </c>
      <c r="M3097" s="5">
        <f t="shared" si="791"/>
        <v>2024</v>
      </c>
      <c r="N3097" s="12">
        <v>312.5</v>
      </c>
      <c r="O3097" s="6">
        <f t="shared" si="793"/>
        <v>-312.5</v>
      </c>
      <c r="P3097" s="6">
        <f t="shared" si="794"/>
        <v>0</v>
      </c>
      <c r="Q3097" s="7">
        <v>5070157.75</v>
      </c>
      <c r="R3097" s="44" t="str">
        <f>VLOOKUP(F3097,'Set up'!$A$2:$E$70,5,FALSE)</f>
        <v>Chq</v>
      </c>
      <c r="S3097" s="1" t="s">
        <v>3326</v>
      </c>
    </row>
    <row r="3098" spans="1:19" ht="15" customHeight="1" x14ac:dyDescent="0.35">
      <c r="A3098" s="4">
        <v>45506</v>
      </c>
      <c r="B3098" s="5">
        <f t="shared" si="787"/>
        <v>8</v>
      </c>
      <c r="C3098" s="5">
        <f t="shared" si="788"/>
        <v>2024</v>
      </c>
      <c r="D3098" s="5" t="s">
        <v>2840</v>
      </c>
      <c r="E3098" s="5" t="str">
        <f>VLOOKUP(F3098,'Set up'!$A$2:$C$70,2,FALSE)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up'!$A$2:$C$70,3,FALSE)</f>
        <v>30</v>
      </c>
      <c r="J3098" s="5">
        <f>VLOOKUP(F3098,'Set up'!$A$2:$D$70,4,FALSE)</f>
        <v>30</v>
      </c>
      <c r="K3098" s="4">
        <f t="shared" si="789"/>
        <v>45536</v>
      </c>
      <c r="L3098" s="5">
        <f t="shared" si="790"/>
        <v>9</v>
      </c>
      <c r="M3098" s="5">
        <f t="shared" si="791"/>
        <v>2024</v>
      </c>
      <c r="N3098" s="12">
        <v>930</v>
      </c>
      <c r="O3098" s="6">
        <f t="shared" si="793"/>
        <v>-930</v>
      </c>
      <c r="P3098" s="6">
        <f t="shared" si="794"/>
        <v>0</v>
      </c>
      <c r="Q3098" s="7">
        <v>5071087.75</v>
      </c>
      <c r="R3098" s="44" t="str">
        <f>VLOOKUP(F3098,'Set up'!$A$2:$E$70,5,FALSE)</f>
        <v>Chq</v>
      </c>
      <c r="S3098" s="1" t="s">
        <v>3326</v>
      </c>
    </row>
    <row r="3099" spans="1:19" ht="15" customHeight="1" x14ac:dyDescent="0.35">
      <c r="A3099" s="4">
        <v>45506</v>
      </c>
      <c r="B3099" s="5">
        <f t="shared" si="787"/>
        <v>8</v>
      </c>
      <c r="C3099" s="5">
        <f t="shared" si="788"/>
        <v>2024</v>
      </c>
      <c r="D3099" s="5" t="s">
        <v>2840</v>
      </c>
      <c r="E3099" s="5" t="str">
        <f>VLOOKUP(F3099,'Set up'!$A$2:$C$70,2,FALSE)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up'!$A$2:$C$70,3,FALSE)</f>
        <v>30</v>
      </c>
      <c r="J3099" s="5">
        <f>VLOOKUP(F3099,'Set up'!$A$2:$D$70,4,FALSE)</f>
        <v>30</v>
      </c>
      <c r="K3099" s="4">
        <f t="shared" si="789"/>
        <v>45536</v>
      </c>
      <c r="L3099" s="5">
        <f t="shared" si="790"/>
        <v>9</v>
      </c>
      <c r="M3099" s="5">
        <f t="shared" si="791"/>
        <v>2024</v>
      </c>
      <c r="N3099" s="12">
        <v>285</v>
      </c>
      <c r="O3099" s="6">
        <f t="shared" si="793"/>
        <v>-285</v>
      </c>
      <c r="P3099" s="6">
        <f t="shared" si="794"/>
        <v>0</v>
      </c>
      <c r="Q3099" s="7">
        <v>5071372.75</v>
      </c>
      <c r="R3099" s="44" t="str">
        <f>VLOOKUP(F3099,'Set up'!$A$2:$E$70,5,FALSE)</f>
        <v>Chq</v>
      </c>
      <c r="S3099" s="1" t="s">
        <v>3326</v>
      </c>
    </row>
    <row r="3100" spans="1:19" ht="15" customHeight="1" x14ac:dyDescent="0.35">
      <c r="A3100" s="4">
        <v>45509</v>
      </c>
      <c r="B3100" s="5">
        <f t="shared" si="787"/>
        <v>8</v>
      </c>
      <c r="C3100" s="5">
        <f t="shared" si="788"/>
        <v>2024</v>
      </c>
      <c r="D3100" s="5" t="s">
        <v>2841</v>
      </c>
      <c r="E3100" s="5" t="str">
        <f>VLOOKUP(F3100,'Set up'!$A$2:$C$70,2,FALSE)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up'!$A$2:$C$70,3,FALSE)</f>
        <v>Cash</v>
      </c>
      <c r="J3100" s="5">
        <f>VLOOKUP(F3100,'Set up'!$A$2:$D$70,4,FALSE)</f>
        <v>0</v>
      </c>
      <c r="K3100" s="4">
        <f t="shared" si="789"/>
        <v>45509</v>
      </c>
      <c r="L3100" s="5">
        <f t="shared" si="790"/>
        <v>8</v>
      </c>
      <c r="M3100" s="5">
        <f t="shared" si="791"/>
        <v>2024</v>
      </c>
      <c r="N3100" s="12">
        <v>190</v>
      </c>
      <c r="O3100" s="6">
        <f t="shared" si="793"/>
        <v>-190</v>
      </c>
      <c r="P3100" s="6">
        <f t="shared" si="794"/>
        <v>0</v>
      </c>
      <c r="Q3100" s="7">
        <v>5071562.75</v>
      </c>
      <c r="R3100" s="44" t="str">
        <f>VLOOKUP(F3100,'Set up'!$A$2:$E$70,5,FALSE)</f>
        <v>Trsf</v>
      </c>
      <c r="S3100" s="1" t="s">
        <v>3376</v>
      </c>
    </row>
    <row r="3101" spans="1:19" ht="15" customHeight="1" x14ac:dyDescent="0.35">
      <c r="A3101" s="4">
        <v>45509</v>
      </c>
      <c r="B3101" s="5">
        <f t="shared" si="787"/>
        <v>8</v>
      </c>
      <c r="C3101" s="5">
        <f t="shared" si="788"/>
        <v>2024</v>
      </c>
      <c r="D3101" s="5" t="s">
        <v>2841</v>
      </c>
      <c r="E3101" s="5" t="str">
        <f>VLOOKUP(F3101,'Set up'!$A$2:$C$70,2,FALSE)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up'!$A$2:$C$70,3,FALSE)</f>
        <v>Cash</v>
      </c>
      <c r="J3101" s="5">
        <f>VLOOKUP(F3101,'Set up'!$A$2:$D$70,4,FALSE)</f>
        <v>0</v>
      </c>
      <c r="K3101" s="4">
        <f t="shared" si="789"/>
        <v>45509</v>
      </c>
      <c r="L3101" s="5">
        <f t="shared" si="790"/>
        <v>8</v>
      </c>
      <c r="M3101" s="5">
        <f t="shared" si="791"/>
        <v>2024</v>
      </c>
      <c r="N3101" s="12">
        <v>220</v>
      </c>
      <c r="O3101" s="6">
        <f t="shared" si="793"/>
        <v>-220</v>
      </c>
      <c r="P3101" s="6">
        <f t="shared" si="794"/>
        <v>0</v>
      </c>
      <c r="Q3101" s="7">
        <v>5071782.75</v>
      </c>
      <c r="R3101" s="44" t="str">
        <f>VLOOKUP(F3101,'Set up'!$A$2:$E$70,5,FALSE)</f>
        <v>Trsf</v>
      </c>
      <c r="S3101" s="1" t="s">
        <v>3377</v>
      </c>
    </row>
    <row r="3102" spans="1:19" ht="15" customHeight="1" x14ac:dyDescent="0.35">
      <c r="A3102" s="4">
        <v>45509</v>
      </c>
      <c r="B3102" s="5">
        <f t="shared" si="787"/>
        <v>8</v>
      </c>
      <c r="C3102" s="5">
        <f t="shared" si="788"/>
        <v>2024</v>
      </c>
      <c r="D3102" s="5" t="s">
        <v>2842</v>
      </c>
      <c r="E3102" s="5" t="str">
        <f>VLOOKUP(F3102,'Set up'!$A$2:$C$70,2,FALSE)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up'!$A$2:$C$70,3,FALSE)</f>
        <v>Cash</v>
      </c>
      <c r="J3102" s="5">
        <f>VLOOKUP(F3102,'Set up'!$A$2:$D$70,4,FALSE)</f>
        <v>0</v>
      </c>
      <c r="K3102" s="4">
        <f t="shared" si="789"/>
        <v>45509</v>
      </c>
      <c r="L3102" s="5">
        <f t="shared" si="790"/>
        <v>8</v>
      </c>
      <c r="M3102" s="5">
        <f t="shared" si="791"/>
        <v>2024</v>
      </c>
      <c r="N3102" s="12">
        <v>8690</v>
      </c>
      <c r="O3102" s="6">
        <f t="shared" ref="O3102:O3105" si="795">-N3102</f>
        <v>-8690</v>
      </c>
      <c r="P3102" s="6">
        <f t="shared" si="794"/>
        <v>0</v>
      </c>
      <c r="Q3102" s="7">
        <v>5080472.75</v>
      </c>
      <c r="R3102" s="44" t="str">
        <f>VLOOKUP(F3102,'Set up'!$A$2:$E$70,5,FALSE)</f>
        <v>Chq</v>
      </c>
      <c r="S3102" s="1" t="s">
        <v>3188</v>
      </c>
    </row>
    <row r="3103" spans="1:19" ht="15" customHeight="1" x14ac:dyDescent="0.35">
      <c r="A3103" s="4">
        <v>45509</v>
      </c>
      <c r="B3103" s="5">
        <f t="shared" si="787"/>
        <v>8</v>
      </c>
      <c r="C3103" s="5">
        <f t="shared" si="788"/>
        <v>2024</v>
      </c>
      <c r="D3103" s="5" t="s">
        <v>2842</v>
      </c>
      <c r="E3103" s="5" t="str">
        <f>VLOOKUP(F3103,'Set up'!$A$2:$C$70,2,FALSE)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up'!$A$2:$C$70,3,FALSE)</f>
        <v>Cash</v>
      </c>
      <c r="J3103" s="5">
        <f>VLOOKUP(F3103,'Set up'!$A$2:$D$70,4,FALSE)</f>
        <v>0</v>
      </c>
      <c r="K3103" s="4">
        <f t="shared" si="789"/>
        <v>45509</v>
      </c>
      <c r="L3103" s="5">
        <f t="shared" si="790"/>
        <v>8</v>
      </c>
      <c r="M3103" s="5">
        <f t="shared" si="791"/>
        <v>2024</v>
      </c>
      <c r="N3103" s="12">
        <v>2700</v>
      </c>
      <c r="O3103" s="6">
        <f t="shared" si="795"/>
        <v>-2700</v>
      </c>
      <c r="P3103" s="6">
        <f t="shared" si="794"/>
        <v>0</v>
      </c>
      <c r="Q3103" s="7">
        <v>5083172.75</v>
      </c>
      <c r="R3103" s="44" t="str">
        <f>VLOOKUP(F3103,'Set up'!$A$2:$E$70,5,FALSE)</f>
        <v>Chq</v>
      </c>
      <c r="S3103" s="1" t="s">
        <v>3188</v>
      </c>
    </row>
    <row r="3104" spans="1:19" ht="15" customHeight="1" x14ac:dyDescent="0.35">
      <c r="A3104" s="4">
        <v>45509</v>
      </c>
      <c r="B3104" s="5">
        <f t="shared" si="787"/>
        <v>8</v>
      </c>
      <c r="C3104" s="5">
        <f t="shared" si="788"/>
        <v>2024</v>
      </c>
      <c r="D3104" s="5" t="s">
        <v>2842</v>
      </c>
      <c r="E3104" s="5" t="str">
        <f>VLOOKUP(F3104,'Set up'!$A$2:$C$70,2,FALSE)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up'!$A$2:$C$70,3,FALSE)</f>
        <v>Cash</v>
      </c>
      <c r="J3104" s="5">
        <f>VLOOKUP(F3104,'Set up'!$A$2:$D$70,4,FALSE)</f>
        <v>0</v>
      </c>
      <c r="K3104" s="4">
        <f t="shared" si="789"/>
        <v>45509</v>
      </c>
      <c r="L3104" s="5">
        <f t="shared" si="790"/>
        <v>8</v>
      </c>
      <c r="M3104" s="5">
        <f t="shared" si="791"/>
        <v>2024</v>
      </c>
      <c r="N3104" s="12">
        <v>220</v>
      </c>
      <c r="O3104" s="6">
        <f t="shared" si="795"/>
        <v>-220</v>
      </c>
      <c r="P3104" s="6">
        <f t="shared" si="794"/>
        <v>0</v>
      </c>
      <c r="Q3104" s="7">
        <v>5083392.75</v>
      </c>
      <c r="R3104" s="44" t="str">
        <f>VLOOKUP(F3104,'Set up'!$A$2:$E$70,5,FALSE)</f>
        <v>Chq</v>
      </c>
      <c r="S3104" s="1" t="s">
        <v>3188</v>
      </c>
    </row>
    <row r="3105" spans="1:19" ht="15" customHeight="1" x14ac:dyDescent="0.35">
      <c r="A3105" s="4">
        <v>45509</v>
      </c>
      <c r="B3105" s="5">
        <f t="shared" si="787"/>
        <v>8</v>
      </c>
      <c r="C3105" s="5">
        <f t="shared" si="788"/>
        <v>2024</v>
      </c>
      <c r="D3105" s="5" t="s">
        <v>2842</v>
      </c>
      <c r="E3105" s="5" t="str">
        <f>VLOOKUP(F3105,'Set up'!$A$2:$C$70,2,FALSE)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up'!$A$2:$C$70,3,FALSE)</f>
        <v>Cash</v>
      </c>
      <c r="J3105" s="5">
        <f>VLOOKUP(F3105,'Set up'!$A$2:$D$70,4,FALSE)</f>
        <v>0</v>
      </c>
      <c r="K3105" s="4">
        <f t="shared" si="789"/>
        <v>45509</v>
      </c>
      <c r="L3105" s="5">
        <f t="shared" si="790"/>
        <v>8</v>
      </c>
      <c r="M3105" s="5">
        <f t="shared" si="791"/>
        <v>2024</v>
      </c>
      <c r="N3105" s="12">
        <v>640</v>
      </c>
      <c r="O3105" s="6">
        <f t="shared" si="795"/>
        <v>-640</v>
      </c>
      <c r="P3105" s="6">
        <f t="shared" si="794"/>
        <v>0</v>
      </c>
      <c r="Q3105" s="7">
        <v>5084032.75</v>
      </c>
      <c r="R3105" s="44" t="str">
        <f>VLOOKUP(F3105,'Set up'!$A$2:$E$70,5,FALSE)</f>
        <v>Chq</v>
      </c>
      <c r="S3105" s="1" t="s">
        <v>3188</v>
      </c>
    </row>
    <row r="3106" spans="1:19" ht="15" customHeight="1" x14ac:dyDescent="0.35">
      <c r="A3106" s="4">
        <v>45509</v>
      </c>
      <c r="B3106" s="5">
        <f t="shared" si="787"/>
        <v>8</v>
      </c>
      <c r="C3106" s="5">
        <f t="shared" si="788"/>
        <v>2024</v>
      </c>
      <c r="D3106" s="5" t="s">
        <v>2844</v>
      </c>
      <c r="E3106" s="5" t="str">
        <f>VLOOKUP(F3106,'Set up'!$A$2:$C$70,2,FALSE)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up'!$A$2:$C$70,3,FALSE)</f>
        <v>Cash</v>
      </c>
      <c r="J3106" s="5">
        <f>VLOOKUP(F3106,'Set up'!$A$2:$D$70,4,FALSE)</f>
        <v>0</v>
      </c>
      <c r="K3106" s="4">
        <f t="shared" si="789"/>
        <v>45509</v>
      </c>
      <c r="L3106" s="5">
        <f t="shared" si="790"/>
        <v>8</v>
      </c>
      <c r="M3106" s="5">
        <f t="shared" si="791"/>
        <v>2024</v>
      </c>
      <c r="N3106" s="12">
        <v>1694</v>
      </c>
      <c r="O3106" s="6">
        <f t="shared" ref="O3106:O3110" si="796">-N3106</f>
        <v>-1694</v>
      </c>
      <c r="P3106" s="6">
        <f t="shared" si="794"/>
        <v>0</v>
      </c>
      <c r="Q3106" s="7">
        <v>5085726.75</v>
      </c>
      <c r="R3106" s="44" t="str">
        <f>VLOOKUP(F3106,'Set up'!$A$2:$E$70,5,FALSE)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787"/>
        <v>8</v>
      </c>
      <c r="C3107" s="5">
        <f t="shared" si="788"/>
        <v>2024</v>
      </c>
      <c r="D3107" s="5" t="s">
        <v>2844</v>
      </c>
      <c r="E3107" s="5" t="str">
        <f>VLOOKUP(F3107,'Set up'!$A$2:$C$70,2,FALSE)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up'!$A$2:$C$70,3,FALSE)</f>
        <v>Cash</v>
      </c>
      <c r="J3107" s="5">
        <f>VLOOKUP(F3107,'Set up'!$A$2:$D$70,4,FALSE)</f>
        <v>0</v>
      </c>
      <c r="K3107" s="4">
        <f t="shared" si="789"/>
        <v>45509</v>
      </c>
      <c r="L3107" s="5">
        <f t="shared" si="790"/>
        <v>8</v>
      </c>
      <c r="M3107" s="5">
        <f t="shared" si="791"/>
        <v>2024</v>
      </c>
      <c r="N3107" s="12">
        <v>280</v>
      </c>
      <c r="O3107" s="6">
        <f t="shared" si="796"/>
        <v>-280</v>
      </c>
      <c r="P3107" s="6">
        <f t="shared" si="794"/>
        <v>0</v>
      </c>
      <c r="Q3107" s="7">
        <v>5086006.75</v>
      </c>
      <c r="R3107" s="44" t="str">
        <f>VLOOKUP(F3107,'Set up'!$A$2:$E$70,5,FALSE)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787"/>
        <v>8</v>
      </c>
      <c r="C3108" s="5">
        <f t="shared" si="788"/>
        <v>2024</v>
      </c>
      <c r="D3108" s="5" t="s">
        <v>2844</v>
      </c>
      <c r="E3108" s="5" t="str">
        <f>VLOOKUP(F3108,'Set up'!$A$2:$C$70,2,FALSE)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up'!$A$2:$C$70,3,FALSE)</f>
        <v>Cash</v>
      </c>
      <c r="J3108" s="5">
        <f>VLOOKUP(F3108,'Set up'!$A$2:$D$70,4,FALSE)</f>
        <v>0</v>
      </c>
      <c r="K3108" s="4">
        <f t="shared" si="789"/>
        <v>45509</v>
      </c>
      <c r="L3108" s="5">
        <f t="shared" si="790"/>
        <v>8</v>
      </c>
      <c r="M3108" s="5">
        <f t="shared" si="791"/>
        <v>2024</v>
      </c>
      <c r="N3108" s="12">
        <v>325</v>
      </c>
      <c r="O3108" s="6">
        <f t="shared" si="796"/>
        <v>-325</v>
      </c>
      <c r="P3108" s="6">
        <f t="shared" si="794"/>
        <v>0</v>
      </c>
      <c r="Q3108" s="7">
        <v>5086331.75</v>
      </c>
      <c r="R3108" s="44" t="str">
        <f>VLOOKUP(F3108,'Set up'!$A$2:$E$70,5,FALSE)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787"/>
        <v>8</v>
      </c>
      <c r="C3109" s="5">
        <f t="shared" si="788"/>
        <v>2024</v>
      </c>
      <c r="D3109" s="5" t="s">
        <v>2844</v>
      </c>
      <c r="E3109" s="5" t="str">
        <f>VLOOKUP(F3109,'Set up'!$A$2:$C$70,2,FALSE)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up'!$A$2:$C$70,3,FALSE)</f>
        <v>Cash</v>
      </c>
      <c r="J3109" s="5">
        <f>VLOOKUP(F3109,'Set up'!$A$2:$D$70,4,FALSE)</f>
        <v>0</v>
      </c>
      <c r="K3109" s="4">
        <f t="shared" si="789"/>
        <v>45509</v>
      </c>
      <c r="L3109" s="5">
        <f t="shared" si="790"/>
        <v>8</v>
      </c>
      <c r="M3109" s="5">
        <f t="shared" si="791"/>
        <v>2024</v>
      </c>
      <c r="N3109" s="12">
        <v>414</v>
      </c>
      <c r="O3109" s="6">
        <f t="shared" si="796"/>
        <v>-414</v>
      </c>
      <c r="P3109" s="6">
        <f t="shared" si="794"/>
        <v>0</v>
      </c>
      <c r="Q3109" s="7">
        <v>5086745.75</v>
      </c>
      <c r="R3109" s="44" t="str">
        <f>VLOOKUP(F3109,'Set up'!$A$2:$E$70,5,FALSE)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787"/>
        <v>8</v>
      </c>
      <c r="C3110" s="5">
        <f t="shared" si="788"/>
        <v>2024</v>
      </c>
      <c r="D3110" s="5" t="s">
        <v>2844</v>
      </c>
      <c r="E3110" s="5" t="str">
        <f>VLOOKUP(F3110,'Set up'!$A$2:$C$70,2,FALSE)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up'!$A$2:$C$70,3,FALSE)</f>
        <v>Cash</v>
      </c>
      <c r="J3110" s="5">
        <f>VLOOKUP(F3110,'Set up'!$A$2:$D$70,4,FALSE)</f>
        <v>0</v>
      </c>
      <c r="K3110" s="4">
        <f t="shared" si="789"/>
        <v>45509</v>
      </c>
      <c r="L3110" s="5">
        <f t="shared" si="790"/>
        <v>8</v>
      </c>
      <c r="M3110" s="5">
        <f t="shared" si="791"/>
        <v>2024</v>
      </c>
      <c r="N3110" s="12">
        <v>165</v>
      </c>
      <c r="O3110" s="6">
        <f t="shared" si="796"/>
        <v>-165</v>
      </c>
      <c r="P3110" s="6">
        <f t="shared" si="794"/>
        <v>0</v>
      </c>
      <c r="Q3110" s="7">
        <v>5086910.75</v>
      </c>
      <c r="R3110" s="44" t="str">
        <f>VLOOKUP(F3110,'Set up'!$A$2:$E$70,5,FALSE)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787"/>
        <v>8</v>
      </c>
      <c r="C3111" s="5">
        <f t="shared" si="788"/>
        <v>2024</v>
      </c>
      <c r="D3111" s="5" t="s">
        <v>2845</v>
      </c>
      <c r="E3111" s="5" t="str">
        <f>VLOOKUP(F3111,'Set up'!$A$2:$C$70,2,FALSE)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up'!$A$2:$C$70,3,FALSE)</f>
        <v>Cash</v>
      </c>
      <c r="J3111" s="5">
        <f>VLOOKUP(F3111,'Set up'!$A$2:$D$70,4,FALSE)</f>
        <v>0</v>
      </c>
      <c r="K3111" s="4">
        <f t="shared" si="789"/>
        <v>45510</v>
      </c>
      <c r="L3111" s="5">
        <f t="shared" si="790"/>
        <v>8</v>
      </c>
      <c r="M3111" s="5">
        <f t="shared" si="791"/>
        <v>2024</v>
      </c>
      <c r="N3111" s="12">
        <v>1760</v>
      </c>
      <c r="O3111" s="6">
        <f t="shared" ref="O3111:O3120" si="797">-N3111</f>
        <v>-1760</v>
      </c>
      <c r="P3111" s="6">
        <f t="shared" si="794"/>
        <v>0</v>
      </c>
      <c r="Q3111" s="7">
        <v>5088670.75</v>
      </c>
      <c r="R3111" s="44" t="str">
        <f>VLOOKUP(F3111,'Set up'!$A$2:$E$70,5,FALSE)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787"/>
        <v>8</v>
      </c>
      <c r="C3112" s="5">
        <f t="shared" si="788"/>
        <v>2024</v>
      </c>
      <c r="D3112" s="5" t="s">
        <v>2845</v>
      </c>
      <c r="E3112" s="5" t="str">
        <f>VLOOKUP(F3112,'Set up'!$A$2:$C$70,2,FALSE)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up'!$A$2:$C$70,3,FALSE)</f>
        <v>Cash</v>
      </c>
      <c r="J3112" s="5">
        <f>VLOOKUP(F3112,'Set up'!$A$2:$D$70,4,FALSE)</f>
        <v>0</v>
      </c>
      <c r="K3112" s="4">
        <f t="shared" si="789"/>
        <v>45510</v>
      </c>
      <c r="L3112" s="5">
        <f t="shared" si="790"/>
        <v>8</v>
      </c>
      <c r="M3112" s="5">
        <f t="shared" si="791"/>
        <v>2024</v>
      </c>
      <c r="N3112" s="12">
        <v>832.5</v>
      </c>
      <c r="O3112" s="6">
        <f t="shared" si="797"/>
        <v>-832.5</v>
      </c>
      <c r="P3112" s="6">
        <f t="shared" si="794"/>
        <v>0</v>
      </c>
      <c r="Q3112" s="7">
        <v>5089503.25</v>
      </c>
      <c r="R3112" s="44" t="str">
        <f>VLOOKUP(F3112,'Set up'!$A$2:$E$70,5,FALSE)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787"/>
        <v>8</v>
      </c>
      <c r="C3113" s="5">
        <f t="shared" si="788"/>
        <v>2024</v>
      </c>
      <c r="D3113" s="5" t="s">
        <v>2845</v>
      </c>
      <c r="E3113" s="5" t="str">
        <f>VLOOKUP(F3113,'Set up'!$A$2:$C$70,2,FALSE)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up'!$A$2:$C$70,3,FALSE)</f>
        <v>Cash</v>
      </c>
      <c r="J3113" s="5">
        <f>VLOOKUP(F3113,'Set up'!$A$2:$D$70,4,FALSE)</f>
        <v>0</v>
      </c>
      <c r="K3113" s="4">
        <f t="shared" si="789"/>
        <v>45510</v>
      </c>
      <c r="L3113" s="5">
        <f t="shared" si="790"/>
        <v>8</v>
      </c>
      <c r="M3113" s="5">
        <f t="shared" si="791"/>
        <v>2024</v>
      </c>
      <c r="N3113" s="12">
        <v>95</v>
      </c>
      <c r="O3113" s="6">
        <f t="shared" si="797"/>
        <v>-95</v>
      </c>
      <c r="P3113" s="6">
        <f t="shared" si="794"/>
        <v>0</v>
      </c>
      <c r="Q3113" s="7">
        <v>5089598.25</v>
      </c>
      <c r="R3113" s="44" t="str">
        <f>VLOOKUP(F3113,'Set up'!$A$2:$E$70,5,FALSE)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787"/>
        <v>8</v>
      </c>
      <c r="C3114" s="5">
        <f t="shared" si="788"/>
        <v>2024</v>
      </c>
      <c r="D3114" s="5" t="s">
        <v>2846</v>
      </c>
      <c r="E3114" s="5" t="str">
        <f>VLOOKUP(F3114,'Set up'!$A$2:$C$70,2,FALSE)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up'!$A$2:$C$70,3,FALSE)</f>
        <v>120</v>
      </c>
      <c r="J3114" s="5">
        <f>VLOOKUP(F3114,'Set up'!$A$2:$D$70,4,FALSE)</f>
        <v>120</v>
      </c>
      <c r="K3114" s="4">
        <f t="shared" si="789"/>
        <v>45630</v>
      </c>
      <c r="L3114" s="5">
        <f t="shared" si="790"/>
        <v>12</v>
      </c>
      <c r="M3114" s="5">
        <f t="shared" si="791"/>
        <v>2024</v>
      </c>
      <c r="N3114" s="12">
        <v>13024</v>
      </c>
      <c r="O3114" s="6">
        <f t="shared" si="797"/>
        <v>-13024</v>
      </c>
      <c r="P3114" s="6">
        <f t="shared" si="794"/>
        <v>0</v>
      </c>
      <c r="Q3114" s="7">
        <v>5102622.25</v>
      </c>
      <c r="R3114" s="44" t="str">
        <f>VLOOKUP(F3114,'Set up'!$A$2:$E$70,5,FALSE)</f>
        <v>Trsf</v>
      </c>
      <c r="S3114" s="1" t="s">
        <v>3421</v>
      </c>
    </row>
    <row r="3115" spans="1:19" ht="15" customHeight="1" x14ac:dyDescent="0.35">
      <c r="A3115" s="4">
        <v>45510</v>
      </c>
      <c r="B3115" s="5">
        <f t="shared" si="787"/>
        <v>8</v>
      </c>
      <c r="C3115" s="5">
        <f t="shared" si="788"/>
        <v>2024</v>
      </c>
      <c r="D3115" s="5" t="s">
        <v>2846</v>
      </c>
      <c r="E3115" s="5" t="str">
        <f>VLOOKUP(F3115,'Set up'!$A$2:$C$70,2,FALSE)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up'!$A$2:$C$70,3,FALSE)</f>
        <v>120</v>
      </c>
      <c r="J3115" s="5">
        <f>VLOOKUP(F3115,'Set up'!$A$2:$D$70,4,FALSE)</f>
        <v>120</v>
      </c>
      <c r="K3115" s="4">
        <f t="shared" si="789"/>
        <v>45630</v>
      </c>
      <c r="L3115" s="5">
        <f t="shared" si="790"/>
        <v>12</v>
      </c>
      <c r="M3115" s="5">
        <f t="shared" si="791"/>
        <v>2024</v>
      </c>
      <c r="N3115" s="12">
        <v>1800</v>
      </c>
      <c r="O3115" s="6">
        <f t="shared" si="797"/>
        <v>-1800</v>
      </c>
      <c r="P3115" s="6">
        <f t="shared" si="794"/>
        <v>0</v>
      </c>
      <c r="Q3115" s="7">
        <v>5104422.25</v>
      </c>
      <c r="R3115" s="44" t="str">
        <f>VLOOKUP(F3115,'Set up'!$A$2:$E$70,5,FALSE)</f>
        <v>Trsf</v>
      </c>
      <c r="S3115" s="1" t="s">
        <v>3421</v>
      </c>
    </row>
    <row r="3116" spans="1:19" ht="15" customHeight="1" x14ac:dyDescent="0.35">
      <c r="A3116" s="4">
        <v>45510</v>
      </c>
      <c r="B3116" s="5">
        <f t="shared" si="787"/>
        <v>8</v>
      </c>
      <c r="C3116" s="5">
        <f t="shared" si="788"/>
        <v>2024</v>
      </c>
      <c r="D3116" s="5" t="s">
        <v>2846</v>
      </c>
      <c r="E3116" s="5" t="str">
        <f>VLOOKUP(F3116,'Set up'!$A$2:$C$70,2,FALSE)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up'!$A$2:$C$70,3,FALSE)</f>
        <v>120</v>
      </c>
      <c r="J3116" s="5">
        <f>VLOOKUP(F3116,'Set up'!$A$2:$D$70,4,FALSE)</f>
        <v>120</v>
      </c>
      <c r="K3116" s="4">
        <f t="shared" si="789"/>
        <v>45630</v>
      </c>
      <c r="L3116" s="5">
        <f t="shared" si="790"/>
        <v>12</v>
      </c>
      <c r="M3116" s="5">
        <f t="shared" si="791"/>
        <v>2024</v>
      </c>
      <c r="N3116" s="12">
        <v>575</v>
      </c>
      <c r="O3116" s="6">
        <f t="shared" si="797"/>
        <v>-575</v>
      </c>
      <c r="P3116" s="6">
        <f t="shared" si="794"/>
        <v>0</v>
      </c>
      <c r="Q3116" s="7">
        <v>5104997.25</v>
      </c>
      <c r="R3116" s="44" t="str">
        <f>VLOOKUP(F3116,'Set up'!$A$2:$E$70,5,FALSE)</f>
        <v>Trsf</v>
      </c>
      <c r="S3116" s="1" t="s">
        <v>3421</v>
      </c>
    </row>
    <row r="3117" spans="1:19" ht="15" customHeight="1" x14ac:dyDescent="0.35">
      <c r="A3117" s="4">
        <v>45510</v>
      </c>
      <c r="B3117" s="5">
        <f t="shared" si="787"/>
        <v>8</v>
      </c>
      <c r="C3117" s="5">
        <f t="shared" si="788"/>
        <v>2024</v>
      </c>
      <c r="D3117" s="5" t="s">
        <v>2846</v>
      </c>
      <c r="E3117" s="5" t="str">
        <f>VLOOKUP(F3117,'Set up'!$A$2:$C$70,2,FALSE)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up'!$A$2:$C$70,3,FALSE)</f>
        <v>120</v>
      </c>
      <c r="J3117" s="5">
        <f>VLOOKUP(F3117,'Set up'!$A$2:$D$70,4,FALSE)</f>
        <v>120</v>
      </c>
      <c r="K3117" s="4">
        <f t="shared" si="789"/>
        <v>45630</v>
      </c>
      <c r="L3117" s="5">
        <f t="shared" si="790"/>
        <v>12</v>
      </c>
      <c r="M3117" s="5">
        <f t="shared" si="791"/>
        <v>2024</v>
      </c>
      <c r="N3117" s="12">
        <v>440</v>
      </c>
      <c r="O3117" s="6">
        <f t="shared" si="797"/>
        <v>-440</v>
      </c>
      <c r="P3117" s="6">
        <f t="shared" si="794"/>
        <v>0</v>
      </c>
      <c r="Q3117" s="7">
        <v>5105437.25</v>
      </c>
      <c r="R3117" s="44" t="str">
        <f>VLOOKUP(F3117,'Set up'!$A$2:$E$70,5,FALSE)</f>
        <v>Trsf</v>
      </c>
      <c r="S3117" s="1" t="s">
        <v>3421</v>
      </c>
    </row>
    <row r="3118" spans="1:19" ht="15" customHeight="1" x14ac:dyDescent="0.35">
      <c r="A3118" s="4">
        <v>45510</v>
      </c>
      <c r="B3118" s="5">
        <f t="shared" si="787"/>
        <v>8</v>
      </c>
      <c r="C3118" s="5">
        <f t="shared" si="788"/>
        <v>2024</v>
      </c>
      <c r="D3118" s="5" t="s">
        <v>2846</v>
      </c>
      <c r="E3118" s="5" t="str">
        <f>VLOOKUP(F3118,'Set up'!$A$2:$C$70,2,FALSE)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up'!$A$2:$C$70,3,FALSE)</f>
        <v>120</v>
      </c>
      <c r="J3118" s="5">
        <f>VLOOKUP(F3118,'Set up'!$A$2:$D$70,4,FALSE)</f>
        <v>120</v>
      </c>
      <c r="K3118" s="4">
        <f t="shared" si="789"/>
        <v>45630</v>
      </c>
      <c r="L3118" s="5">
        <f t="shared" si="790"/>
        <v>12</v>
      </c>
      <c r="M3118" s="5">
        <f t="shared" si="791"/>
        <v>2024</v>
      </c>
      <c r="N3118" s="12">
        <v>523.6</v>
      </c>
      <c r="O3118" s="6">
        <f t="shared" si="797"/>
        <v>-523.6</v>
      </c>
      <c r="P3118" s="6">
        <f t="shared" si="794"/>
        <v>0</v>
      </c>
      <c r="Q3118" s="7">
        <v>5105960.8499999996</v>
      </c>
      <c r="R3118" s="44" t="str">
        <f>VLOOKUP(F3118,'Set up'!$A$2:$E$70,5,FALSE)</f>
        <v>Trsf</v>
      </c>
      <c r="S3118" s="1" t="s">
        <v>3421</v>
      </c>
    </row>
    <row r="3119" spans="1:19" ht="15" customHeight="1" x14ac:dyDescent="0.35">
      <c r="A3119" s="4">
        <v>45510</v>
      </c>
      <c r="B3119" s="5">
        <f t="shared" si="787"/>
        <v>8</v>
      </c>
      <c r="C3119" s="5">
        <f t="shared" si="788"/>
        <v>2024</v>
      </c>
      <c r="D3119" s="5" t="s">
        <v>2846</v>
      </c>
      <c r="E3119" s="5" t="str">
        <f>VLOOKUP(F3119,'Set up'!$A$2:$C$70,2,FALSE)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up'!$A$2:$C$70,3,FALSE)</f>
        <v>120</v>
      </c>
      <c r="J3119" s="5">
        <f>VLOOKUP(F3119,'Set up'!$A$2:$D$70,4,FALSE)</f>
        <v>120</v>
      </c>
      <c r="K3119" s="4">
        <f t="shared" si="789"/>
        <v>45630</v>
      </c>
      <c r="L3119" s="5">
        <f t="shared" si="790"/>
        <v>12</v>
      </c>
      <c r="M3119" s="5">
        <f t="shared" si="791"/>
        <v>2024</v>
      </c>
      <c r="N3119" s="12">
        <v>420</v>
      </c>
      <c r="O3119" s="6">
        <f t="shared" si="797"/>
        <v>-420</v>
      </c>
      <c r="P3119" s="6">
        <f t="shared" si="794"/>
        <v>0</v>
      </c>
      <c r="Q3119" s="7">
        <v>5106380.8499999996</v>
      </c>
      <c r="R3119" s="44" t="str">
        <f>VLOOKUP(F3119,'Set up'!$A$2:$E$70,5,FALSE)</f>
        <v>Trsf</v>
      </c>
      <c r="S3119" s="1" t="s">
        <v>3421</v>
      </c>
    </row>
    <row r="3120" spans="1:19" ht="15" customHeight="1" x14ac:dyDescent="0.35">
      <c r="A3120" s="4">
        <v>45510</v>
      </c>
      <c r="B3120" s="5">
        <f t="shared" si="787"/>
        <v>8</v>
      </c>
      <c r="C3120" s="5">
        <f t="shared" si="788"/>
        <v>2024</v>
      </c>
      <c r="D3120" s="5" t="s">
        <v>2846</v>
      </c>
      <c r="E3120" s="5" t="str">
        <f>VLOOKUP(F3120,'Set up'!$A$2:$C$70,2,FALSE)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up'!$A$2:$C$70,3,FALSE)</f>
        <v>120</v>
      </c>
      <c r="J3120" s="5">
        <f>VLOOKUP(F3120,'Set up'!$A$2:$D$70,4,FALSE)</f>
        <v>120</v>
      </c>
      <c r="K3120" s="4">
        <f t="shared" si="789"/>
        <v>45630</v>
      </c>
      <c r="L3120" s="5">
        <f t="shared" si="790"/>
        <v>12</v>
      </c>
      <c r="M3120" s="5">
        <f t="shared" si="791"/>
        <v>2024</v>
      </c>
      <c r="N3120" s="12">
        <v>395</v>
      </c>
      <c r="O3120" s="6">
        <f t="shared" si="797"/>
        <v>-395</v>
      </c>
      <c r="P3120" s="6">
        <f t="shared" si="794"/>
        <v>0</v>
      </c>
      <c r="Q3120" s="7">
        <v>5106775.8499999996</v>
      </c>
      <c r="R3120" s="44" t="str">
        <f>VLOOKUP(F3120,'Set up'!$A$2:$E$70,5,FALSE)</f>
        <v>Trsf</v>
      </c>
      <c r="S3120" s="1" t="s">
        <v>3421</v>
      </c>
    </row>
    <row r="3121" spans="1:19" ht="15" customHeight="1" x14ac:dyDescent="0.35">
      <c r="A3121" s="4">
        <v>45510</v>
      </c>
      <c r="B3121" s="5">
        <f t="shared" si="787"/>
        <v>8</v>
      </c>
      <c r="C3121" s="5">
        <f t="shared" si="788"/>
        <v>2024</v>
      </c>
      <c r="D3121" s="5" t="s">
        <v>2847</v>
      </c>
      <c r="E3121" s="5" t="str">
        <f>VLOOKUP(F3121,'Set up'!$A$2:$C$70,2,FALSE)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up'!$A$2:$C$70,3,FALSE)</f>
        <v>Cash</v>
      </c>
      <c r="J3121" s="5">
        <f>VLOOKUP(F3121,'Set up'!$A$2:$D$70,4,FALSE)</f>
        <v>0</v>
      </c>
      <c r="K3121" s="4">
        <f t="shared" si="789"/>
        <v>45510</v>
      </c>
      <c r="L3121" s="5">
        <f t="shared" si="790"/>
        <v>8</v>
      </c>
      <c r="M3121" s="5">
        <f t="shared" si="791"/>
        <v>2024</v>
      </c>
      <c r="N3121" s="12">
        <v>1760</v>
      </c>
      <c r="O3121" s="12"/>
      <c r="P3121" s="6">
        <f t="shared" si="794"/>
        <v>1760</v>
      </c>
      <c r="Q3121" s="7">
        <v>5108535.8499999996</v>
      </c>
      <c r="R3121" s="44" t="str">
        <f>VLOOKUP(F3121,'Set up'!$A$2:$E$70,5,FALSE)</f>
        <v>Trsf</v>
      </c>
    </row>
    <row r="3122" spans="1:19" ht="15" customHeight="1" x14ac:dyDescent="0.35">
      <c r="A3122" s="4">
        <v>45510</v>
      </c>
      <c r="B3122" s="5">
        <f t="shared" si="787"/>
        <v>8</v>
      </c>
      <c r="C3122" s="5">
        <f t="shared" si="788"/>
        <v>2024</v>
      </c>
      <c r="D3122" s="5" t="s">
        <v>2847</v>
      </c>
      <c r="E3122" s="5" t="str">
        <f>VLOOKUP(F3122,'Set up'!$A$2:$C$70,2,FALSE)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up'!$A$2:$C$70,3,FALSE)</f>
        <v>Cash</v>
      </c>
      <c r="J3122" s="5">
        <f>VLOOKUP(F3122,'Set up'!$A$2:$D$70,4,FALSE)</f>
        <v>0</v>
      </c>
      <c r="K3122" s="4">
        <f t="shared" si="789"/>
        <v>45510</v>
      </c>
      <c r="L3122" s="5">
        <f t="shared" si="790"/>
        <v>8</v>
      </c>
      <c r="M3122" s="5">
        <f t="shared" si="791"/>
        <v>2024</v>
      </c>
      <c r="N3122" s="12">
        <v>600</v>
      </c>
      <c r="O3122" s="12"/>
      <c r="P3122" s="6">
        <f t="shared" si="794"/>
        <v>600</v>
      </c>
      <c r="Q3122" s="7">
        <v>5109135.8499999996</v>
      </c>
      <c r="R3122" s="44" t="str">
        <f>VLOOKUP(F3122,'Set up'!$A$2:$E$70,5,FALSE)</f>
        <v>Trsf</v>
      </c>
    </row>
    <row r="3123" spans="1:19" ht="15" customHeight="1" x14ac:dyDescent="0.35">
      <c r="A3123" s="4">
        <v>45510</v>
      </c>
      <c r="B3123" s="5">
        <f t="shared" si="787"/>
        <v>8</v>
      </c>
      <c r="C3123" s="5">
        <f t="shared" si="788"/>
        <v>2024</v>
      </c>
      <c r="D3123" s="5" t="s">
        <v>2847</v>
      </c>
      <c r="E3123" s="5" t="str">
        <f>VLOOKUP(F3123,'Set up'!$A$2:$C$70,2,FALSE)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up'!$A$2:$C$70,3,FALSE)</f>
        <v>Cash</v>
      </c>
      <c r="J3123" s="5">
        <f>VLOOKUP(F3123,'Set up'!$A$2:$D$70,4,FALSE)</f>
        <v>0</v>
      </c>
      <c r="K3123" s="4">
        <f t="shared" si="789"/>
        <v>45510</v>
      </c>
      <c r="L3123" s="5">
        <f t="shared" si="790"/>
        <v>8</v>
      </c>
      <c r="M3123" s="5">
        <f t="shared" si="791"/>
        <v>2024</v>
      </c>
      <c r="N3123" s="12">
        <v>187.5</v>
      </c>
      <c r="O3123" s="12"/>
      <c r="P3123" s="6">
        <f t="shared" si="794"/>
        <v>187.5</v>
      </c>
      <c r="Q3123" s="7">
        <v>5109323.3499999996</v>
      </c>
      <c r="R3123" s="44" t="str">
        <f>VLOOKUP(F3123,'Set up'!$A$2:$E$70,5,FALSE)</f>
        <v>Trsf</v>
      </c>
    </row>
    <row r="3124" spans="1:19" ht="15" customHeight="1" x14ac:dyDescent="0.35">
      <c r="A3124" s="4">
        <v>45510</v>
      </c>
      <c r="B3124" s="5">
        <f t="shared" si="787"/>
        <v>8</v>
      </c>
      <c r="C3124" s="5">
        <f t="shared" si="788"/>
        <v>2024</v>
      </c>
      <c r="D3124" s="5" t="s">
        <v>2847</v>
      </c>
      <c r="E3124" s="5" t="str">
        <f>VLOOKUP(F3124,'Set up'!$A$2:$C$70,2,FALSE)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up'!$A$2:$C$70,3,FALSE)</f>
        <v>Cash</v>
      </c>
      <c r="J3124" s="5">
        <f>VLOOKUP(F3124,'Set up'!$A$2:$D$70,4,FALSE)</f>
        <v>0</v>
      </c>
      <c r="K3124" s="4">
        <f t="shared" si="789"/>
        <v>45510</v>
      </c>
      <c r="L3124" s="5">
        <f t="shared" si="790"/>
        <v>8</v>
      </c>
      <c r="M3124" s="5">
        <f t="shared" si="791"/>
        <v>2024</v>
      </c>
      <c r="N3124" s="12">
        <v>450</v>
      </c>
      <c r="O3124" s="12"/>
      <c r="P3124" s="6">
        <f t="shared" si="794"/>
        <v>450</v>
      </c>
      <c r="Q3124" s="7">
        <v>5109773.3499999996</v>
      </c>
      <c r="R3124" s="44" t="str">
        <f>VLOOKUP(F3124,'Set up'!$A$2:$E$70,5,FALSE)</f>
        <v>Trsf</v>
      </c>
    </row>
    <row r="3125" spans="1:19" ht="15" customHeight="1" x14ac:dyDescent="0.35">
      <c r="A3125" s="4">
        <v>45510</v>
      </c>
      <c r="B3125" s="5">
        <f t="shared" si="787"/>
        <v>8</v>
      </c>
      <c r="C3125" s="5">
        <f t="shared" si="788"/>
        <v>2024</v>
      </c>
      <c r="D3125" s="5" t="s">
        <v>2848</v>
      </c>
      <c r="E3125" s="5" t="str">
        <f>VLOOKUP(F3125,'Set up'!$A$2:$C$70,2,FALSE)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up'!$A$2:$C$70,3,FALSE)</f>
        <v>Cash</v>
      </c>
      <c r="J3125" s="5">
        <f>VLOOKUP(F3125,'Set up'!$A$2:$D$70,4,FALSE)</f>
        <v>0</v>
      </c>
      <c r="K3125" s="4">
        <f t="shared" si="789"/>
        <v>45510</v>
      </c>
      <c r="L3125" s="5">
        <f t="shared" si="790"/>
        <v>8</v>
      </c>
      <c r="M3125" s="5">
        <f t="shared" si="791"/>
        <v>2024</v>
      </c>
      <c r="N3125" s="12">
        <v>675</v>
      </c>
      <c r="O3125" s="6">
        <f t="shared" ref="O3125:O3126" si="798">-N3125</f>
        <v>-675</v>
      </c>
      <c r="P3125" s="6">
        <f t="shared" si="794"/>
        <v>0</v>
      </c>
      <c r="Q3125" s="7">
        <v>5110448.3499999996</v>
      </c>
      <c r="R3125" s="44" t="str">
        <f>VLOOKUP(F3125,'Set up'!$A$2:$E$70,5,FALSE)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787"/>
        <v>8</v>
      </c>
      <c r="C3126" s="5">
        <f t="shared" si="788"/>
        <v>2024</v>
      </c>
      <c r="D3126" s="5" t="s">
        <v>2848</v>
      </c>
      <c r="E3126" s="5" t="str">
        <f>VLOOKUP(F3126,'Set up'!$A$2:$C$70,2,FALSE)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up'!$A$2:$C$70,3,FALSE)</f>
        <v>Cash</v>
      </c>
      <c r="J3126" s="5">
        <f>VLOOKUP(F3126,'Set up'!$A$2:$D$70,4,FALSE)</f>
        <v>0</v>
      </c>
      <c r="K3126" s="4">
        <f t="shared" si="789"/>
        <v>45510</v>
      </c>
      <c r="L3126" s="5">
        <f t="shared" si="790"/>
        <v>8</v>
      </c>
      <c r="M3126" s="5">
        <f t="shared" si="791"/>
        <v>2024</v>
      </c>
      <c r="N3126" s="12">
        <v>510</v>
      </c>
      <c r="O3126" s="6">
        <f t="shared" si="798"/>
        <v>-510</v>
      </c>
      <c r="P3126" s="6">
        <f t="shared" si="794"/>
        <v>0</v>
      </c>
      <c r="Q3126" s="7">
        <v>5110958.3499999996</v>
      </c>
      <c r="R3126" s="44" t="str">
        <f>VLOOKUP(F3126,'Set up'!$A$2:$E$70,5,FALSE)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787"/>
        <v>8</v>
      </c>
      <c r="C3127" s="5">
        <f t="shared" si="788"/>
        <v>2024</v>
      </c>
      <c r="D3127" s="5" t="s">
        <v>2850</v>
      </c>
      <c r="E3127" s="5" t="str">
        <f>VLOOKUP(F3127,'Set up'!$A$2:$C$70,2,FALSE)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up'!$A$2:$C$70,3,FALSE)</f>
        <v>Cash</v>
      </c>
      <c r="J3127" s="5">
        <f>VLOOKUP(F3127,'Set up'!$A$2:$D$70,4,FALSE)</f>
        <v>0</v>
      </c>
      <c r="K3127" s="4">
        <f t="shared" si="789"/>
        <v>45511</v>
      </c>
      <c r="L3127" s="5">
        <f t="shared" si="790"/>
        <v>8</v>
      </c>
      <c r="M3127" s="5">
        <f t="shared" si="791"/>
        <v>2024</v>
      </c>
      <c r="N3127" s="12">
        <v>1760</v>
      </c>
      <c r="O3127" s="12"/>
      <c r="P3127" s="6">
        <f t="shared" si="794"/>
        <v>1760</v>
      </c>
      <c r="Q3127" s="7">
        <v>5112718.3499999996</v>
      </c>
      <c r="R3127" s="44" t="str">
        <f>VLOOKUP(F3127,'Set up'!$A$2:$E$70,5,FALSE)</f>
        <v>Cash</v>
      </c>
    </row>
    <row r="3128" spans="1:19" ht="15" customHeight="1" x14ac:dyDescent="0.35">
      <c r="A3128" s="4">
        <v>45511</v>
      </c>
      <c r="B3128" s="5">
        <f t="shared" si="787"/>
        <v>8</v>
      </c>
      <c r="C3128" s="5">
        <f t="shared" si="788"/>
        <v>2024</v>
      </c>
      <c r="D3128" s="5" t="s">
        <v>2850</v>
      </c>
      <c r="E3128" s="5" t="str">
        <f>VLOOKUP(F3128,'Set up'!$A$2:$C$70,2,FALSE)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up'!$A$2:$C$70,3,FALSE)</f>
        <v>Cash</v>
      </c>
      <c r="J3128" s="5">
        <f>VLOOKUP(F3128,'Set up'!$A$2:$D$70,4,FALSE)</f>
        <v>0</v>
      </c>
      <c r="K3128" s="4">
        <f t="shared" si="789"/>
        <v>45511</v>
      </c>
      <c r="L3128" s="5">
        <f t="shared" si="790"/>
        <v>8</v>
      </c>
      <c r="M3128" s="5">
        <f t="shared" si="791"/>
        <v>2024</v>
      </c>
      <c r="N3128" s="12">
        <v>3600</v>
      </c>
      <c r="O3128" s="12"/>
      <c r="P3128" s="6">
        <f t="shared" si="794"/>
        <v>3600</v>
      </c>
      <c r="Q3128" s="7">
        <v>5116318.3499999996</v>
      </c>
      <c r="R3128" s="44" t="str">
        <f>VLOOKUP(F3128,'Set up'!$A$2:$E$70,5,FALSE)</f>
        <v>Cash</v>
      </c>
    </row>
    <row r="3129" spans="1:19" ht="15" customHeight="1" x14ac:dyDescent="0.35">
      <c r="A3129" s="4">
        <v>45511</v>
      </c>
      <c r="B3129" s="5">
        <f t="shared" si="787"/>
        <v>8</v>
      </c>
      <c r="C3129" s="5">
        <f t="shared" si="788"/>
        <v>2024</v>
      </c>
      <c r="D3129" s="5" t="s">
        <v>2850</v>
      </c>
      <c r="E3129" s="5" t="str">
        <f>VLOOKUP(F3129,'Set up'!$A$2:$C$70,2,FALSE)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up'!$A$2:$C$70,3,FALSE)</f>
        <v>Cash</v>
      </c>
      <c r="J3129" s="5">
        <f>VLOOKUP(F3129,'Set up'!$A$2:$D$70,4,FALSE)</f>
        <v>0</v>
      </c>
      <c r="K3129" s="4">
        <f t="shared" si="789"/>
        <v>45511</v>
      </c>
      <c r="L3129" s="5">
        <f t="shared" si="790"/>
        <v>8</v>
      </c>
      <c r="M3129" s="5">
        <f t="shared" si="791"/>
        <v>2024</v>
      </c>
      <c r="N3129" s="12">
        <v>675</v>
      </c>
      <c r="O3129" s="12"/>
      <c r="P3129" s="6">
        <f t="shared" si="794"/>
        <v>675</v>
      </c>
      <c r="Q3129" s="7">
        <v>5116993.3499999996</v>
      </c>
      <c r="R3129" s="44" t="str">
        <f>VLOOKUP(F3129,'Set up'!$A$2:$E$70,5,FALSE)</f>
        <v>Cash</v>
      </c>
    </row>
    <row r="3130" spans="1:19" ht="15" customHeight="1" x14ac:dyDescent="0.35">
      <c r="A3130" s="4">
        <v>45511</v>
      </c>
      <c r="B3130" s="5">
        <f t="shared" si="787"/>
        <v>8</v>
      </c>
      <c r="C3130" s="5">
        <f t="shared" si="788"/>
        <v>2024</v>
      </c>
      <c r="D3130" s="5" t="s">
        <v>2850</v>
      </c>
      <c r="E3130" s="5" t="str">
        <f>VLOOKUP(F3130,'Set up'!$A$2:$C$70,2,FALSE)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up'!$A$2:$C$70,3,FALSE)</f>
        <v>Cash</v>
      </c>
      <c r="J3130" s="5">
        <f>VLOOKUP(F3130,'Set up'!$A$2:$D$70,4,FALSE)</f>
        <v>0</v>
      </c>
      <c r="K3130" s="4">
        <f t="shared" si="789"/>
        <v>45511</v>
      </c>
      <c r="L3130" s="5">
        <f t="shared" si="790"/>
        <v>8</v>
      </c>
      <c r="M3130" s="5">
        <f t="shared" si="791"/>
        <v>2024</v>
      </c>
      <c r="N3130" s="12">
        <v>175</v>
      </c>
      <c r="O3130" s="12"/>
      <c r="P3130" s="6">
        <f t="shared" si="794"/>
        <v>175</v>
      </c>
      <c r="Q3130" s="7">
        <v>5117168.3499999996</v>
      </c>
      <c r="R3130" s="44" t="str">
        <f>VLOOKUP(F3130,'Set up'!$A$2:$E$70,5,FALSE)</f>
        <v>Cash</v>
      </c>
    </row>
    <row r="3131" spans="1:19" ht="15" customHeight="1" x14ac:dyDescent="0.35">
      <c r="A3131" s="4">
        <v>45511</v>
      </c>
      <c r="B3131" s="5">
        <f t="shared" si="787"/>
        <v>8</v>
      </c>
      <c r="C3131" s="5">
        <f t="shared" si="788"/>
        <v>2024</v>
      </c>
      <c r="D3131" s="5" t="s">
        <v>2851</v>
      </c>
      <c r="E3131" s="5" t="str">
        <f>VLOOKUP(F3131,'Set up'!$A$2:$C$70,2,FALSE)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up'!$A$2:$C$70,3,FALSE)</f>
        <v>Cash</v>
      </c>
      <c r="J3131" s="5">
        <f>VLOOKUP(F3131,'Set up'!$A$2:$D$70,4,FALSE)</f>
        <v>0</v>
      </c>
      <c r="K3131" s="4">
        <f t="shared" si="789"/>
        <v>45511</v>
      </c>
      <c r="L3131" s="5">
        <f t="shared" si="790"/>
        <v>8</v>
      </c>
      <c r="M3131" s="5">
        <f t="shared" si="791"/>
        <v>2024</v>
      </c>
      <c r="N3131" s="12">
        <v>625</v>
      </c>
      <c r="O3131" s="6">
        <f t="shared" ref="O3131:O3136" si="799">-N3131</f>
        <v>-625</v>
      </c>
      <c r="P3131" s="6">
        <f t="shared" si="794"/>
        <v>0</v>
      </c>
      <c r="Q3131" s="7">
        <v>5117793.3499999996</v>
      </c>
      <c r="R3131" s="44" t="str">
        <f>VLOOKUP(F3131,'Set up'!$A$2:$E$70,5,FALSE)</f>
        <v>Trsf</v>
      </c>
      <c r="S3131" s="1" t="s">
        <v>3378</v>
      </c>
    </row>
    <row r="3132" spans="1:19" ht="15" customHeight="1" x14ac:dyDescent="0.35">
      <c r="A3132" s="4">
        <v>45511</v>
      </c>
      <c r="B3132" s="5">
        <f t="shared" si="787"/>
        <v>8</v>
      </c>
      <c r="C3132" s="5">
        <f t="shared" si="788"/>
        <v>2024</v>
      </c>
      <c r="D3132" s="5" t="s">
        <v>2852</v>
      </c>
      <c r="E3132" s="5" t="str">
        <f>VLOOKUP(F3132,'Set up'!$A$2:$C$70,2,FALSE)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up'!$A$2:$C$70,3,FALSE)</f>
        <v>Cash</v>
      </c>
      <c r="J3132" s="5">
        <f>VLOOKUP(F3132,'Set up'!$A$2:$D$70,4,FALSE)</f>
        <v>0</v>
      </c>
      <c r="K3132" s="4">
        <f t="shared" si="789"/>
        <v>45511</v>
      </c>
      <c r="L3132" s="5">
        <f t="shared" si="790"/>
        <v>8</v>
      </c>
      <c r="M3132" s="5">
        <f t="shared" si="791"/>
        <v>2024</v>
      </c>
      <c r="N3132" s="12">
        <v>16280</v>
      </c>
      <c r="O3132" s="12">
        <f>-13560.1-2719.9</f>
        <v>-16280</v>
      </c>
      <c r="P3132" s="6">
        <f t="shared" si="794"/>
        <v>0</v>
      </c>
      <c r="Q3132" s="7">
        <v>5134073.3499999996</v>
      </c>
      <c r="R3132" s="44" t="str">
        <f>VLOOKUP(F3132,'Set up'!$A$2:$E$70,5,FALSE)</f>
        <v>Trsf</v>
      </c>
      <c r="S3132" s="1" t="s">
        <v>3379</v>
      </c>
    </row>
    <row r="3133" spans="1:19" ht="15" customHeight="1" x14ac:dyDescent="0.35">
      <c r="A3133" s="4">
        <v>45511</v>
      </c>
      <c r="B3133" s="5">
        <f t="shared" si="787"/>
        <v>8</v>
      </c>
      <c r="C3133" s="5">
        <f t="shared" si="788"/>
        <v>2024</v>
      </c>
      <c r="D3133" s="5" t="s">
        <v>2852</v>
      </c>
      <c r="E3133" s="5" t="str">
        <f>VLOOKUP(F3133,'Set up'!$A$2:$C$70,2,FALSE)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up'!$A$2:$C$70,3,FALSE)</f>
        <v>Cash</v>
      </c>
      <c r="J3133" s="5">
        <f>VLOOKUP(F3133,'Set up'!$A$2:$D$70,4,FALSE)</f>
        <v>0</v>
      </c>
      <c r="K3133" s="4">
        <f t="shared" si="789"/>
        <v>45511</v>
      </c>
      <c r="L3133" s="5">
        <f t="shared" si="790"/>
        <v>8</v>
      </c>
      <c r="M3133" s="5">
        <f t="shared" si="791"/>
        <v>2024</v>
      </c>
      <c r="N3133" s="12">
        <v>5490</v>
      </c>
      <c r="O3133" s="6">
        <f t="shared" si="799"/>
        <v>-5490</v>
      </c>
      <c r="P3133" s="6">
        <f t="shared" si="794"/>
        <v>0</v>
      </c>
      <c r="Q3133" s="7">
        <v>5139563.3499999996</v>
      </c>
      <c r="R3133" s="44" t="str">
        <f>VLOOKUP(F3133,'Set up'!$A$2:$E$70,5,FALSE)</f>
        <v>Trsf</v>
      </c>
      <c r="S3133" s="1" t="s">
        <v>3380</v>
      </c>
    </row>
    <row r="3134" spans="1:19" ht="15" customHeight="1" x14ac:dyDescent="0.35">
      <c r="A3134" s="4">
        <v>45511</v>
      </c>
      <c r="B3134" s="5">
        <f t="shared" si="787"/>
        <v>8</v>
      </c>
      <c r="C3134" s="5">
        <f t="shared" si="788"/>
        <v>2024</v>
      </c>
      <c r="D3134" s="5" t="s">
        <v>2852</v>
      </c>
      <c r="E3134" s="5" t="str">
        <f>VLOOKUP(F3134,'Set up'!$A$2:$C$70,2,FALSE)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up'!$A$2:$C$70,3,FALSE)</f>
        <v>Cash</v>
      </c>
      <c r="J3134" s="5">
        <f>VLOOKUP(F3134,'Set up'!$A$2:$D$70,4,FALSE)</f>
        <v>0</v>
      </c>
      <c r="K3134" s="4">
        <f t="shared" si="789"/>
        <v>45511</v>
      </c>
      <c r="L3134" s="5">
        <f t="shared" si="790"/>
        <v>8</v>
      </c>
      <c r="M3134" s="5">
        <f t="shared" si="791"/>
        <v>2024</v>
      </c>
      <c r="N3134" s="12">
        <v>3600</v>
      </c>
      <c r="O3134" s="6">
        <f t="shared" si="799"/>
        <v>-3600</v>
      </c>
      <c r="P3134" s="6">
        <f t="shared" si="794"/>
        <v>0</v>
      </c>
      <c r="Q3134" s="7">
        <v>5143163.3499999996</v>
      </c>
      <c r="R3134" s="44" t="str">
        <f>VLOOKUP(F3134,'Set up'!$A$2:$E$70,5,FALSE)</f>
        <v>Trsf</v>
      </c>
      <c r="S3134" s="1" t="s">
        <v>3381</v>
      </c>
    </row>
    <row r="3135" spans="1:19" ht="15" customHeight="1" x14ac:dyDescent="0.35">
      <c r="A3135" s="4">
        <v>45511</v>
      </c>
      <c r="B3135" s="5">
        <f t="shared" si="787"/>
        <v>8</v>
      </c>
      <c r="C3135" s="5">
        <f t="shared" si="788"/>
        <v>2024</v>
      </c>
      <c r="D3135" s="5" t="s">
        <v>2852</v>
      </c>
      <c r="E3135" s="5" t="str">
        <f>VLOOKUP(F3135,'Set up'!$A$2:$C$70,2,FALSE)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up'!$A$2:$C$70,3,FALSE)</f>
        <v>Cash</v>
      </c>
      <c r="J3135" s="5">
        <f>VLOOKUP(F3135,'Set up'!$A$2:$D$70,4,FALSE)</f>
        <v>0</v>
      </c>
      <c r="K3135" s="4">
        <f t="shared" si="789"/>
        <v>45511</v>
      </c>
      <c r="L3135" s="5">
        <f t="shared" si="790"/>
        <v>8</v>
      </c>
      <c r="M3135" s="5">
        <f t="shared" si="791"/>
        <v>2024</v>
      </c>
      <c r="N3135" s="12">
        <v>380</v>
      </c>
      <c r="O3135" s="6">
        <f t="shared" si="799"/>
        <v>-380</v>
      </c>
      <c r="P3135" s="6">
        <f t="shared" si="794"/>
        <v>0</v>
      </c>
      <c r="Q3135" s="7">
        <v>5143543.3499999996</v>
      </c>
      <c r="R3135" s="44" t="str">
        <f>VLOOKUP(F3135,'Set up'!$A$2:$E$70,5,FALSE)</f>
        <v>Trsf</v>
      </c>
      <c r="S3135" s="1" t="s">
        <v>3382</v>
      </c>
    </row>
    <row r="3136" spans="1:19" ht="15" customHeight="1" x14ac:dyDescent="0.35">
      <c r="A3136" s="4">
        <v>45511</v>
      </c>
      <c r="B3136" s="5">
        <f t="shared" si="787"/>
        <v>8</v>
      </c>
      <c r="C3136" s="5">
        <f t="shared" si="788"/>
        <v>2024</v>
      </c>
      <c r="D3136" s="5" t="s">
        <v>2852</v>
      </c>
      <c r="E3136" s="5" t="str">
        <f>VLOOKUP(F3136,'Set up'!$A$2:$C$70,2,FALSE)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up'!$A$2:$C$70,3,FALSE)</f>
        <v>Cash</v>
      </c>
      <c r="J3136" s="5">
        <f>VLOOKUP(F3136,'Set up'!$A$2:$D$70,4,FALSE)</f>
        <v>0</v>
      </c>
      <c r="K3136" s="4">
        <f t="shared" si="789"/>
        <v>45511</v>
      </c>
      <c r="L3136" s="5">
        <f t="shared" si="790"/>
        <v>8</v>
      </c>
      <c r="M3136" s="5">
        <f t="shared" si="791"/>
        <v>2024</v>
      </c>
      <c r="N3136" s="12">
        <v>975</v>
      </c>
      <c r="O3136" s="6">
        <f t="shared" si="799"/>
        <v>-975</v>
      </c>
      <c r="P3136" s="6">
        <f t="shared" si="794"/>
        <v>0</v>
      </c>
      <c r="Q3136" s="7">
        <v>5144518.3499999996</v>
      </c>
      <c r="R3136" s="44" t="str">
        <f>VLOOKUP(F3136,'Set up'!$A$2:$E$70,5,FALSE)</f>
        <v>Trsf</v>
      </c>
      <c r="S3136" s="1" t="s">
        <v>3383</v>
      </c>
    </row>
    <row r="3137" spans="1:21" ht="15" customHeight="1" x14ac:dyDescent="0.35">
      <c r="A3137" s="4">
        <v>45511</v>
      </c>
      <c r="B3137" s="5">
        <f t="shared" si="787"/>
        <v>8</v>
      </c>
      <c r="C3137" s="5">
        <f t="shared" si="788"/>
        <v>2024</v>
      </c>
      <c r="D3137" s="5" t="s">
        <v>2853</v>
      </c>
      <c r="E3137" s="5" t="str">
        <f>VLOOKUP(F3137,'Set up'!$A$2:$C$70,2,FALSE)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up'!$A$2:$C$70,3,FALSE)</f>
        <v>Cash</v>
      </c>
      <c r="J3137" s="5">
        <f>VLOOKUP(F3137,'Set up'!$A$2:$D$70,4,FALSE)</f>
        <v>0</v>
      </c>
      <c r="K3137" s="4">
        <f t="shared" si="789"/>
        <v>45511</v>
      </c>
      <c r="L3137" s="5">
        <f t="shared" si="790"/>
        <v>8</v>
      </c>
      <c r="M3137" s="5">
        <f t="shared" si="791"/>
        <v>2024</v>
      </c>
      <c r="N3137" s="12">
        <v>1738</v>
      </c>
      <c r="O3137" s="6">
        <f t="shared" ref="O3137:O3138" si="800">-N3137</f>
        <v>-1738</v>
      </c>
      <c r="P3137" s="6">
        <f t="shared" si="794"/>
        <v>0</v>
      </c>
      <c r="Q3137" s="7">
        <v>5146256.3499999996</v>
      </c>
      <c r="R3137" s="44" t="str">
        <f>VLOOKUP(F3137,'Set up'!$A$2:$E$70,5,FALSE)</f>
        <v>Trsf</v>
      </c>
      <c r="S3137" s="1" t="s">
        <v>2895</v>
      </c>
    </row>
    <row r="3138" spans="1:21" ht="15" customHeight="1" x14ac:dyDescent="0.35">
      <c r="A3138" s="4">
        <v>45511</v>
      </c>
      <c r="B3138" s="5">
        <f t="shared" si="787"/>
        <v>8</v>
      </c>
      <c r="C3138" s="5">
        <f t="shared" si="788"/>
        <v>2024</v>
      </c>
      <c r="D3138" s="5" t="s">
        <v>2853</v>
      </c>
      <c r="E3138" s="5" t="str">
        <f>VLOOKUP(F3138,'Set up'!$A$2:$C$70,2,FALSE)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up'!$A$2:$C$70,3,FALSE)</f>
        <v>Cash</v>
      </c>
      <c r="J3138" s="5">
        <f>VLOOKUP(F3138,'Set up'!$A$2:$D$70,4,FALSE)</f>
        <v>0</v>
      </c>
      <c r="K3138" s="4">
        <f t="shared" si="789"/>
        <v>45511</v>
      </c>
      <c r="L3138" s="5">
        <f t="shared" si="790"/>
        <v>8</v>
      </c>
      <c r="M3138" s="5">
        <f t="shared" si="791"/>
        <v>2024</v>
      </c>
      <c r="N3138" s="12">
        <v>405</v>
      </c>
      <c r="O3138" s="6">
        <f t="shared" si="800"/>
        <v>-405</v>
      </c>
      <c r="P3138" s="6">
        <f t="shared" si="794"/>
        <v>0</v>
      </c>
      <c r="Q3138" s="7">
        <v>5146661.3499999996</v>
      </c>
      <c r="R3138" s="44" t="str">
        <f>VLOOKUP(F3138,'Set up'!$A$2:$E$70,5,FALSE)</f>
        <v>Trsf</v>
      </c>
      <c r="S3138" s="1" t="s">
        <v>2895</v>
      </c>
    </row>
    <row r="3139" spans="1:21" ht="15" customHeight="1" x14ac:dyDescent="0.35">
      <c r="A3139" s="4">
        <v>45512</v>
      </c>
      <c r="B3139" s="5">
        <f t="shared" ref="B3139:B3202" si="801">MONTH(A3139)</f>
        <v>8</v>
      </c>
      <c r="C3139" s="5">
        <f t="shared" ref="C3139:C3202" si="802">YEAR(A3139)</f>
        <v>2024</v>
      </c>
      <c r="D3139" s="5" t="s">
        <v>2854</v>
      </c>
      <c r="E3139" s="5" t="str">
        <f>VLOOKUP(F3139,'Set up'!$A$2:$C$70,2,FALSE)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up'!$A$2:$C$70,3,FALSE)</f>
        <v>45</v>
      </c>
      <c r="J3139" s="5">
        <f>VLOOKUP(F3139,'Set up'!$A$2:$D$70,4,FALSE)</f>
        <v>45</v>
      </c>
      <c r="K3139" s="4">
        <f t="shared" ref="K3139:K3202" si="803">A3139+J3139</f>
        <v>45557</v>
      </c>
      <c r="L3139" s="5">
        <f t="shared" ref="L3139:L3202" si="804">MONTH(K3139)</f>
        <v>9</v>
      </c>
      <c r="M3139" s="5">
        <f t="shared" ref="M3139:M3202" si="805">YEAR(K3139)</f>
        <v>2024</v>
      </c>
      <c r="N3139" s="12">
        <v>1738</v>
      </c>
      <c r="O3139" s="6">
        <f>-N3139</f>
        <v>-1738</v>
      </c>
      <c r="P3139" s="6">
        <f t="shared" si="794"/>
        <v>0</v>
      </c>
      <c r="Q3139" s="7">
        <v>5148399.3499999996</v>
      </c>
      <c r="R3139" s="44" t="str">
        <f>VLOOKUP(F3139,'Set up'!$A$2:$E$70,5,FALSE)</f>
        <v>PD Chq</v>
      </c>
      <c r="S3139" s="1" t="s">
        <v>2979</v>
      </c>
      <c r="U3139" s="1" t="s">
        <v>3603</v>
      </c>
    </row>
    <row r="3140" spans="1:21" ht="15" customHeight="1" x14ac:dyDescent="0.35">
      <c r="A3140" s="4">
        <v>45512</v>
      </c>
      <c r="B3140" s="5">
        <f t="shared" si="801"/>
        <v>8</v>
      </c>
      <c r="C3140" s="5">
        <f t="shared" si="802"/>
        <v>2024</v>
      </c>
      <c r="D3140" s="5" t="s">
        <v>2854</v>
      </c>
      <c r="E3140" s="5" t="str">
        <f>VLOOKUP(F3140,'Set up'!$A$2:$C$70,2,FALSE)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up'!$A$2:$C$70,3,FALSE)</f>
        <v>45</v>
      </c>
      <c r="J3140" s="5">
        <f>VLOOKUP(F3140,'Set up'!$A$2:$D$70,4,FALSE)</f>
        <v>45</v>
      </c>
      <c r="K3140" s="4">
        <f t="shared" si="803"/>
        <v>45557</v>
      </c>
      <c r="L3140" s="5">
        <f t="shared" si="804"/>
        <v>9</v>
      </c>
      <c r="M3140" s="5">
        <f t="shared" si="805"/>
        <v>2024</v>
      </c>
      <c r="N3140" s="12">
        <v>234</v>
      </c>
      <c r="O3140" s="6">
        <f>-N3140</f>
        <v>-234</v>
      </c>
      <c r="P3140" s="6">
        <f t="shared" si="794"/>
        <v>0</v>
      </c>
      <c r="Q3140" s="7">
        <v>5148633.3499999996</v>
      </c>
      <c r="R3140" s="44" t="str">
        <f>VLOOKUP(F3140,'Set up'!$A$2:$E$70,5,FALSE)</f>
        <v>PD Chq</v>
      </c>
      <c r="S3140" s="1" t="s">
        <v>2979</v>
      </c>
      <c r="U3140" s="1" t="s">
        <v>3603</v>
      </c>
    </row>
    <row r="3141" spans="1:21" ht="15" customHeight="1" x14ac:dyDescent="0.35">
      <c r="A3141" s="4">
        <v>45512</v>
      </c>
      <c r="B3141" s="5">
        <f t="shared" si="801"/>
        <v>8</v>
      </c>
      <c r="C3141" s="5">
        <f t="shared" si="802"/>
        <v>2024</v>
      </c>
      <c r="D3141" s="5" t="s">
        <v>2854</v>
      </c>
      <c r="E3141" s="5" t="str">
        <f>VLOOKUP(F3141,'Set up'!$A$2:$C$70,2,FALSE)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up'!$A$2:$C$70,3,FALSE)</f>
        <v>45</v>
      </c>
      <c r="J3141" s="5">
        <f>VLOOKUP(F3141,'Set up'!$A$2:$D$70,4,FALSE)</f>
        <v>45</v>
      </c>
      <c r="K3141" s="4">
        <f t="shared" si="803"/>
        <v>45557</v>
      </c>
      <c r="L3141" s="5">
        <f t="shared" si="804"/>
        <v>9</v>
      </c>
      <c r="M3141" s="5">
        <f t="shared" si="805"/>
        <v>2024</v>
      </c>
      <c r="N3141" s="12">
        <v>220</v>
      </c>
      <c r="O3141" s="6">
        <f>-N3141</f>
        <v>-220</v>
      </c>
      <c r="P3141" s="6">
        <f t="shared" si="794"/>
        <v>0</v>
      </c>
      <c r="Q3141" s="7">
        <v>5148853.3499999996</v>
      </c>
      <c r="R3141" s="44" t="str">
        <f>VLOOKUP(F3141,'Set up'!$A$2:$E$70,5,FALSE)</f>
        <v>PD Chq</v>
      </c>
      <c r="S3141" s="1" t="s">
        <v>2979</v>
      </c>
      <c r="U3141" s="1" t="s">
        <v>3603</v>
      </c>
    </row>
    <row r="3142" spans="1:21" ht="15" customHeight="1" x14ac:dyDescent="0.35">
      <c r="A3142" s="4">
        <v>45516</v>
      </c>
      <c r="B3142" s="5">
        <f t="shared" si="801"/>
        <v>8</v>
      </c>
      <c r="C3142" s="5">
        <f t="shared" si="802"/>
        <v>2024</v>
      </c>
      <c r="D3142" s="5" t="s">
        <v>2854</v>
      </c>
      <c r="E3142" s="5" t="str">
        <f>VLOOKUP(F3142,'Set up'!$A$2:$C$70,2,FALSE)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up'!$A$2:$C$70,3,FALSE)</f>
        <v>45</v>
      </c>
      <c r="J3142" s="5">
        <f>VLOOKUP(F3142,'Set up'!$A$2:$D$70,4,FALSE)</f>
        <v>45</v>
      </c>
      <c r="K3142" s="4">
        <f t="shared" si="803"/>
        <v>45561</v>
      </c>
      <c r="L3142" s="5">
        <f t="shared" si="804"/>
        <v>9</v>
      </c>
      <c r="M3142" s="5">
        <f t="shared" si="805"/>
        <v>2024</v>
      </c>
      <c r="N3142" s="12">
        <v>130</v>
      </c>
      <c r="O3142" s="6">
        <f>-N3142</f>
        <v>-130</v>
      </c>
      <c r="P3142" s="6">
        <f t="shared" si="794"/>
        <v>0</v>
      </c>
      <c r="Q3142" s="7">
        <v>5148983.3499999996</v>
      </c>
      <c r="R3142" s="44" t="str">
        <f>VLOOKUP(F3142,'Set up'!$A$2:$E$70,5,FALSE)</f>
        <v>PD Chq</v>
      </c>
      <c r="S3142" s="1" t="s">
        <v>2979</v>
      </c>
      <c r="U3142" s="1" t="s">
        <v>3603</v>
      </c>
    </row>
    <row r="3143" spans="1:21" ht="15" customHeight="1" x14ac:dyDescent="0.35">
      <c r="A3143" s="4">
        <v>45516</v>
      </c>
      <c r="B3143" s="5">
        <f t="shared" si="801"/>
        <v>8</v>
      </c>
      <c r="C3143" s="5">
        <f t="shared" si="802"/>
        <v>2024</v>
      </c>
      <c r="D3143" s="5" t="s">
        <v>2855</v>
      </c>
      <c r="E3143" s="5" t="str">
        <f>VLOOKUP(F3143,'Set up'!$A$2:$C$70,2,FALSE)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up'!$A$2:$C$70,3,FALSE)</f>
        <v>Cash</v>
      </c>
      <c r="J3143" s="5">
        <f>VLOOKUP(F3143,'Set up'!$A$2:$D$70,4,FALSE)</f>
        <v>0</v>
      </c>
      <c r="K3143" s="4">
        <f t="shared" si="803"/>
        <v>45516</v>
      </c>
      <c r="L3143" s="5">
        <f t="shared" si="804"/>
        <v>8</v>
      </c>
      <c r="M3143" s="5">
        <f t="shared" si="805"/>
        <v>2024</v>
      </c>
      <c r="N3143" s="12">
        <v>3520</v>
      </c>
      <c r="O3143" s="12"/>
      <c r="P3143" s="6">
        <f t="shared" si="794"/>
        <v>3520</v>
      </c>
      <c r="Q3143" s="7">
        <v>5152503.3499999996</v>
      </c>
      <c r="R3143" s="44" t="str">
        <f>VLOOKUP(F3143,'Set up'!$A$2:$E$70,5,FALSE)</f>
        <v>Cash</v>
      </c>
    </row>
    <row r="3144" spans="1:21" ht="15" customHeight="1" x14ac:dyDescent="0.35">
      <c r="A3144" s="4">
        <v>45516</v>
      </c>
      <c r="B3144" s="5">
        <f t="shared" si="801"/>
        <v>8</v>
      </c>
      <c r="C3144" s="5">
        <f t="shared" si="802"/>
        <v>2024</v>
      </c>
      <c r="D3144" s="5" t="s">
        <v>2855</v>
      </c>
      <c r="E3144" s="5" t="str">
        <f>VLOOKUP(F3144,'Set up'!$A$2:$C$70,2,FALSE)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up'!$A$2:$C$70,3,FALSE)</f>
        <v>Cash</v>
      </c>
      <c r="J3144" s="5">
        <f>VLOOKUP(F3144,'Set up'!$A$2:$D$70,4,FALSE)</f>
        <v>0</v>
      </c>
      <c r="K3144" s="4">
        <f t="shared" si="803"/>
        <v>45516</v>
      </c>
      <c r="L3144" s="5">
        <f t="shared" si="804"/>
        <v>8</v>
      </c>
      <c r="M3144" s="5">
        <f t="shared" si="805"/>
        <v>2024</v>
      </c>
      <c r="N3144" s="12">
        <v>675</v>
      </c>
      <c r="O3144" s="12"/>
      <c r="P3144" s="6">
        <f t="shared" si="794"/>
        <v>675</v>
      </c>
      <c r="Q3144" s="7">
        <v>5153178.3499999996</v>
      </c>
      <c r="R3144" s="44" t="str">
        <f>VLOOKUP(F3144,'Set up'!$A$2:$E$70,5,FALSE)</f>
        <v>Cash</v>
      </c>
    </row>
    <row r="3145" spans="1:21" ht="15" customHeight="1" x14ac:dyDescent="0.35">
      <c r="A3145" s="4">
        <v>45517</v>
      </c>
      <c r="B3145" s="5">
        <f t="shared" si="801"/>
        <v>8</v>
      </c>
      <c r="C3145" s="5">
        <f t="shared" si="802"/>
        <v>2024</v>
      </c>
      <c r="D3145" s="5" t="s">
        <v>2856</v>
      </c>
      <c r="E3145" s="5" t="str">
        <f>VLOOKUP(F3145,'Set up'!$A$2:$C$70,2,FALSE)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up'!$A$2:$C$70,3,FALSE)</f>
        <v>Cash</v>
      </c>
      <c r="J3145" s="5">
        <f>VLOOKUP(F3145,'Set up'!$A$2:$D$70,4,FALSE)</f>
        <v>0</v>
      </c>
      <c r="K3145" s="4">
        <f t="shared" si="803"/>
        <v>45517</v>
      </c>
      <c r="L3145" s="5">
        <f t="shared" si="804"/>
        <v>8</v>
      </c>
      <c r="M3145" s="5">
        <f t="shared" si="805"/>
        <v>2024</v>
      </c>
      <c r="N3145" s="12">
        <v>110</v>
      </c>
      <c r="O3145" s="12"/>
      <c r="P3145" s="6">
        <f t="shared" si="794"/>
        <v>110</v>
      </c>
      <c r="Q3145" s="7">
        <v>5153288.3499999996</v>
      </c>
      <c r="R3145" s="44" t="str">
        <f>VLOOKUP(F3145,'Set up'!$A$2:$E$70,5,FALSE)</f>
        <v>Cash</v>
      </c>
    </row>
    <row r="3146" spans="1:21" ht="15" customHeight="1" x14ac:dyDescent="0.35">
      <c r="A3146" s="4">
        <v>45516</v>
      </c>
      <c r="B3146" s="5">
        <f t="shared" si="801"/>
        <v>8</v>
      </c>
      <c r="C3146" s="5">
        <f t="shared" si="802"/>
        <v>2024</v>
      </c>
      <c r="D3146" s="5" t="s">
        <v>2857</v>
      </c>
      <c r="E3146" s="5" t="str">
        <f>VLOOKUP(F3146,'Set up'!$A$2:$C$70,2,FALSE)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up'!$A$2:$C$70,3,FALSE)</f>
        <v>Cash</v>
      </c>
      <c r="J3146" s="5">
        <f>VLOOKUP(F3146,'Set up'!$A$2:$D$70,4,FALSE)</f>
        <v>0</v>
      </c>
      <c r="K3146" s="4">
        <f t="shared" si="803"/>
        <v>45516</v>
      </c>
      <c r="L3146" s="5">
        <f t="shared" si="804"/>
        <v>8</v>
      </c>
      <c r="M3146" s="5">
        <f t="shared" si="805"/>
        <v>2024</v>
      </c>
      <c r="N3146" s="12">
        <v>1000</v>
      </c>
      <c r="O3146" s="6">
        <f t="shared" ref="O3146" si="806">-N3146</f>
        <v>-1000</v>
      </c>
      <c r="P3146" s="6">
        <f t="shared" si="794"/>
        <v>0</v>
      </c>
      <c r="Q3146" s="7">
        <v>5154288.3499999996</v>
      </c>
      <c r="R3146" s="44" t="str">
        <f>VLOOKUP(F3146,'Set up'!$A$2:$E$70,5,FALSE)</f>
        <v>Trsf</v>
      </c>
      <c r="S3146" s="1" t="s">
        <v>3384</v>
      </c>
    </row>
    <row r="3147" spans="1:21" ht="15" customHeight="1" x14ac:dyDescent="0.35">
      <c r="A3147" s="4">
        <v>45519</v>
      </c>
      <c r="B3147" s="5">
        <f t="shared" si="801"/>
        <v>8</v>
      </c>
      <c r="C3147" s="5">
        <f t="shared" si="802"/>
        <v>2024</v>
      </c>
      <c r="D3147" s="5" t="s">
        <v>2858</v>
      </c>
      <c r="E3147" s="5" t="str">
        <f>VLOOKUP(F3147,'Set up'!$A$2:$C$70,2,FALSE)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up'!$A$2:$C$70,3,FALSE)</f>
        <v>Cash</v>
      </c>
      <c r="J3147" s="5">
        <f>VLOOKUP(F3147,'Set up'!$A$2:$D$70,4,FALSE)</f>
        <v>0</v>
      </c>
      <c r="K3147" s="4">
        <f t="shared" si="803"/>
        <v>45519</v>
      </c>
      <c r="L3147" s="5">
        <f t="shared" si="804"/>
        <v>8</v>
      </c>
      <c r="M3147" s="5">
        <f t="shared" si="805"/>
        <v>2024</v>
      </c>
      <c r="N3147" s="12">
        <v>250</v>
      </c>
      <c r="O3147" s="12"/>
      <c r="P3147" s="6">
        <f t="shared" si="794"/>
        <v>250</v>
      </c>
      <c r="Q3147" s="7">
        <v>5154538.3499999996</v>
      </c>
      <c r="R3147" s="44" t="str">
        <f>VLOOKUP(F3147,'Set up'!$A$2:$E$70,5,FALSE)</f>
        <v>Cash</v>
      </c>
    </row>
    <row r="3148" spans="1:21" ht="15" customHeight="1" x14ac:dyDescent="0.35">
      <c r="A3148" s="4">
        <v>45520</v>
      </c>
      <c r="B3148" s="5">
        <f t="shared" si="801"/>
        <v>8</v>
      </c>
      <c r="C3148" s="5">
        <f t="shared" si="802"/>
        <v>2024</v>
      </c>
      <c r="D3148" s="5" t="s">
        <v>2860</v>
      </c>
      <c r="E3148" s="5" t="str">
        <f>VLOOKUP(F3148,'Set up'!$A$2:$C$70,2,FALSE)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up'!$A$2:$C$70,3,FALSE)</f>
        <v>Cash</v>
      </c>
      <c r="J3148" s="5">
        <f>VLOOKUP(F3148,'Set up'!$A$2:$D$70,4,FALSE)</f>
        <v>0</v>
      </c>
      <c r="K3148" s="4">
        <f t="shared" si="803"/>
        <v>45520</v>
      </c>
      <c r="L3148" s="5">
        <f t="shared" si="804"/>
        <v>8</v>
      </c>
      <c r="M3148" s="5">
        <f t="shared" si="805"/>
        <v>2024</v>
      </c>
      <c r="N3148" s="12">
        <v>1760</v>
      </c>
      <c r="O3148" s="12"/>
      <c r="P3148" s="6">
        <f t="shared" si="794"/>
        <v>1760</v>
      </c>
      <c r="Q3148" s="7">
        <v>5156298.3499999996</v>
      </c>
      <c r="R3148" s="44" t="str">
        <f>VLOOKUP(F3148,'Set up'!$A$2:$E$70,5,FALSE)</f>
        <v>Trsf</v>
      </c>
    </row>
    <row r="3149" spans="1:21" ht="15" customHeight="1" x14ac:dyDescent="0.35">
      <c r="A3149" s="4">
        <v>45520</v>
      </c>
      <c r="B3149" s="5">
        <f t="shared" si="801"/>
        <v>8</v>
      </c>
      <c r="C3149" s="5">
        <f t="shared" si="802"/>
        <v>2024</v>
      </c>
      <c r="D3149" s="5" t="s">
        <v>2860</v>
      </c>
      <c r="E3149" s="5" t="str">
        <f>VLOOKUP(F3149,'Set up'!$A$2:$C$70,2,FALSE)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up'!$A$2:$C$70,3,FALSE)</f>
        <v>Cash</v>
      </c>
      <c r="J3149" s="5">
        <f>VLOOKUP(F3149,'Set up'!$A$2:$D$70,4,FALSE)</f>
        <v>0</v>
      </c>
      <c r="K3149" s="4">
        <f t="shared" si="803"/>
        <v>45520</v>
      </c>
      <c r="L3149" s="5">
        <f t="shared" si="804"/>
        <v>8</v>
      </c>
      <c r="M3149" s="5">
        <f t="shared" si="805"/>
        <v>2024</v>
      </c>
      <c r="N3149" s="12">
        <v>120</v>
      </c>
      <c r="O3149" s="12"/>
      <c r="P3149" s="6">
        <f t="shared" si="794"/>
        <v>120</v>
      </c>
      <c r="Q3149" s="7">
        <v>5156418.3499999996</v>
      </c>
      <c r="R3149" s="44" t="str">
        <f>VLOOKUP(F3149,'Set up'!$A$2:$E$70,5,FALSE)</f>
        <v>Trsf</v>
      </c>
    </row>
    <row r="3150" spans="1:21" ht="15" customHeight="1" x14ac:dyDescent="0.35">
      <c r="A3150" s="4">
        <v>45520</v>
      </c>
      <c r="B3150" s="5">
        <f t="shared" si="801"/>
        <v>8</v>
      </c>
      <c r="C3150" s="5">
        <f t="shared" si="802"/>
        <v>2024</v>
      </c>
      <c r="D3150" s="5" t="s">
        <v>2861</v>
      </c>
      <c r="E3150" s="5" t="str">
        <f>VLOOKUP(F3150,'Set up'!$A$2:$C$70,2,FALSE)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up'!$A$2:$C$70,3,FALSE)</f>
        <v>Cash</v>
      </c>
      <c r="J3150" s="5">
        <f>VLOOKUP(F3150,'Set up'!$A$2:$D$70,4,FALSE)</f>
        <v>0</v>
      </c>
      <c r="K3150" s="4">
        <f t="shared" si="803"/>
        <v>45520</v>
      </c>
      <c r="L3150" s="5">
        <f t="shared" si="804"/>
        <v>8</v>
      </c>
      <c r="M3150" s="5">
        <f t="shared" si="805"/>
        <v>2024</v>
      </c>
      <c r="N3150" s="12">
        <v>180</v>
      </c>
      <c r="O3150" s="12"/>
      <c r="P3150" s="6">
        <f t="shared" si="794"/>
        <v>180</v>
      </c>
      <c r="Q3150" s="7">
        <v>5156598.3499999996</v>
      </c>
      <c r="R3150" s="44" t="str">
        <f>VLOOKUP(F3150,'Set up'!$A$2:$E$70,5,FALSE)</f>
        <v>Cash</v>
      </c>
    </row>
    <row r="3151" spans="1:21" ht="15" customHeight="1" x14ac:dyDescent="0.35">
      <c r="A3151" s="4">
        <v>45521</v>
      </c>
      <c r="B3151" s="5">
        <f t="shared" si="801"/>
        <v>8</v>
      </c>
      <c r="C3151" s="5">
        <f t="shared" si="802"/>
        <v>2024</v>
      </c>
      <c r="D3151" s="5" t="s">
        <v>2862</v>
      </c>
      <c r="E3151" s="5" t="str">
        <f>VLOOKUP(F3151,'Set up'!$A$2:$C$70,2,FALSE)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up'!$A$2:$C$70,3,FALSE)</f>
        <v>Cash</v>
      </c>
      <c r="J3151" s="5">
        <f>VLOOKUP(F3151,'Set up'!$A$2:$D$70,4,FALSE)</f>
        <v>0</v>
      </c>
      <c r="K3151" s="4">
        <f t="shared" si="803"/>
        <v>45521</v>
      </c>
      <c r="L3151" s="5">
        <f t="shared" si="804"/>
        <v>8</v>
      </c>
      <c r="M3151" s="5">
        <f t="shared" si="805"/>
        <v>2024</v>
      </c>
      <c r="N3151" s="12">
        <v>125</v>
      </c>
      <c r="O3151" s="6">
        <f t="shared" ref="O3151:O3154" si="807">-N3151</f>
        <v>-125</v>
      </c>
      <c r="P3151" s="6">
        <f t="shared" si="794"/>
        <v>0</v>
      </c>
      <c r="Q3151" s="7">
        <v>5156723.3499999996</v>
      </c>
      <c r="R3151" s="44" t="str">
        <f>VLOOKUP(F3151,'Set up'!$A$2:$E$70,5,FALSE)</f>
        <v>Trsf</v>
      </c>
      <c r="S3151" s="1" t="s">
        <v>3385</v>
      </c>
    </row>
    <row r="3152" spans="1:21" ht="15" customHeight="1" x14ac:dyDescent="0.35">
      <c r="A3152" s="4">
        <v>45521</v>
      </c>
      <c r="B3152" s="5">
        <f t="shared" si="801"/>
        <v>8</v>
      </c>
      <c r="C3152" s="5">
        <f t="shared" si="802"/>
        <v>2024</v>
      </c>
      <c r="D3152" s="5" t="s">
        <v>2863</v>
      </c>
      <c r="E3152" s="5" t="str">
        <f>VLOOKUP(F3152,'Set up'!$A$2:$C$70,2,FALSE)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up'!$A$2:$C$70,3,FALSE)</f>
        <v>Cash</v>
      </c>
      <c r="J3152" s="5">
        <f>VLOOKUP(F3152,'Set up'!$A$2:$D$70,4,FALSE)</f>
        <v>0</v>
      </c>
      <c r="K3152" s="4">
        <f t="shared" si="803"/>
        <v>45521</v>
      </c>
      <c r="L3152" s="5">
        <f t="shared" si="804"/>
        <v>8</v>
      </c>
      <c r="M3152" s="5">
        <f t="shared" si="805"/>
        <v>2024</v>
      </c>
      <c r="N3152" s="12">
        <v>3256</v>
      </c>
      <c r="O3152" s="6">
        <f t="shared" si="807"/>
        <v>-3256</v>
      </c>
      <c r="P3152" s="6">
        <f t="shared" si="794"/>
        <v>0</v>
      </c>
      <c r="Q3152" s="7">
        <v>5159979.3499999996</v>
      </c>
      <c r="R3152" s="44" t="str">
        <f>VLOOKUP(F3152,'Set up'!$A$2:$E$70,5,FALSE)</f>
        <v>Trsf</v>
      </c>
      <c r="S3152" s="1" t="s">
        <v>3386</v>
      </c>
    </row>
    <row r="3153" spans="1:19" ht="15" customHeight="1" x14ac:dyDescent="0.35">
      <c r="A3153" s="4">
        <v>45521</v>
      </c>
      <c r="B3153" s="5">
        <f t="shared" si="801"/>
        <v>8</v>
      </c>
      <c r="C3153" s="5">
        <f t="shared" si="802"/>
        <v>2024</v>
      </c>
      <c r="D3153" s="5" t="s">
        <v>2863</v>
      </c>
      <c r="E3153" s="5" t="str">
        <f>VLOOKUP(F3153,'Set up'!$A$2:$C$70,2,FALSE)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up'!$A$2:$C$70,3,FALSE)</f>
        <v>Cash</v>
      </c>
      <c r="J3153" s="5">
        <f>VLOOKUP(F3153,'Set up'!$A$2:$D$70,4,FALSE)</f>
        <v>0</v>
      </c>
      <c r="K3153" s="4">
        <f t="shared" si="803"/>
        <v>45521</v>
      </c>
      <c r="L3153" s="5">
        <f t="shared" si="804"/>
        <v>8</v>
      </c>
      <c r="M3153" s="5">
        <f t="shared" si="805"/>
        <v>2024</v>
      </c>
      <c r="N3153" s="12">
        <v>1098</v>
      </c>
      <c r="O3153" s="6">
        <f t="shared" si="807"/>
        <v>-1098</v>
      </c>
      <c r="P3153" s="6">
        <f t="shared" si="794"/>
        <v>0</v>
      </c>
      <c r="Q3153" s="7">
        <v>5161077.3499999996</v>
      </c>
      <c r="R3153" s="44" t="str">
        <f>VLOOKUP(F3153,'Set up'!$A$2:$E$70,5,FALSE)</f>
        <v>Trsf</v>
      </c>
      <c r="S3153" s="1" t="s">
        <v>3387</v>
      </c>
    </row>
    <row r="3154" spans="1:19" ht="15" customHeight="1" x14ac:dyDescent="0.35">
      <c r="A3154" s="4">
        <v>45521</v>
      </c>
      <c r="B3154" s="5">
        <f t="shared" si="801"/>
        <v>8</v>
      </c>
      <c r="C3154" s="5">
        <f t="shared" si="802"/>
        <v>2024</v>
      </c>
      <c r="D3154" s="5" t="s">
        <v>2863</v>
      </c>
      <c r="E3154" s="5" t="str">
        <f>VLOOKUP(F3154,'Set up'!$A$2:$C$70,2,FALSE)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up'!$A$2:$C$70,3,FALSE)</f>
        <v>Cash</v>
      </c>
      <c r="J3154" s="5">
        <f>VLOOKUP(F3154,'Set up'!$A$2:$D$70,4,FALSE)</f>
        <v>0</v>
      </c>
      <c r="K3154" s="4">
        <f t="shared" si="803"/>
        <v>45521</v>
      </c>
      <c r="L3154" s="5">
        <f t="shared" si="804"/>
        <v>8</v>
      </c>
      <c r="M3154" s="5">
        <f t="shared" si="805"/>
        <v>2024</v>
      </c>
      <c r="N3154" s="12">
        <v>380</v>
      </c>
      <c r="O3154" s="6">
        <f t="shared" si="807"/>
        <v>-380</v>
      </c>
      <c r="P3154" s="6">
        <f t="shared" si="794"/>
        <v>0</v>
      </c>
      <c r="Q3154" s="7">
        <v>5161457.3499999996</v>
      </c>
      <c r="R3154" s="44" t="str">
        <f>VLOOKUP(F3154,'Set up'!$A$2:$E$70,5,FALSE)</f>
        <v>Trsf</v>
      </c>
      <c r="S3154" s="1" t="s">
        <v>3382</v>
      </c>
    </row>
    <row r="3155" spans="1:19" ht="15" customHeight="1" x14ac:dyDescent="0.35">
      <c r="A3155" s="4">
        <v>45521</v>
      </c>
      <c r="B3155" s="5">
        <f t="shared" si="801"/>
        <v>8</v>
      </c>
      <c r="C3155" s="5">
        <f t="shared" si="802"/>
        <v>2024</v>
      </c>
      <c r="D3155" s="5" t="s">
        <v>2864</v>
      </c>
      <c r="E3155" s="5" t="str">
        <f>VLOOKUP(F3155,'Set up'!$A$2:$C$70,2,FALSE)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up'!$A$2:$C$70,3,FALSE)</f>
        <v>Cash</v>
      </c>
      <c r="J3155" s="5">
        <f>VLOOKUP(F3155,'Set up'!$A$2:$D$70,4,FALSE)</f>
        <v>0</v>
      </c>
      <c r="K3155" s="4">
        <f t="shared" si="803"/>
        <v>45521</v>
      </c>
      <c r="L3155" s="5">
        <f t="shared" si="804"/>
        <v>8</v>
      </c>
      <c r="M3155" s="5">
        <f t="shared" si="805"/>
        <v>2024</v>
      </c>
      <c r="N3155" s="12">
        <v>175</v>
      </c>
      <c r="O3155" s="12"/>
      <c r="P3155" s="6">
        <f t="shared" si="794"/>
        <v>175</v>
      </c>
      <c r="Q3155" s="7">
        <v>5161632.3499999996</v>
      </c>
      <c r="R3155" s="44" t="str">
        <f>VLOOKUP(F3155,'Set up'!$A$2:$E$70,5,FALSE)</f>
        <v>Cash</v>
      </c>
    </row>
    <row r="3156" spans="1:19" ht="15" customHeight="1" x14ac:dyDescent="0.35">
      <c r="A3156" s="4">
        <v>45525</v>
      </c>
      <c r="B3156" s="5">
        <f t="shared" si="801"/>
        <v>8</v>
      </c>
      <c r="C3156" s="5">
        <f t="shared" si="802"/>
        <v>2024</v>
      </c>
      <c r="D3156" s="5" t="s">
        <v>2865</v>
      </c>
      <c r="E3156" s="5" t="str">
        <f>VLOOKUP(F3156,'Set up'!$A$2:$C$70,2,FALSE)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up'!$A$2:$C$70,3,FALSE)</f>
        <v>Cash</v>
      </c>
      <c r="J3156" s="5">
        <f>VLOOKUP(F3156,'Set up'!$A$2:$D$70,4,FALSE)</f>
        <v>0</v>
      </c>
      <c r="K3156" s="4">
        <f t="shared" si="803"/>
        <v>45525</v>
      </c>
      <c r="L3156" s="5">
        <f t="shared" si="804"/>
        <v>8</v>
      </c>
      <c r="M3156" s="5">
        <f t="shared" si="805"/>
        <v>2024</v>
      </c>
      <c r="N3156" s="12">
        <v>187.5</v>
      </c>
      <c r="O3156" s="6">
        <f t="shared" ref="O3156" si="808">-N3156</f>
        <v>-187.5</v>
      </c>
      <c r="P3156" s="6">
        <f t="shared" si="794"/>
        <v>0</v>
      </c>
      <c r="Q3156" s="7">
        <v>5161819.8499999996</v>
      </c>
      <c r="R3156" s="44" t="str">
        <f>VLOOKUP(F3156,'Set up'!$A$2:$E$70,5,FALSE)</f>
        <v>Trsf</v>
      </c>
      <c r="S3156" s="1" t="s">
        <v>3388</v>
      </c>
    </row>
    <row r="3157" spans="1:19" ht="15" customHeight="1" x14ac:dyDescent="0.35">
      <c r="A3157" s="4">
        <v>45525</v>
      </c>
      <c r="B3157" s="5">
        <f t="shared" si="801"/>
        <v>8</v>
      </c>
      <c r="C3157" s="5">
        <f t="shared" si="802"/>
        <v>2024</v>
      </c>
      <c r="D3157" s="5" t="s">
        <v>2866</v>
      </c>
      <c r="E3157" s="5" t="str">
        <f>VLOOKUP(F3157,'Set up'!$A$2:$C$70,2,FALSE)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up'!$A$2:$C$70,3,FALSE)</f>
        <v>Cash</v>
      </c>
      <c r="J3157" s="5">
        <f>VLOOKUP(F3157,'Set up'!$A$2:$D$70,4,FALSE)</f>
        <v>0</v>
      </c>
      <c r="K3157" s="4">
        <f t="shared" si="803"/>
        <v>45525</v>
      </c>
      <c r="L3157" s="5">
        <f t="shared" si="804"/>
        <v>8</v>
      </c>
      <c r="M3157" s="5">
        <f t="shared" si="805"/>
        <v>2024</v>
      </c>
      <c r="N3157" s="12">
        <v>4884</v>
      </c>
      <c r="O3157" s="12">
        <f>-2788.6-2095.4</f>
        <v>-4884</v>
      </c>
      <c r="P3157" s="6">
        <f t="shared" ref="P3157:P3220" si="809">SUM(N3157+O3157)</f>
        <v>0</v>
      </c>
      <c r="Q3157" s="7">
        <v>5166703.8499999996</v>
      </c>
      <c r="R3157" s="44" t="str">
        <f>VLOOKUP(F3157,'Set up'!$A$2:$E$70,5,FALSE)</f>
        <v>Trsf</v>
      </c>
      <c r="S3157" s="1" t="s">
        <v>3389</v>
      </c>
    </row>
    <row r="3158" spans="1:19" ht="15" customHeight="1" x14ac:dyDescent="0.35">
      <c r="A3158" s="4">
        <v>45525</v>
      </c>
      <c r="B3158" s="5">
        <f t="shared" si="801"/>
        <v>8</v>
      </c>
      <c r="C3158" s="5">
        <f t="shared" si="802"/>
        <v>2024</v>
      </c>
      <c r="D3158" s="5" t="s">
        <v>2866</v>
      </c>
      <c r="E3158" s="5" t="str">
        <f>VLOOKUP(F3158,'Set up'!$A$2:$C$70,2,FALSE)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up'!$A$2:$C$70,3,FALSE)</f>
        <v>Cash</v>
      </c>
      <c r="J3158" s="5">
        <f>VLOOKUP(F3158,'Set up'!$A$2:$D$70,4,FALSE)</f>
        <v>0</v>
      </c>
      <c r="K3158" s="4">
        <f t="shared" si="803"/>
        <v>45525</v>
      </c>
      <c r="L3158" s="5">
        <f t="shared" si="804"/>
        <v>8</v>
      </c>
      <c r="M3158" s="5">
        <f t="shared" si="805"/>
        <v>2024</v>
      </c>
      <c r="N3158" s="12">
        <v>1830</v>
      </c>
      <c r="O3158" s="6">
        <f t="shared" ref="O3158:O3161" si="810">-N3158</f>
        <v>-1830</v>
      </c>
      <c r="P3158" s="6">
        <f t="shared" si="809"/>
        <v>0</v>
      </c>
      <c r="Q3158" s="7">
        <v>5168533.8499999996</v>
      </c>
      <c r="R3158" s="44" t="str">
        <f>VLOOKUP(F3158,'Set up'!$A$2:$E$70,5,FALSE)</f>
        <v>Trsf</v>
      </c>
      <c r="S3158" s="1" t="s">
        <v>3390</v>
      </c>
    </row>
    <row r="3159" spans="1:19" ht="15" customHeight="1" x14ac:dyDescent="0.35">
      <c r="A3159" s="4">
        <v>45525</v>
      </c>
      <c r="B3159" s="5">
        <f t="shared" si="801"/>
        <v>8</v>
      </c>
      <c r="C3159" s="5">
        <f t="shared" si="802"/>
        <v>2024</v>
      </c>
      <c r="D3159" s="5" t="s">
        <v>2866</v>
      </c>
      <c r="E3159" s="5" t="str">
        <f>VLOOKUP(F3159,'Set up'!$A$2:$C$70,2,FALSE)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up'!$A$2:$C$70,3,FALSE)</f>
        <v>Cash</v>
      </c>
      <c r="J3159" s="5">
        <f>VLOOKUP(F3159,'Set up'!$A$2:$D$70,4,FALSE)</f>
        <v>0</v>
      </c>
      <c r="K3159" s="4">
        <f t="shared" si="803"/>
        <v>45525</v>
      </c>
      <c r="L3159" s="5">
        <f t="shared" si="804"/>
        <v>8</v>
      </c>
      <c r="M3159" s="5">
        <f t="shared" si="805"/>
        <v>2024</v>
      </c>
      <c r="N3159" s="12">
        <v>1200</v>
      </c>
      <c r="O3159" s="6">
        <f t="shared" si="810"/>
        <v>-1200</v>
      </c>
      <c r="P3159" s="6">
        <f t="shared" si="809"/>
        <v>0</v>
      </c>
      <c r="Q3159" s="7">
        <v>5169733.8499999996</v>
      </c>
      <c r="R3159" s="44" t="str">
        <f>VLOOKUP(F3159,'Set up'!$A$2:$E$70,5,FALSE)</f>
        <v>Trsf</v>
      </c>
      <c r="S3159" s="1" t="s">
        <v>3391</v>
      </c>
    </row>
    <row r="3160" spans="1:19" ht="15" customHeight="1" x14ac:dyDescent="0.35">
      <c r="A3160" s="4">
        <v>45525</v>
      </c>
      <c r="B3160" s="5">
        <f t="shared" si="801"/>
        <v>8</v>
      </c>
      <c r="C3160" s="5">
        <f t="shared" si="802"/>
        <v>2024</v>
      </c>
      <c r="D3160" s="5" t="s">
        <v>2866</v>
      </c>
      <c r="E3160" s="5" t="str">
        <f>VLOOKUP(F3160,'Set up'!$A$2:$C$70,2,FALSE)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up'!$A$2:$C$70,3,FALSE)</f>
        <v>Cash</v>
      </c>
      <c r="J3160" s="5">
        <f>VLOOKUP(F3160,'Set up'!$A$2:$D$70,4,FALSE)</f>
        <v>0</v>
      </c>
      <c r="K3160" s="4">
        <f t="shared" si="803"/>
        <v>45525</v>
      </c>
      <c r="L3160" s="5">
        <f t="shared" si="804"/>
        <v>8</v>
      </c>
      <c r="M3160" s="5">
        <f t="shared" si="805"/>
        <v>2024</v>
      </c>
      <c r="N3160" s="12">
        <v>380</v>
      </c>
      <c r="O3160" s="6">
        <f t="shared" si="810"/>
        <v>-380</v>
      </c>
      <c r="P3160" s="6">
        <f t="shared" si="809"/>
        <v>0</v>
      </c>
      <c r="Q3160" s="7">
        <v>5170113.8499999996</v>
      </c>
      <c r="R3160" s="44" t="str">
        <f>VLOOKUP(F3160,'Set up'!$A$2:$E$70,5,FALSE)</f>
        <v>Trsf</v>
      </c>
      <c r="S3160" s="1" t="s">
        <v>3392</v>
      </c>
    </row>
    <row r="3161" spans="1:19" ht="15" customHeight="1" x14ac:dyDescent="0.35">
      <c r="A3161" s="4">
        <v>45525</v>
      </c>
      <c r="B3161" s="5">
        <f t="shared" si="801"/>
        <v>8</v>
      </c>
      <c r="C3161" s="5">
        <f t="shared" si="802"/>
        <v>2024</v>
      </c>
      <c r="D3161" s="5" t="s">
        <v>2866</v>
      </c>
      <c r="E3161" s="5" t="str">
        <f>VLOOKUP(F3161,'Set up'!$A$2:$C$70,2,FALSE)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up'!$A$2:$C$70,3,FALSE)</f>
        <v>Cash</v>
      </c>
      <c r="J3161" s="5">
        <f>VLOOKUP(F3161,'Set up'!$A$2:$D$70,4,FALSE)</f>
        <v>0</v>
      </c>
      <c r="K3161" s="4">
        <f t="shared" si="803"/>
        <v>45525</v>
      </c>
      <c r="L3161" s="5">
        <f t="shared" si="804"/>
        <v>8</v>
      </c>
      <c r="M3161" s="5">
        <f t="shared" si="805"/>
        <v>2024</v>
      </c>
      <c r="N3161" s="12">
        <v>975</v>
      </c>
      <c r="O3161" s="6">
        <f t="shared" si="810"/>
        <v>-975</v>
      </c>
      <c r="P3161" s="6">
        <f t="shared" si="809"/>
        <v>0</v>
      </c>
      <c r="Q3161" s="7">
        <v>5171088.8499999996</v>
      </c>
      <c r="R3161" s="44" t="str">
        <f>VLOOKUP(F3161,'Set up'!$A$2:$E$70,5,FALSE)</f>
        <v>Trsf</v>
      </c>
      <c r="S3161" s="1" t="s">
        <v>3393</v>
      </c>
    </row>
    <row r="3162" spans="1:19" ht="15" customHeight="1" x14ac:dyDescent="0.35">
      <c r="A3162" s="4">
        <v>45525</v>
      </c>
      <c r="B3162" s="5">
        <f t="shared" si="801"/>
        <v>8</v>
      </c>
      <c r="C3162" s="5">
        <f t="shared" si="802"/>
        <v>2024</v>
      </c>
      <c r="D3162" s="5" t="s">
        <v>2867</v>
      </c>
      <c r="E3162" s="5" t="str">
        <f>VLOOKUP(F3162,'Set up'!$A$2:$C$70,2,FALSE)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up'!$A$2:$C$70,3,FALSE)</f>
        <v>Cash</v>
      </c>
      <c r="J3162" s="5">
        <f>VLOOKUP(F3162,'Set up'!$A$2:$D$70,4,FALSE)</f>
        <v>0</v>
      </c>
      <c r="K3162" s="4">
        <f t="shared" si="803"/>
        <v>45525</v>
      </c>
      <c r="L3162" s="5">
        <f t="shared" si="804"/>
        <v>8</v>
      </c>
      <c r="M3162" s="5">
        <f t="shared" si="805"/>
        <v>2024</v>
      </c>
      <c r="N3162" s="12">
        <v>3520</v>
      </c>
      <c r="O3162" s="12"/>
      <c r="P3162" s="6">
        <f t="shared" si="809"/>
        <v>3520</v>
      </c>
      <c r="Q3162" s="7">
        <v>5174608.8499999996</v>
      </c>
      <c r="R3162" s="44" t="str">
        <f>VLOOKUP(F3162,'Set up'!$A$2:$E$70,5,FALSE)</f>
        <v>Trsf</v>
      </c>
    </row>
    <row r="3163" spans="1:19" ht="15" customHeight="1" x14ac:dyDescent="0.35">
      <c r="A3163" s="4">
        <v>45525</v>
      </c>
      <c r="B3163" s="5">
        <f t="shared" si="801"/>
        <v>8</v>
      </c>
      <c r="C3163" s="5">
        <f t="shared" si="802"/>
        <v>2024</v>
      </c>
      <c r="D3163" s="5" t="s">
        <v>2867</v>
      </c>
      <c r="E3163" s="5" t="str">
        <f>VLOOKUP(F3163,'Set up'!$A$2:$C$70,2,FALSE)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up'!$A$2:$C$70,3,FALSE)</f>
        <v>Cash</v>
      </c>
      <c r="J3163" s="5">
        <f>VLOOKUP(F3163,'Set up'!$A$2:$D$70,4,FALSE)</f>
        <v>0</v>
      </c>
      <c r="K3163" s="4">
        <f t="shared" si="803"/>
        <v>45525</v>
      </c>
      <c r="L3163" s="5">
        <f t="shared" si="804"/>
        <v>8</v>
      </c>
      <c r="M3163" s="5">
        <f t="shared" si="805"/>
        <v>2024</v>
      </c>
      <c r="N3163" s="12">
        <v>1108.4000000000001</v>
      </c>
      <c r="O3163" s="12"/>
      <c r="P3163" s="6">
        <f t="shared" si="809"/>
        <v>1108.4000000000001</v>
      </c>
      <c r="Q3163" s="7">
        <v>5175717.25</v>
      </c>
      <c r="R3163" s="44" t="str">
        <f>VLOOKUP(F3163,'Set up'!$A$2:$E$70,5,FALSE)</f>
        <v>Trsf</v>
      </c>
    </row>
    <row r="3164" spans="1:19" ht="15" customHeight="1" x14ac:dyDescent="0.35">
      <c r="A3164" s="4">
        <v>45525</v>
      </c>
      <c r="B3164" s="5">
        <f t="shared" si="801"/>
        <v>8</v>
      </c>
      <c r="C3164" s="5">
        <f t="shared" si="802"/>
        <v>2024</v>
      </c>
      <c r="D3164" s="5" t="s">
        <v>2867</v>
      </c>
      <c r="E3164" s="5" t="str">
        <f>VLOOKUP(F3164,'Set up'!$A$2:$C$70,2,FALSE)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up'!$A$2:$C$70,3,FALSE)</f>
        <v>Cash</v>
      </c>
      <c r="J3164" s="5">
        <f>VLOOKUP(F3164,'Set up'!$A$2:$D$70,4,FALSE)</f>
        <v>0</v>
      </c>
      <c r="K3164" s="4">
        <f t="shared" si="803"/>
        <v>45525</v>
      </c>
      <c r="L3164" s="5">
        <f t="shared" si="804"/>
        <v>8</v>
      </c>
      <c r="M3164" s="5">
        <f t="shared" si="805"/>
        <v>2024</v>
      </c>
      <c r="N3164" s="12">
        <v>1684.8</v>
      </c>
      <c r="O3164" s="12"/>
      <c r="P3164" s="6">
        <f t="shared" si="809"/>
        <v>1684.8</v>
      </c>
      <c r="Q3164" s="7">
        <v>5177402.05</v>
      </c>
      <c r="R3164" s="44" t="str">
        <f>VLOOKUP(F3164,'Set up'!$A$2:$E$70,5,FALSE)</f>
        <v>Trsf</v>
      </c>
    </row>
    <row r="3165" spans="1:19" ht="15" customHeight="1" x14ac:dyDescent="0.35">
      <c r="A3165" s="4">
        <v>45525</v>
      </c>
      <c r="B3165" s="5">
        <f t="shared" si="801"/>
        <v>8</v>
      </c>
      <c r="C3165" s="5">
        <f t="shared" si="802"/>
        <v>2024</v>
      </c>
      <c r="D3165" s="5" t="s">
        <v>2867</v>
      </c>
      <c r="E3165" s="5" t="str">
        <f>VLOOKUP(F3165,'Set up'!$A$2:$C$70,2,FALSE)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up'!$A$2:$C$70,3,FALSE)</f>
        <v>Cash</v>
      </c>
      <c r="J3165" s="5">
        <f>VLOOKUP(F3165,'Set up'!$A$2:$D$70,4,FALSE)</f>
        <v>0</v>
      </c>
      <c r="K3165" s="4">
        <f t="shared" si="803"/>
        <v>45525</v>
      </c>
      <c r="L3165" s="5">
        <f t="shared" si="804"/>
        <v>8</v>
      </c>
      <c r="M3165" s="5">
        <f t="shared" si="805"/>
        <v>2024</v>
      </c>
      <c r="N3165" s="12">
        <v>280</v>
      </c>
      <c r="O3165" s="12"/>
      <c r="P3165" s="6">
        <f t="shared" si="809"/>
        <v>280</v>
      </c>
      <c r="Q3165" s="7">
        <v>5177682.05</v>
      </c>
      <c r="R3165" s="44" t="str">
        <f>VLOOKUP(F3165,'Set up'!$A$2:$E$70,5,FALSE)</f>
        <v>Trsf</v>
      </c>
    </row>
    <row r="3166" spans="1:19" ht="15" customHeight="1" x14ac:dyDescent="0.35">
      <c r="A3166" s="4">
        <v>45525</v>
      </c>
      <c r="B3166" s="5">
        <f t="shared" si="801"/>
        <v>8</v>
      </c>
      <c r="C3166" s="5">
        <f t="shared" si="802"/>
        <v>2024</v>
      </c>
      <c r="D3166" s="5" t="s">
        <v>2867</v>
      </c>
      <c r="E3166" s="5" t="str">
        <f>VLOOKUP(F3166,'Set up'!$A$2:$C$70,2,FALSE)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up'!$A$2:$C$70,3,FALSE)</f>
        <v>Cash</v>
      </c>
      <c r="J3166" s="5">
        <f>VLOOKUP(F3166,'Set up'!$A$2:$D$70,4,FALSE)</f>
        <v>0</v>
      </c>
      <c r="K3166" s="4">
        <f t="shared" si="803"/>
        <v>45525</v>
      </c>
      <c r="L3166" s="5">
        <f t="shared" si="804"/>
        <v>8</v>
      </c>
      <c r="M3166" s="5">
        <f t="shared" si="805"/>
        <v>2024</v>
      </c>
      <c r="N3166" s="12">
        <v>563.20000000000005</v>
      </c>
      <c r="O3166" s="12"/>
      <c r="P3166" s="6">
        <f t="shared" si="809"/>
        <v>563.20000000000005</v>
      </c>
      <c r="Q3166" s="7">
        <v>5178245.25</v>
      </c>
      <c r="R3166" s="44" t="str">
        <f>VLOOKUP(F3166,'Set up'!$A$2:$E$70,5,FALSE)</f>
        <v>Trsf</v>
      </c>
    </row>
    <row r="3167" spans="1:19" ht="15" customHeight="1" x14ac:dyDescent="0.35">
      <c r="A3167" s="4">
        <v>45525</v>
      </c>
      <c r="B3167" s="5">
        <f t="shared" si="801"/>
        <v>8</v>
      </c>
      <c r="C3167" s="5">
        <f t="shared" si="802"/>
        <v>2024</v>
      </c>
      <c r="D3167" s="5" t="s">
        <v>2867</v>
      </c>
      <c r="E3167" s="5" t="str">
        <f>VLOOKUP(F3167,'Set up'!$A$2:$C$70,2,FALSE)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up'!$A$2:$C$70,3,FALSE)</f>
        <v>Cash</v>
      </c>
      <c r="J3167" s="5">
        <f>VLOOKUP(F3167,'Set up'!$A$2:$D$70,4,FALSE)</f>
        <v>0</v>
      </c>
      <c r="K3167" s="4">
        <f t="shared" si="803"/>
        <v>45525</v>
      </c>
      <c r="L3167" s="5">
        <f t="shared" si="804"/>
        <v>8</v>
      </c>
      <c r="M3167" s="5">
        <f t="shared" si="805"/>
        <v>2024</v>
      </c>
      <c r="N3167" s="12">
        <v>190</v>
      </c>
      <c r="O3167" s="12"/>
      <c r="P3167" s="6">
        <f t="shared" si="809"/>
        <v>190</v>
      </c>
      <c r="Q3167" s="7">
        <v>5178435.25</v>
      </c>
      <c r="R3167" s="44" t="str">
        <f>VLOOKUP(F3167,'Set up'!$A$2:$E$70,5,FALSE)</f>
        <v>Trsf</v>
      </c>
    </row>
    <row r="3168" spans="1:19" ht="15" customHeight="1" x14ac:dyDescent="0.35">
      <c r="A3168" s="4">
        <v>45525</v>
      </c>
      <c r="B3168" s="5">
        <f t="shared" si="801"/>
        <v>8</v>
      </c>
      <c r="C3168" s="5">
        <f t="shared" si="802"/>
        <v>2024</v>
      </c>
      <c r="D3168" s="5" t="s">
        <v>2867</v>
      </c>
      <c r="E3168" s="5" t="str">
        <f>VLOOKUP(F3168,'Set up'!$A$2:$C$70,2,FALSE)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up'!$A$2:$C$70,3,FALSE)</f>
        <v>Cash</v>
      </c>
      <c r="J3168" s="5">
        <f>VLOOKUP(F3168,'Set up'!$A$2:$D$70,4,FALSE)</f>
        <v>0</v>
      </c>
      <c r="K3168" s="4">
        <f t="shared" si="803"/>
        <v>45525</v>
      </c>
      <c r="L3168" s="5">
        <f t="shared" si="804"/>
        <v>8</v>
      </c>
      <c r="M3168" s="5">
        <f t="shared" si="805"/>
        <v>2024</v>
      </c>
      <c r="N3168" s="12">
        <v>320</v>
      </c>
      <c r="O3168" s="12"/>
      <c r="P3168" s="6">
        <f t="shared" si="809"/>
        <v>320</v>
      </c>
      <c r="Q3168" s="7">
        <v>5178755.25</v>
      </c>
      <c r="R3168" s="44" t="str">
        <f>VLOOKUP(F3168,'Set up'!$A$2:$E$70,5,FALSE)</f>
        <v>Trsf</v>
      </c>
    </row>
    <row r="3169" spans="1:19" ht="15" customHeight="1" x14ac:dyDescent="0.35">
      <c r="A3169" s="4">
        <v>45525</v>
      </c>
      <c r="B3169" s="5">
        <f t="shared" si="801"/>
        <v>8</v>
      </c>
      <c r="C3169" s="5">
        <f t="shared" si="802"/>
        <v>2024</v>
      </c>
      <c r="D3169" s="5" t="s">
        <v>2867</v>
      </c>
      <c r="E3169" s="5" t="str">
        <f>VLOOKUP(F3169,'Set up'!$A$2:$C$70,2,FALSE)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up'!$A$2:$C$70,3,FALSE)</f>
        <v>Cash</v>
      </c>
      <c r="J3169" s="5">
        <f>VLOOKUP(F3169,'Set up'!$A$2:$D$70,4,FALSE)</f>
        <v>0</v>
      </c>
      <c r="K3169" s="4">
        <f t="shared" si="803"/>
        <v>45525</v>
      </c>
      <c r="L3169" s="5">
        <f t="shared" si="804"/>
        <v>8</v>
      </c>
      <c r="M3169" s="5">
        <f t="shared" si="805"/>
        <v>2024</v>
      </c>
      <c r="N3169" s="12">
        <v>360</v>
      </c>
      <c r="O3169" s="12"/>
      <c r="P3169" s="6">
        <f t="shared" si="809"/>
        <v>360</v>
      </c>
      <c r="Q3169" s="7">
        <v>5179115.25</v>
      </c>
      <c r="R3169" s="44" t="str">
        <f>VLOOKUP(F3169,'Set up'!$A$2:$E$70,5,FALSE)</f>
        <v>Trsf</v>
      </c>
    </row>
    <row r="3170" spans="1:19" ht="15" customHeight="1" x14ac:dyDescent="0.35">
      <c r="A3170" s="4">
        <v>45523</v>
      </c>
      <c r="B3170" s="5">
        <f t="shared" si="801"/>
        <v>8</v>
      </c>
      <c r="C3170" s="5">
        <f t="shared" si="802"/>
        <v>2024</v>
      </c>
      <c r="D3170" s="5" t="s">
        <v>2868</v>
      </c>
      <c r="E3170" s="5" t="str">
        <f>VLOOKUP(F3170,'Set up'!$A$2:$C$70,2,FALSE)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up'!$A$2:$C$70,3,FALSE)</f>
        <v>120</v>
      </c>
      <c r="J3170" s="5">
        <f>VLOOKUP(F3170,'Set up'!$A$2:$D$70,4,FALSE)</f>
        <v>120</v>
      </c>
      <c r="K3170" s="4">
        <f t="shared" si="803"/>
        <v>45643</v>
      </c>
      <c r="L3170" s="5">
        <f t="shared" si="804"/>
        <v>12</v>
      </c>
      <c r="M3170" s="5">
        <f t="shared" si="805"/>
        <v>2024</v>
      </c>
      <c r="N3170" s="12">
        <v>476</v>
      </c>
      <c r="O3170" s="6">
        <f t="shared" ref="O3170:O3172" si="811">-N3170</f>
        <v>-476</v>
      </c>
      <c r="P3170" s="6">
        <f t="shared" si="809"/>
        <v>0</v>
      </c>
      <c r="Q3170" s="7">
        <v>5179591.25</v>
      </c>
      <c r="R3170" s="44" t="str">
        <f>VLOOKUP(F3170,'Set up'!$A$2:$E$70,5,FALSE)</f>
        <v>Trsf</v>
      </c>
      <c r="S3170" s="1" t="s">
        <v>3421</v>
      </c>
    </row>
    <row r="3171" spans="1:19" ht="15" customHeight="1" x14ac:dyDescent="0.35">
      <c r="A3171" s="4">
        <v>45523</v>
      </c>
      <c r="B3171" s="5">
        <f t="shared" si="801"/>
        <v>8</v>
      </c>
      <c r="C3171" s="5">
        <f t="shared" si="802"/>
        <v>2024</v>
      </c>
      <c r="D3171" s="5" t="s">
        <v>2868</v>
      </c>
      <c r="E3171" s="5" t="str">
        <f>VLOOKUP(F3171,'Set up'!$A$2:$C$70,2,FALSE)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up'!$A$2:$C$70,3,FALSE)</f>
        <v>120</v>
      </c>
      <c r="J3171" s="5">
        <f>VLOOKUP(F3171,'Set up'!$A$2:$D$70,4,FALSE)</f>
        <v>120</v>
      </c>
      <c r="K3171" s="4">
        <f t="shared" si="803"/>
        <v>45643</v>
      </c>
      <c r="L3171" s="5">
        <f t="shared" si="804"/>
        <v>12</v>
      </c>
      <c r="M3171" s="5">
        <f t="shared" si="805"/>
        <v>2024</v>
      </c>
      <c r="N3171" s="12">
        <v>240</v>
      </c>
      <c r="O3171" s="6">
        <f t="shared" si="811"/>
        <v>-240</v>
      </c>
      <c r="P3171" s="6">
        <f t="shared" si="809"/>
        <v>0</v>
      </c>
      <c r="Q3171" s="7">
        <v>5179831.25</v>
      </c>
      <c r="R3171" s="44" t="str">
        <f>VLOOKUP(F3171,'Set up'!$A$2:$E$70,5,FALSE)</f>
        <v>Trsf</v>
      </c>
      <c r="S3171" s="1" t="s">
        <v>3421</v>
      </c>
    </row>
    <row r="3172" spans="1:19" ht="15" customHeight="1" x14ac:dyDescent="0.35">
      <c r="A3172" s="4">
        <v>45523</v>
      </c>
      <c r="B3172" s="5">
        <f t="shared" si="801"/>
        <v>8</v>
      </c>
      <c r="C3172" s="5">
        <f t="shared" si="802"/>
        <v>2024</v>
      </c>
      <c r="D3172" s="5" t="s">
        <v>2868</v>
      </c>
      <c r="E3172" s="5" t="str">
        <f>VLOOKUP(F3172,'Set up'!$A$2:$C$70,2,FALSE)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up'!$A$2:$C$70,3,FALSE)</f>
        <v>120</v>
      </c>
      <c r="J3172" s="5">
        <f>VLOOKUP(F3172,'Set up'!$A$2:$D$70,4,FALSE)</f>
        <v>120</v>
      </c>
      <c r="K3172" s="4">
        <f t="shared" si="803"/>
        <v>45643</v>
      </c>
      <c r="L3172" s="5">
        <f t="shared" si="804"/>
        <v>12</v>
      </c>
      <c r="M3172" s="5">
        <f t="shared" si="805"/>
        <v>2024</v>
      </c>
      <c r="N3172" s="12">
        <v>165</v>
      </c>
      <c r="O3172" s="6">
        <f t="shared" si="811"/>
        <v>-165</v>
      </c>
      <c r="P3172" s="6">
        <f t="shared" si="809"/>
        <v>0</v>
      </c>
      <c r="Q3172" s="7">
        <v>5179996.25</v>
      </c>
      <c r="R3172" s="44" t="str">
        <f>VLOOKUP(F3172,'Set up'!$A$2:$E$70,5,FALSE)</f>
        <v>Trsf</v>
      </c>
      <c r="S3172" s="1" t="s">
        <v>3421</v>
      </c>
    </row>
    <row r="3173" spans="1:19" ht="15" customHeight="1" x14ac:dyDescent="0.35">
      <c r="A3173" s="4">
        <v>45526</v>
      </c>
      <c r="B3173" s="5">
        <f t="shared" si="801"/>
        <v>8</v>
      </c>
      <c r="C3173" s="5">
        <f t="shared" si="802"/>
        <v>2024</v>
      </c>
      <c r="D3173" s="5" t="s">
        <v>2870</v>
      </c>
      <c r="E3173" s="5" t="str">
        <f>VLOOKUP(F3173,'Set up'!$A$2:$C$70,2,FALSE)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up'!$A$2:$C$70,3,FALSE)</f>
        <v>Cash</v>
      </c>
      <c r="J3173" s="5">
        <f>VLOOKUP(F3173,'Set up'!$A$2:$D$70,4,FALSE)</f>
        <v>0</v>
      </c>
      <c r="K3173" s="4">
        <f t="shared" si="803"/>
        <v>45526</v>
      </c>
      <c r="L3173" s="5">
        <f t="shared" si="804"/>
        <v>8</v>
      </c>
      <c r="M3173" s="5">
        <f t="shared" si="805"/>
        <v>2024</v>
      </c>
      <c r="N3173" s="12">
        <v>207</v>
      </c>
      <c r="O3173" s="6">
        <f t="shared" ref="O3173" si="812">-N3173</f>
        <v>-207</v>
      </c>
      <c r="P3173" s="6">
        <f t="shared" si="809"/>
        <v>0</v>
      </c>
      <c r="Q3173" s="7">
        <v>5154745.3499999996</v>
      </c>
      <c r="R3173" s="44" t="str">
        <f>VLOOKUP(F3173,'Set up'!$A$2:$E$70,5,FALSE)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801"/>
        <v>8</v>
      </c>
      <c r="C3174" s="5">
        <f t="shared" si="802"/>
        <v>2024</v>
      </c>
      <c r="D3174" s="5" t="s">
        <v>2870</v>
      </c>
      <c r="E3174" s="5" t="str">
        <f>VLOOKUP(F3174,'Set up'!$A$2:$C$70,2,FALSE)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up'!$A$2:$C$70,3,FALSE)</f>
        <v>Cash</v>
      </c>
      <c r="J3174" s="5">
        <f>VLOOKUP(F3174,'Set up'!$A$2:$D$70,4,FALSE)</f>
        <v>0</v>
      </c>
      <c r="K3174" s="4">
        <f t="shared" si="803"/>
        <v>45526</v>
      </c>
      <c r="L3174" s="5">
        <f t="shared" si="804"/>
        <v>8</v>
      </c>
      <c r="M3174" s="5">
        <f t="shared" si="805"/>
        <v>2024</v>
      </c>
      <c r="N3174" s="12">
        <v>0</v>
      </c>
      <c r="O3174" s="12">
        <v>0</v>
      </c>
      <c r="P3174" s="6">
        <f t="shared" si="809"/>
        <v>0</v>
      </c>
      <c r="Q3174" s="7">
        <v>5156298.3499999996</v>
      </c>
      <c r="R3174" s="44" t="str">
        <f>VLOOKUP(F3174,'Set up'!$A$2:$E$70,5,FALSE)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801"/>
        <v>8</v>
      </c>
      <c r="C3175" s="5">
        <f t="shared" si="802"/>
        <v>2024</v>
      </c>
      <c r="D3175" s="5" t="s">
        <v>2872</v>
      </c>
      <c r="E3175" s="5" t="str">
        <f>VLOOKUP(F3175,'Set up'!$A$2:$C$70,2,FALSE)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up'!$A$2:$C$70,3,FALSE)</f>
        <v>Cash</v>
      </c>
      <c r="J3175" s="5">
        <f>VLOOKUP(F3175,'Set up'!$A$2:$D$70,4,FALSE)</f>
        <v>0</v>
      </c>
      <c r="K3175" s="4">
        <f t="shared" si="803"/>
        <v>45531</v>
      </c>
      <c r="L3175" s="5">
        <f t="shared" si="804"/>
        <v>8</v>
      </c>
      <c r="M3175" s="5">
        <f t="shared" si="805"/>
        <v>2024</v>
      </c>
      <c r="N3175" s="12">
        <v>1760</v>
      </c>
      <c r="O3175" s="12"/>
      <c r="P3175" s="6">
        <f t="shared" si="809"/>
        <v>1760</v>
      </c>
      <c r="Q3175" s="7">
        <v>5158178.3499999996</v>
      </c>
      <c r="R3175" s="44" t="str">
        <f>VLOOKUP(F3175,'Set up'!$A$2:$E$70,5,FALSE)</f>
        <v>Trsf</v>
      </c>
    </row>
    <row r="3176" spans="1:19" ht="15" customHeight="1" x14ac:dyDescent="0.35">
      <c r="A3176" s="4">
        <v>45531</v>
      </c>
      <c r="B3176" s="5">
        <f t="shared" si="801"/>
        <v>8</v>
      </c>
      <c r="C3176" s="5">
        <f t="shared" si="802"/>
        <v>2024</v>
      </c>
      <c r="D3176" s="5" t="s">
        <v>2872</v>
      </c>
      <c r="E3176" s="5" t="str">
        <f>VLOOKUP(F3176,'Set up'!$A$2:$C$70,2,FALSE)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up'!$A$2:$C$70,3,FALSE)</f>
        <v>Cash</v>
      </c>
      <c r="J3176" s="5">
        <f>VLOOKUP(F3176,'Set up'!$A$2:$D$70,4,FALSE)</f>
        <v>0</v>
      </c>
      <c r="K3176" s="4">
        <f t="shared" si="803"/>
        <v>45531</v>
      </c>
      <c r="L3176" s="5">
        <f t="shared" si="804"/>
        <v>8</v>
      </c>
      <c r="M3176" s="5">
        <f t="shared" si="805"/>
        <v>2024</v>
      </c>
      <c r="N3176" s="12">
        <v>405</v>
      </c>
      <c r="O3176" s="12"/>
      <c r="P3176" s="6">
        <f t="shared" si="809"/>
        <v>405</v>
      </c>
      <c r="Q3176" s="7">
        <v>5157003.3499999996</v>
      </c>
      <c r="R3176" s="44" t="str">
        <f>VLOOKUP(F3176,'Set up'!$A$2:$E$70,5,FALSE)</f>
        <v>Trsf</v>
      </c>
    </row>
    <row r="3177" spans="1:19" ht="15" customHeight="1" x14ac:dyDescent="0.35">
      <c r="A3177" s="4">
        <v>45531</v>
      </c>
      <c r="B3177" s="5">
        <f t="shared" si="801"/>
        <v>8</v>
      </c>
      <c r="C3177" s="5">
        <f t="shared" si="802"/>
        <v>2024</v>
      </c>
      <c r="D3177" s="5" t="s">
        <v>2872</v>
      </c>
      <c r="E3177" s="5" t="str">
        <f>VLOOKUP(F3177,'Set up'!$A$2:$C$70,2,FALSE)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up'!$A$2:$C$70,3,FALSE)</f>
        <v>Cash</v>
      </c>
      <c r="J3177" s="5">
        <f>VLOOKUP(F3177,'Set up'!$A$2:$D$70,4,FALSE)</f>
        <v>0</v>
      </c>
      <c r="K3177" s="4">
        <f t="shared" si="803"/>
        <v>45531</v>
      </c>
      <c r="L3177" s="5">
        <f t="shared" si="804"/>
        <v>8</v>
      </c>
      <c r="M3177" s="5">
        <f t="shared" si="805"/>
        <v>2024</v>
      </c>
      <c r="N3177" s="12">
        <v>187.5</v>
      </c>
      <c r="O3177" s="12"/>
      <c r="P3177" s="6">
        <f t="shared" si="809"/>
        <v>187.5</v>
      </c>
      <c r="Q3177" s="7">
        <v>5156910.8499999996</v>
      </c>
      <c r="R3177" s="44" t="str">
        <f>VLOOKUP(F3177,'Set up'!$A$2:$E$70,5,FALSE)</f>
        <v>Trsf</v>
      </c>
    </row>
    <row r="3178" spans="1:19" ht="15" customHeight="1" x14ac:dyDescent="0.35">
      <c r="A3178" s="4">
        <v>45531</v>
      </c>
      <c r="B3178" s="5">
        <f t="shared" si="801"/>
        <v>8</v>
      </c>
      <c r="C3178" s="5">
        <f t="shared" si="802"/>
        <v>2024</v>
      </c>
      <c r="D3178" s="5" t="s">
        <v>2872</v>
      </c>
      <c r="E3178" s="5" t="str">
        <f>VLOOKUP(F3178,'Set up'!$A$2:$C$70,2,FALSE)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up'!$A$2:$C$70,3,FALSE)</f>
        <v>Cash</v>
      </c>
      <c r="J3178" s="5">
        <f>VLOOKUP(F3178,'Set up'!$A$2:$D$70,4,FALSE)</f>
        <v>0</v>
      </c>
      <c r="K3178" s="4">
        <f t="shared" si="803"/>
        <v>45531</v>
      </c>
      <c r="L3178" s="5">
        <f t="shared" si="804"/>
        <v>8</v>
      </c>
      <c r="M3178" s="5">
        <f t="shared" si="805"/>
        <v>2024</v>
      </c>
      <c r="N3178" s="12">
        <v>420</v>
      </c>
      <c r="O3178" s="12"/>
      <c r="P3178" s="6">
        <f t="shared" si="809"/>
        <v>420</v>
      </c>
      <c r="Q3178" s="7">
        <v>5160399.3499999996</v>
      </c>
      <c r="R3178" s="44" t="str">
        <f>VLOOKUP(F3178,'Set up'!$A$2:$E$70,5,FALSE)</f>
        <v>Trsf</v>
      </c>
    </row>
    <row r="3179" spans="1:19" ht="15" customHeight="1" x14ac:dyDescent="0.35">
      <c r="A3179" s="4">
        <v>45532</v>
      </c>
      <c r="B3179" s="5">
        <f t="shared" si="801"/>
        <v>8</v>
      </c>
      <c r="C3179" s="5">
        <f t="shared" si="802"/>
        <v>2024</v>
      </c>
      <c r="D3179" s="5" t="s">
        <v>2873</v>
      </c>
      <c r="E3179" s="5" t="str">
        <f>VLOOKUP(F3179,'Set up'!$A$2:$C$70,2,FALSE)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up'!$A$2:$C$70,3,FALSE)</f>
        <v>Cash</v>
      </c>
      <c r="J3179" s="5">
        <f>VLOOKUP(F3179,'Set up'!$A$2:$D$70,4,FALSE)</f>
        <v>0</v>
      </c>
      <c r="K3179" s="4">
        <f t="shared" si="803"/>
        <v>45532</v>
      </c>
      <c r="L3179" s="5">
        <f t="shared" si="804"/>
        <v>8</v>
      </c>
      <c r="M3179" s="5">
        <f t="shared" si="805"/>
        <v>2024</v>
      </c>
      <c r="N3179" s="12">
        <v>250</v>
      </c>
      <c r="O3179" s="6">
        <f t="shared" ref="O3179" si="813">-N3179</f>
        <v>-250</v>
      </c>
      <c r="P3179" s="6">
        <f t="shared" si="809"/>
        <v>0</v>
      </c>
      <c r="Q3179" s="7">
        <v>5161327.3499999996</v>
      </c>
      <c r="R3179" s="44" t="str">
        <f>VLOOKUP(F3179,'Set up'!$A$2:$E$70,5,FALSE)</f>
        <v>Trsf</v>
      </c>
      <c r="S3179" s="1" t="s">
        <v>3394</v>
      </c>
    </row>
    <row r="3180" spans="1:19" ht="15" customHeight="1" x14ac:dyDescent="0.35">
      <c r="A3180" s="4">
        <v>45532</v>
      </c>
      <c r="B3180" s="5">
        <f t="shared" si="801"/>
        <v>8</v>
      </c>
      <c r="C3180" s="5">
        <f t="shared" si="802"/>
        <v>2024</v>
      </c>
      <c r="D3180" s="5" t="s">
        <v>2874</v>
      </c>
      <c r="E3180" s="5" t="str">
        <f>VLOOKUP(F3180,'Set up'!$A$2:$C$70,2,FALSE)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up'!$A$2:$C$70,3,FALSE)</f>
        <v>Cash</v>
      </c>
      <c r="J3180" s="5">
        <f>VLOOKUP(F3180,'Set up'!$A$2:$D$70,4,FALSE)</f>
        <v>0</v>
      </c>
      <c r="K3180" s="4">
        <f t="shared" si="803"/>
        <v>45532</v>
      </c>
      <c r="L3180" s="5">
        <f t="shared" si="804"/>
        <v>8</v>
      </c>
      <c r="M3180" s="5">
        <f t="shared" si="805"/>
        <v>2024</v>
      </c>
      <c r="N3180" s="12">
        <v>6512</v>
      </c>
      <c r="O3180" s="12">
        <f>-5269.6-1242.4</f>
        <v>-6512</v>
      </c>
      <c r="P3180" s="6">
        <f t="shared" si="809"/>
        <v>0</v>
      </c>
      <c r="Q3180" s="7">
        <v>5167969.3499999996</v>
      </c>
      <c r="R3180" s="44" t="str">
        <f>VLOOKUP(F3180,'Set up'!$A$2:$E$70,5,FALSE)</f>
        <v>Trsf</v>
      </c>
      <c r="S3180" s="1" t="s">
        <v>3395</v>
      </c>
    </row>
    <row r="3181" spans="1:19" ht="15" customHeight="1" x14ac:dyDescent="0.35">
      <c r="A3181" s="4">
        <v>45532</v>
      </c>
      <c r="B3181" s="5">
        <f t="shared" si="801"/>
        <v>8</v>
      </c>
      <c r="C3181" s="5">
        <f t="shared" si="802"/>
        <v>2024</v>
      </c>
      <c r="D3181" s="5" t="s">
        <v>2874</v>
      </c>
      <c r="E3181" s="5" t="str">
        <f>VLOOKUP(F3181,'Set up'!$A$2:$C$70,2,FALSE)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up'!$A$2:$C$70,3,FALSE)</f>
        <v>Cash</v>
      </c>
      <c r="J3181" s="5">
        <f>VLOOKUP(F3181,'Set up'!$A$2:$D$70,4,FALSE)</f>
        <v>0</v>
      </c>
      <c r="K3181" s="4">
        <f t="shared" si="803"/>
        <v>45532</v>
      </c>
      <c r="L3181" s="5">
        <f t="shared" si="804"/>
        <v>8</v>
      </c>
      <c r="M3181" s="5">
        <f t="shared" si="805"/>
        <v>2024</v>
      </c>
      <c r="N3181" s="12">
        <v>2196</v>
      </c>
      <c r="O3181" s="6">
        <f t="shared" ref="O3181:O3185" si="814">-N3181</f>
        <v>-2196</v>
      </c>
      <c r="P3181" s="6">
        <f t="shared" si="809"/>
        <v>0</v>
      </c>
      <c r="Q3181" s="7">
        <v>5163828.3499999996</v>
      </c>
      <c r="R3181" s="44" t="str">
        <f>VLOOKUP(F3181,'Set up'!$A$2:$E$70,5,FALSE)</f>
        <v>Trsf</v>
      </c>
      <c r="S3181" s="1" t="s">
        <v>3396</v>
      </c>
    </row>
    <row r="3182" spans="1:19" ht="15" customHeight="1" x14ac:dyDescent="0.35">
      <c r="A3182" s="4">
        <v>45532</v>
      </c>
      <c r="B3182" s="5">
        <f t="shared" si="801"/>
        <v>8</v>
      </c>
      <c r="C3182" s="5">
        <f t="shared" si="802"/>
        <v>2024</v>
      </c>
      <c r="D3182" s="5" t="s">
        <v>2874</v>
      </c>
      <c r="E3182" s="5" t="str">
        <f>VLOOKUP(F3182,'Set up'!$A$2:$C$70,2,FALSE)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up'!$A$2:$C$70,3,FALSE)</f>
        <v>Cash</v>
      </c>
      <c r="J3182" s="5">
        <f>VLOOKUP(F3182,'Set up'!$A$2:$D$70,4,FALSE)</f>
        <v>0</v>
      </c>
      <c r="K3182" s="4">
        <f t="shared" si="803"/>
        <v>45532</v>
      </c>
      <c r="L3182" s="5">
        <f t="shared" si="804"/>
        <v>8</v>
      </c>
      <c r="M3182" s="5">
        <f t="shared" si="805"/>
        <v>2024</v>
      </c>
      <c r="N3182" s="12">
        <v>1200</v>
      </c>
      <c r="O3182" s="6">
        <f t="shared" si="814"/>
        <v>-1200</v>
      </c>
      <c r="P3182" s="6">
        <f t="shared" si="809"/>
        <v>0</v>
      </c>
      <c r="Q3182" s="7">
        <v>5163019.8499999996</v>
      </c>
      <c r="R3182" s="44" t="str">
        <f>VLOOKUP(F3182,'Set up'!$A$2:$E$70,5,FALSE)</f>
        <v>Trsf</v>
      </c>
      <c r="S3182" s="1" t="s">
        <v>3397</v>
      </c>
    </row>
    <row r="3183" spans="1:19" ht="15" customHeight="1" x14ac:dyDescent="0.35">
      <c r="A3183" s="4">
        <v>45534</v>
      </c>
      <c r="B3183" s="5">
        <f t="shared" si="801"/>
        <v>8</v>
      </c>
      <c r="C3183" s="5">
        <f t="shared" si="802"/>
        <v>2024</v>
      </c>
      <c r="D3183" s="5" t="s">
        <v>2875</v>
      </c>
      <c r="E3183" s="5" t="str">
        <f>VLOOKUP(F3183,'Set up'!$A$2:$C$70,2,FALSE)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up'!$A$2:$C$70,3,FALSE)</f>
        <v>120</v>
      </c>
      <c r="J3183" s="5">
        <f>VLOOKUP(F3183,'Set up'!$A$2:$D$70,4,FALSE)</f>
        <v>120</v>
      </c>
      <c r="K3183" s="4">
        <f t="shared" si="803"/>
        <v>45654</v>
      </c>
      <c r="L3183" s="5">
        <f t="shared" si="804"/>
        <v>12</v>
      </c>
      <c r="M3183" s="5">
        <f t="shared" si="805"/>
        <v>2024</v>
      </c>
      <c r="N3183" s="12">
        <v>1190</v>
      </c>
      <c r="O3183" s="6">
        <f t="shared" si="814"/>
        <v>-1190</v>
      </c>
      <c r="P3183" s="6">
        <f t="shared" si="809"/>
        <v>0</v>
      </c>
      <c r="Q3183" s="7">
        <v>5167893.8499999996</v>
      </c>
      <c r="R3183" s="44" t="str">
        <f>VLOOKUP(F3183,'Set up'!$A$2:$E$70,5,FALSE)</f>
        <v>Trsf</v>
      </c>
      <c r="S3183" s="1" t="s">
        <v>3421</v>
      </c>
    </row>
    <row r="3184" spans="1:19" ht="15" customHeight="1" x14ac:dyDescent="0.35">
      <c r="A3184" s="4">
        <v>45534</v>
      </c>
      <c r="B3184" s="5">
        <f t="shared" si="801"/>
        <v>8</v>
      </c>
      <c r="C3184" s="5">
        <f t="shared" si="802"/>
        <v>2024</v>
      </c>
      <c r="D3184" s="5" t="s">
        <v>2875</v>
      </c>
      <c r="E3184" s="5" t="str">
        <f>VLOOKUP(F3184,'Set up'!$A$2:$C$70,2,FALSE)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up'!$A$2:$C$70,3,FALSE)</f>
        <v>120</v>
      </c>
      <c r="J3184" s="5">
        <f>VLOOKUP(F3184,'Set up'!$A$2:$D$70,4,FALSE)</f>
        <v>120</v>
      </c>
      <c r="K3184" s="4">
        <f t="shared" si="803"/>
        <v>45654</v>
      </c>
      <c r="L3184" s="5">
        <f t="shared" si="804"/>
        <v>12</v>
      </c>
      <c r="M3184" s="5">
        <f t="shared" si="805"/>
        <v>2024</v>
      </c>
      <c r="N3184" s="12">
        <v>900</v>
      </c>
      <c r="O3184" s="6">
        <f t="shared" si="814"/>
        <v>-900</v>
      </c>
      <c r="P3184" s="6">
        <f t="shared" si="809"/>
        <v>0</v>
      </c>
      <c r="Q3184" s="7">
        <v>5169433.8499999996</v>
      </c>
      <c r="R3184" s="44" t="str">
        <f>VLOOKUP(F3184,'Set up'!$A$2:$E$70,5,FALSE)</f>
        <v>Trsf</v>
      </c>
      <c r="S3184" s="1" t="s">
        <v>3421</v>
      </c>
    </row>
    <row r="3185" spans="1:21" ht="15" customHeight="1" x14ac:dyDescent="0.35">
      <c r="A3185" s="4">
        <v>45534</v>
      </c>
      <c r="B3185" s="5">
        <f t="shared" si="801"/>
        <v>8</v>
      </c>
      <c r="C3185" s="5">
        <f t="shared" si="802"/>
        <v>2024</v>
      </c>
      <c r="D3185" s="5" t="s">
        <v>2875</v>
      </c>
      <c r="E3185" s="5" t="str">
        <f>VLOOKUP(F3185,'Set up'!$A$2:$C$70,2,FALSE)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up'!$A$2:$C$70,3,FALSE)</f>
        <v>120</v>
      </c>
      <c r="J3185" s="5">
        <f>VLOOKUP(F3185,'Set up'!$A$2:$D$70,4,FALSE)</f>
        <v>120</v>
      </c>
      <c r="K3185" s="4">
        <f t="shared" si="803"/>
        <v>45654</v>
      </c>
      <c r="L3185" s="5">
        <f t="shared" si="804"/>
        <v>12</v>
      </c>
      <c r="M3185" s="5">
        <f t="shared" si="805"/>
        <v>2024</v>
      </c>
      <c r="N3185" s="12">
        <v>360</v>
      </c>
      <c r="O3185" s="6">
        <f t="shared" si="814"/>
        <v>-360</v>
      </c>
      <c r="P3185" s="6">
        <f t="shared" si="809"/>
        <v>0</v>
      </c>
      <c r="Q3185" s="7">
        <v>5170093.8499999996</v>
      </c>
      <c r="R3185" s="44" t="str">
        <f>VLOOKUP(F3185,'Set up'!$A$2:$E$70,5,FALSE)</f>
        <v>Trsf</v>
      </c>
      <c r="S3185" s="1" t="s">
        <v>3421</v>
      </c>
    </row>
    <row r="3186" spans="1:21" ht="15" customHeight="1" x14ac:dyDescent="0.35">
      <c r="A3186" s="4">
        <v>45537</v>
      </c>
      <c r="B3186" s="5">
        <f t="shared" si="801"/>
        <v>9</v>
      </c>
      <c r="C3186" s="5">
        <f t="shared" si="802"/>
        <v>2024</v>
      </c>
      <c r="D3186" s="5" t="s">
        <v>2935</v>
      </c>
      <c r="E3186" s="5" t="str">
        <f>VLOOKUP(F3186,'Set up'!$A$2:$C$70,2,FALSE)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up'!$A$2:$C$70,3,FALSE)</f>
        <v>Cash</v>
      </c>
      <c r="J3186" s="5">
        <f>VLOOKUP(F3186,'Set up'!$A$2:$D$70,4,FALSE)</f>
        <v>0</v>
      </c>
      <c r="K3186" s="4">
        <f t="shared" si="803"/>
        <v>45537</v>
      </c>
      <c r="L3186" s="5">
        <f t="shared" si="804"/>
        <v>9</v>
      </c>
      <c r="M3186" s="5">
        <f t="shared" si="805"/>
        <v>2024</v>
      </c>
      <c r="N3186" s="12">
        <v>250</v>
      </c>
      <c r="O3186" s="6">
        <f t="shared" ref="O3186:O3189" si="815">-N3186</f>
        <v>-250</v>
      </c>
      <c r="P3186" s="12">
        <f t="shared" si="809"/>
        <v>0</v>
      </c>
      <c r="Q3186" s="7">
        <f t="shared" ref="Q3186:Q3249" si="816">SUM(Q3185+N3186)</f>
        <v>5170343.8499999996</v>
      </c>
      <c r="R3186" s="44" t="str">
        <f>VLOOKUP(F3186,'Set up'!$A$2:$E$70,5,FALSE)</f>
        <v>Trsf</v>
      </c>
      <c r="S3186" s="1" t="s">
        <v>3398</v>
      </c>
    </row>
    <row r="3187" spans="1:21" ht="15" customHeight="1" x14ac:dyDescent="0.35">
      <c r="A3187" s="4">
        <v>45537</v>
      </c>
      <c r="B3187" s="5">
        <f t="shared" si="801"/>
        <v>9</v>
      </c>
      <c r="C3187" s="5">
        <f t="shared" si="802"/>
        <v>2024</v>
      </c>
      <c r="D3187" s="5" t="s">
        <v>2936</v>
      </c>
      <c r="E3187" s="5" t="str">
        <f>VLOOKUP(F3187,'Set up'!$A$2:$C$70,2,FALSE)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up'!$A$2:$C$70,3,FALSE)</f>
        <v>Cash</v>
      </c>
      <c r="J3187" s="5">
        <f>VLOOKUP(F3187,'Set up'!$A$2:$D$70,4,FALSE)</f>
        <v>0</v>
      </c>
      <c r="K3187" s="4">
        <f t="shared" si="803"/>
        <v>45537</v>
      </c>
      <c r="L3187" s="5">
        <f t="shared" si="804"/>
        <v>9</v>
      </c>
      <c r="M3187" s="5">
        <f t="shared" si="805"/>
        <v>2024</v>
      </c>
      <c r="N3187" s="12">
        <v>6512</v>
      </c>
      <c r="O3187" s="6">
        <f t="shared" si="815"/>
        <v>-6512</v>
      </c>
      <c r="P3187" s="12">
        <f t="shared" si="809"/>
        <v>0</v>
      </c>
      <c r="Q3187" s="7">
        <f t="shared" si="816"/>
        <v>5176855.8499999996</v>
      </c>
      <c r="R3187" s="44" t="str">
        <f>VLOOKUP(F3187,'Set up'!$A$2:$E$70,5,FALSE)</f>
        <v>Trsf</v>
      </c>
      <c r="S3187" s="1" t="s">
        <v>3399</v>
      </c>
    </row>
    <row r="3188" spans="1:21" ht="15" customHeight="1" x14ac:dyDescent="0.35">
      <c r="A3188" s="4">
        <v>45537</v>
      </c>
      <c r="B3188" s="5">
        <f t="shared" si="801"/>
        <v>9</v>
      </c>
      <c r="C3188" s="5">
        <f t="shared" si="802"/>
        <v>2024</v>
      </c>
      <c r="D3188" s="5" t="s">
        <v>2936</v>
      </c>
      <c r="E3188" s="5" t="str">
        <f>VLOOKUP(F3188,'Set up'!$A$2:$C$70,2,FALSE)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up'!$A$2:$C$70,3,FALSE)</f>
        <v>Cash</v>
      </c>
      <c r="J3188" s="5">
        <f>VLOOKUP(F3188,'Set up'!$A$2:$D$70,4,FALSE)</f>
        <v>0</v>
      </c>
      <c r="K3188" s="4">
        <f t="shared" si="803"/>
        <v>45537</v>
      </c>
      <c r="L3188" s="5">
        <f t="shared" si="804"/>
        <v>9</v>
      </c>
      <c r="M3188" s="5">
        <f t="shared" si="805"/>
        <v>2024</v>
      </c>
      <c r="N3188" s="12">
        <v>2124</v>
      </c>
      <c r="O3188" s="6">
        <f t="shared" si="815"/>
        <v>-2124</v>
      </c>
      <c r="P3188" s="12">
        <f t="shared" si="809"/>
        <v>0</v>
      </c>
      <c r="Q3188" s="7">
        <f t="shared" si="816"/>
        <v>5178979.8499999996</v>
      </c>
      <c r="R3188" s="44" t="str">
        <f>VLOOKUP(F3188,'Set up'!$A$2:$E$70,5,FALSE)</f>
        <v>Trsf</v>
      </c>
      <c r="S3188" s="1" t="s">
        <v>3400</v>
      </c>
    </row>
    <row r="3189" spans="1:21" ht="15" customHeight="1" x14ac:dyDescent="0.35">
      <c r="A3189" s="4">
        <v>45537</v>
      </c>
      <c r="B3189" s="5">
        <f t="shared" si="801"/>
        <v>9</v>
      </c>
      <c r="C3189" s="5">
        <f t="shared" si="802"/>
        <v>2024</v>
      </c>
      <c r="D3189" s="5" t="s">
        <v>2936</v>
      </c>
      <c r="E3189" s="5" t="str">
        <f>VLOOKUP(F3189,'Set up'!$A$2:$C$70,2,FALSE)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up'!$A$2:$C$70,3,FALSE)</f>
        <v>Cash</v>
      </c>
      <c r="J3189" s="5">
        <f>VLOOKUP(F3189,'Set up'!$A$2:$D$70,4,FALSE)</f>
        <v>0</v>
      </c>
      <c r="K3189" s="4">
        <f t="shared" si="803"/>
        <v>45537</v>
      </c>
      <c r="L3189" s="5">
        <f t="shared" si="804"/>
        <v>9</v>
      </c>
      <c r="M3189" s="5">
        <f t="shared" si="805"/>
        <v>2024</v>
      </c>
      <c r="N3189" s="12">
        <v>1192.5</v>
      </c>
      <c r="O3189" s="6">
        <f t="shared" si="815"/>
        <v>-1192.5</v>
      </c>
      <c r="P3189" s="12">
        <f t="shared" si="809"/>
        <v>0</v>
      </c>
      <c r="Q3189" s="7">
        <f t="shared" si="816"/>
        <v>5180172.3499999996</v>
      </c>
      <c r="R3189" s="44" t="str">
        <f>VLOOKUP(F3189,'Set up'!$A$2:$E$70,5,FALSE)</f>
        <v>Trsf</v>
      </c>
      <c r="S3189" s="1" t="s">
        <v>3401</v>
      </c>
    </row>
    <row r="3190" spans="1:21" ht="15" customHeight="1" x14ac:dyDescent="0.35">
      <c r="A3190" s="4">
        <v>45537</v>
      </c>
      <c r="B3190" s="5">
        <f t="shared" si="801"/>
        <v>9</v>
      </c>
      <c r="C3190" s="5">
        <f t="shared" si="802"/>
        <v>2024</v>
      </c>
      <c r="D3190" s="5" t="s">
        <v>2936</v>
      </c>
      <c r="E3190" s="5" t="str">
        <f>VLOOKUP(F3190,'Set up'!$A$2:$C$70,2,FALSE)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up'!$A$2:$C$70,3,FALSE)</f>
        <v>Cash</v>
      </c>
      <c r="J3190" s="5">
        <f>VLOOKUP(F3190,'Set up'!$A$2:$D$70,4,FALSE)</f>
        <v>0</v>
      </c>
      <c r="K3190" s="4">
        <f t="shared" si="803"/>
        <v>45537</v>
      </c>
      <c r="L3190" s="5">
        <f t="shared" si="804"/>
        <v>9</v>
      </c>
      <c r="M3190" s="5">
        <f t="shared" si="805"/>
        <v>2024</v>
      </c>
      <c r="N3190" s="12">
        <v>1000</v>
      </c>
      <c r="O3190" s="12">
        <f>-283.1-716.9</f>
        <v>-1000</v>
      </c>
      <c r="P3190" s="12">
        <f t="shared" si="809"/>
        <v>0</v>
      </c>
      <c r="Q3190" s="7">
        <f t="shared" si="816"/>
        <v>5181172.3499999996</v>
      </c>
      <c r="R3190" s="44" t="str">
        <f>VLOOKUP(F3190,'Set up'!$A$2:$E$70,5,FALSE)</f>
        <v>Trsf</v>
      </c>
      <c r="S3190" s="1" t="s">
        <v>3402</v>
      </c>
    </row>
    <row r="3191" spans="1:21" ht="15" customHeight="1" x14ac:dyDescent="0.35">
      <c r="A3191" s="4">
        <v>45537</v>
      </c>
      <c r="B3191" s="5">
        <f t="shared" si="801"/>
        <v>9</v>
      </c>
      <c r="C3191" s="5">
        <f t="shared" si="802"/>
        <v>2024</v>
      </c>
      <c r="D3191" s="5" t="s">
        <v>2937</v>
      </c>
      <c r="E3191" s="5" t="str">
        <f>VLOOKUP(F3191,'Set up'!$A$2:$C$70,2,FALSE)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up'!$A$2:$C$70,3,FALSE)</f>
        <v>45</v>
      </c>
      <c r="J3191" s="5">
        <f>VLOOKUP(F3191,'Set up'!$A$2:$D$70,4,FALSE)</f>
        <v>45</v>
      </c>
      <c r="K3191" s="4">
        <f t="shared" si="803"/>
        <v>45582</v>
      </c>
      <c r="L3191" s="5">
        <f t="shared" si="804"/>
        <v>10</v>
      </c>
      <c r="M3191" s="5">
        <f t="shared" si="805"/>
        <v>2024</v>
      </c>
      <c r="N3191" s="12">
        <v>1738</v>
      </c>
      <c r="O3191" s="6">
        <f>-N3191</f>
        <v>-1738</v>
      </c>
      <c r="P3191" s="12">
        <f t="shared" si="809"/>
        <v>0</v>
      </c>
      <c r="Q3191" s="7">
        <f t="shared" si="816"/>
        <v>5182910.3499999996</v>
      </c>
      <c r="R3191" s="44" t="str">
        <f>VLOOKUP(F3191,'Set up'!$A$2:$E$70,5,FALSE)</f>
        <v>PD Chq</v>
      </c>
      <c r="S3191" s="1" t="s">
        <v>3037</v>
      </c>
      <c r="U3191" s="1" t="s">
        <v>3603</v>
      </c>
    </row>
    <row r="3192" spans="1:21" ht="15" customHeight="1" x14ac:dyDescent="0.35">
      <c r="A3192" s="4">
        <v>45537</v>
      </c>
      <c r="B3192" s="5">
        <f t="shared" si="801"/>
        <v>9</v>
      </c>
      <c r="C3192" s="5">
        <f t="shared" si="802"/>
        <v>2024</v>
      </c>
      <c r="D3192" s="5" t="s">
        <v>2937</v>
      </c>
      <c r="E3192" s="5" t="str">
        <f>VLOOKUP(F3192,'Set up'!$A$2:$C$70,2,FALSE)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up'!$A$2:$C$70,3,FALSE)</f>
        <v>45</v>
      </c>
      <c r="J3192" s="5">
        <f>VLOOKUP(F3192,'Set up'!$A$2:$D$70,4,FALSE)</f>
        <v>45</v>
      </c>
      <c r="K3192" s="4">
        <f t="shared" si="803"/>
        <v>45582</v>
      </c>
      <c r="L3192" s="5">
        <f t="shared" si="804"/>
        <v>10</v>
      </c>
      <c r="M3192" s="5">
        <f t="shared" si="805"/>
        <v>2024</v>
      </c>
      <c r="N3192" s="12">
        <v>220</v>
      </c>
      <c r="O3192" s="6">
        <f>-N3192</f>
        <v>-220</v>
      </c>
      <c r="P3192" s="12">
        <f t="shared" si="809"/>
        <v>0</v>
      </c>
      <c r="Q3192" s="7">
        <f t="shared" si="816"/>
        <v>5183130.3499999996</v>
      </c>
      <c r="R3192" s="44" t="str">
        <f>VLOOKUP(F3192,'Set up'!$A$2:$E$70,5,FALSE)</f>
        <v>PD Chq</v>
      </c>
      <c r="S3192" s="1" t="s">
        <v>3038</v>
      </c>
      <c r="U3192" s="1" t="s">
        <v>3603</v>
      </c>
    </row>
    <row r="3193" spans="1:21" ht="15" customHeight="1" x14ac:dyDescent="0.35">
      <c r="A3193" s="4">
        <v>45537</v>
      </c>
      <c r="B3193" s="5">
        <f t="shared" si="801"/>
        <v>9</v>
      </c>
      <c r="C3193" s="5">
        <f t="shared" si="802"/>
        <v>2024</v>
      </c>
      <c r="D3193" s="5" t="s">
        <v>2938</v>
      </c>
      <c r="E3193" s="5" t="str">
        <f>VLOOKUP(F3193,'Set up'!$A$2:$C$70,2,FALSE)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up'!$A$2:$C$70,3,FALSE)</f>
        <v>Cash</v>
      </c>
      <c r="J3193" s="5">
        <f>VLOOKUP(F3193,'Set up'!$A$2:$D$70,4,FALSE)</f>
        <v>0</v>
      </c>
      <c r="K3193" s="4">
        <f t="shared" si="803"/>
        <v>45537</v>
      </c>
      <c r="L3193" s="5">
        <f t="shared" si="804"/>
        <v>9</v>
      </c>
      <c r="M3193" s="5">
        <f t="shared" si="805"/>
        <v>2024</v>
      </c>
      <c r="N3193" s="12">
        <v>300</v>
      </c>
      <c r="O3193" s="6">
        <f t="shared" ref="O3193" si="817">-N3193</f>
        <v>-300</v>
      </c>
      <c r="P3193" s="12">
        <f t="shared" si="809"/>
        <v>0</v>
      </c>
      <c r="Q3193" s="7">
        <f t="shared" si="816"/>
        <v>5183430.3499999996</v>
      </c>
      <c r="R3193" s="44" t="str">
        <f>VLOOKUP(F3193,'Set up'!$A$2:$E$70,5,FALSE)</f>
        <v>Cash</v>
      </c>
      <c r="S3193" s="1" t="s">
        <v>2961</v>
      </c>
    </row>
    <row r="3194" spans="1:21" ht="15" customHeight="1" x14ac:dyDescent="0.35">
      <c r="A3194" s="4">
        <v>45537</v>
      </c>
      <c r="B3194" s="5">
        <f t="shared" si="801"/>
        <v>9</v>
      </c>
      <c r="C3194" s="5">
        <f t="shared" si="802"/>
        <v>2024</v>
      </c>
      <c r="D3194" s="5" t="s">
        <v>2938</v>
      </c>
      <c r="E3194" s="5" t="str">
        <f>VLOOKUP(F3194,'Set up'!$A$2:$C$70,2,FALSE)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up'!$A$2:$C$70,3,FALSE)</f>
        <v>Cash</v>
      </c>
      <c r="J3194" s="5">
        <f>VLOOKUP(F3194,'Set up'!$A$2:$D$70,4,FALSE)</f>
        <v>0</v>
      </c>
      <c r="K3194" s="4">
        <f t="shared" si="803"/>
        <v>45537</v>
      </c>
      <c r="L3194" s="5">
        <f t="shared" si="804"/>
        <v>9</v>
      </c>
      <c r="M3194" s="5">
        <f t="shared" si="805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816"/>
        <v>5183655.3499999996</v>
      </c>
      <c r="R3194" s="44" t="str">
        <f>VLOOKUP(F3194,'Set up'!$A$2:$E$70,5,FALSE)</f>
        <v>Cash</v>
      </c>
      <c r="S3194" s="130" t="s">
        <v>2962</v>
      </c>
    </row>
    <row r="3195" spans="1:21" ht="15" customHeight="1" x14ac:dyDescent="0.35">
      <c r="A3195" s="4">
        <v>45538</v>
      </c>
      <c r="B3195" s="5">
        <f t="shared" si="801"/>
        <v>9</v>
      </c>
      <c r="C3195" s="5">
        <f t="shared" si="802"/>
        <v>2024</v>
      </c>
      <c r="D3195" s="5" t="s">
        <v>2940</v>
      </c>
      <c r="E3195" s="5" t="str">
        <f>VLOOKUP(F3195,'Set up'!$A$2:$C$70,2,FALSE)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up'!$A$2:$C$70,3,FALSE)</f>
        <v>Cash</v>
      </c>
      <c r="J3195" s="5">
        <f>VLOOKUP(F3195,'Set up'!$A$2:$D$70,4,FALSE)</f>
        <v>0</v>
      </c>
      <c r="K3195" s="4">
        <f t="shared" si="803"/>
        <v>45538</v>
      </c>
      <c r="L3195" s="5">
        <f t="shared" si="804"/>
        <v>9</v>
      </c>
      <c r="M3195" s="5">
        <f t="shared" si="805"/>
        <v>2024</v>
      </c>
      <c r="N3195" s="12">
        <v>1760</v>
      </c>
      <c r="O3195" s="6">
        <f t="shared" ref="O3195:O3203" si="818">-N3195</f>
        <v>-1760</v>
      </c>
      <c r="P3195" s="12">
        <f t="shared" si="809"/>
        <v>0</v>
      </c>
      <c r="Q3195" s="7">
        <f t="shared" si="816"/>
        <v>5185415.3499999996</v>
      </c>
      <c r="R3195" s="44" t="str">
        <f>VLOOKUP(F3195,'Set up'!$A$2:$E$70,5,FALSE)</f>
        <v>Cash</v>
      </c>
      <c r="S3195" s="1" t="s">
        <v>2989</v>
      </c>
    </row>
    <row r="3196" spans="1:21" ht="15" customHeight="1" x14ac:dyDescent="0.35">
      <c r="A3196" s="4">
        <v>45538</v>
      </c>
      <c r="B3196" s="5">
        <f t="shared" si="801"/>
        <v>9</v>
      </c>
      <c r="C3196" s="5">
        <f t="shared" si="802"/>
        <v>2024</v>
      </c>
      <c r="D3196" s="5" t="s">
        <v>2940</v>
      </c>
      <c r="E3196" s="5" t="str">
        <f>VLOOKUP(F3196,'Set up'!$A$2:$C$70,2,FALSE)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up'!$A$2:$C$70,3,FALSE)</f>
        <v>Cash</v>
      </c>
      <c r="J3196" s="5">
        <f>VLOOKUP(F3196,'Set up'!$A$2:$D$70,4,FALSE)</f>
        <v>0</v>
      </c>
      <c r="K3196" s="4">
        <f t="shared" si="803"/>
        <v>45538</v>
      </c>
      <c r="L3196" s="5">
        <f t="shared" si="804"/>
        <v>9</v>
      </c>
      <c r="M3196" s="5">
        <f t="shared" si="805"/>
        <v>2024</v>
      </c>
      <c r="N3196" s="12">
        <v>555</v>
      </c>
      <c r="O3196" s="6">
        <f t="shared" si="818"/>
        <v>-555</v>
      </c>
      <c r="P3196" s="12">
        <f t="shared" si="809"/>
        <v>0</v>
      </c>
      <c r="Q3196" s="7">
        <f t="shared" si="816"/>
        <v>5185970.3499999996</v>
      </c>
      <c r="R3196" s="44" t="str">
        <f>VLOOKUP(F3196,'Set up'!$A$2:$E$70,5,FALSE)</f>
        <v>Cash</v>
      </c>
      <c r="S3196" s="1" t="s">
        <v>2989</v>
      </c>
    </row>
    <row r="3197" spans="1:21" ht="15" customHeight="1" x14ac:dyDescent="0.35">
      <c r="A3197" s="4">
        <v>45538</v>
      </c>
      <c r="B3197" s="5">
        <f t="shared" si="801"/>
        <v>9</v>
      </c>
      <c r="C3197" s="5">
        <f t="shared" si="802"/>
        <v>2024</v>
      </c>
      <c r="D3197" s="5" t="s">
        <v>2940</v>
      </c>
      <c r="E3197" s="5" t="str">
        <f>VLOOKUP(F3197,'Set up'!$A$2:$C$70,2,FALSE)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up'!$A$2:$C$70,3,FALSE)</f>
        <v>Cash</v>
      </c>
      <c r="J3197" s="5">
        <f>VLOOKUP(F3197,'Set up'!$A$2:$D$70,4,FALSE)</f>
        <v>0</v>
      </c>
      <c r="K3197" s="4">
        <f t="shared" si="803"/>
        <v>45538</v>
      </c>
      <c r="L3197" s="5">
        <f t="shared" si="804"/>
        <v>9</v>
      </c>
      <c r="M3197" s="5">
        <f t="shared" si="805"/>
        <v>2024</v>
      </c>
      <c r="N3197" s="12">
        <v>95</v>
      </c>
      <c r="O3197" s="6">
        <f t="shared" si="818"/>
        <v>-95</v>
      </c>
      <c r="P3197" s="12">
        <f t="shared" si="809"/>
        <v>0</v>
      </c>
      <c r="Q3197" s="7">
        <f t="shared" si="816"/>
        <v>5186065.3499999996</v>
      </c>
      <c r="R3197" s="44" t="str">
        <f>VLOOKUP(F3197,'Set up'!$A$2:$E$70,5,FALSE)</f>
        <v>Cash</v>
      </c>
      <c r="S3197" s="1" t="s">
        <v>2989</v>
      </c>
    </row>
    <row r="3198" spans="1:21" ht="15" customHeight="1" x14ac:dyDescent="0.35">
      <c r="A3198" s="4">
        <v>45541</v>
      </c>
      <c r="B3198" s="5">
        <f t="shared" si="801"/>
        <v>9</v>
      </c>
      <c r="C3198" s="5">
        <f t="shared" si="802"/>
        <v>2024</v>
      </c>
      <c r="D3198" s="5" t="s">
        <v>2941</v>
      </c>
      <c r="E3198" s="5" t="str">
        <f>VLOOKUP(F3198,'Set up'!$A$2:$C$70,2,FALSE)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up'!$A$2:$C$70,3,FALSE)</f>
        <v>Cash</v>
      </c>
      <c r="J3198" s="5">
        <f>VLOOKUP(F3198,'Set up'!$A$2:$D$70,4,FALSE)</f>
        <v>0</v>
      </c>
      <c r="K3198" s="4">
        <f t="shared" si="803"/>
        <v>45541</v>
      </c>
      <c r="L3198" s="5">
        <f t="shared" si="804"/>
        <v>9</v>
      </c>
      <c r="M3198" s="5">
        <f t="shared" si="805"/>
        <v>2024</v>
      </c>
      <c r="N3198" s="12">
        <v>625</v>
      </c>
      <c r="O3198" s="6">
        <f t="shared" si="818"/>
        <v>-625</v>
      </c>
      <c r="P3198" s="12">
        <f t="shared" si="809"/>
        <v>0</v>
      </c>
      <c r="Q3198" s="7">
        <f t="shared" si="816"/>
        <v>5186690.3499999996</v>
      </c>
      <c r="R3198" s="44" t="str">
        <f>VLOOKUP(F3198,'Set up'!$A$2:$E$70,5,FALSE)</f>
        <v>Trsf</v>
      </c>
      <c r="S3198" s="1" t="s">
        <v>3403</v>
      </c>
    </row>
    <row r="3199" spans="1:21" ht="15" customHeight="1" x14ac:dyDescent="0.35">
      <c r="A3199" s="4">
        <v>45541</v>
      </c>
      <c r="B3199" s="5">
        <f t="shared" si="801"/>
        <v>9</v>
      </c>
      <c r="C3199" s="5">
        <f t="shared" si="802"/>
        <v>2024</v>
      </c>
      <c r="D3199" s="5" t="s">
        <v>2942</v>
      </c>
      <c r="E3199" s="5" t="str">
        <f>VLOOKUP(F3199,'Set up'!$A$2:$C$70,2,FALSE)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up'!$A$2:$C$70,3,FALSE)</f>
        <v>Cash</v>
      </c>
      <c r="J3199" s="5">
        <f>VLOOKUP(F3199,'Set up'!$A$2:$D$70,4,FALSE)</f>
        <v>0</v>
      </c>
      <c r="K3199" s="4">
        <f t="shared" si="803"/>
        <v>45541</v>
      </c>
      <c r="L3199" s="5">
        <f t="shared" si="804"/>
        <v>9</v>
      </c>
      <c r="M3199" s="5">
        <f t="shared" si="805"/>
        <v>2024</v>
      </c>
      <c r="N3199" s="12">
        <v>16280</v>
      </c>
      <c r="O3199" s="6">
        <f t="shared" si="818"/>
        <v>-16280</v>
      </c>
      <c r="P3199" s="12">
        <f t="shared" si="809"/>
        <v>0</v>
      </c>
      <c r="Q3199" s="7">
        <f t="shared" si="816"/>
        <v>5202970.3499999996</v>
      </c>
      <c r="R3199" s="44" t="str">
        <f>VLOOKUP(F3199,'Set up'!$A$2:$E$70,5,FALSE)</f>
        <v>Trsf</v>
      </c>
      <c r="S3199" s="1" t="s">
        <v>3404</v>
      </c>
    </row>
    <row r="3200" spans="1:21" ht="15" customHeight="1" x14ac:dyDescent="0.35">
      <c r="A3200" s="4">
        <v>45541</v>
      </c>
      <c r="B3200" s="5">
        <f t="shared" si="801"/>
        <v>9</v>
      </c>
      <c r="C3200" s="5">
        <f t="shared" si="802"/>
        <v>2024</v>
      </c>
      <c r="D3200" s="5" t="s">
        <v>2942</v>
      </c>
      <c r="E3200" s="5" t="str">
        <f>VLOOKUP(F3200,'Set up'!$A$2:$C$70,2,FALSE)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up'!$A$2:$C$70,3,FALSE)</f>
        <v>Cash</v>
      </c>
      <c r="J3200" s="5">
        <f>VLOOKUP(F3200,'Set up'!$A$2:$D$70,4,FALSE)</f>
        <v>0</v>
      </c>
      <c r="K3200" s="4">
        <f t="shared" si="803"/>
        <v>45541</v>
      </c>
      <c r="L3200" s="5">
        <f t="shared" si="804"/>
        <v>9</v>
      </c>
      <c r="M3200" s="5">
        <f t="shared" si="805"/>
        <v>2024</v>
      </c>
      <c r="N3200" s="12">
        <v>6372</v>
      </c>
      <c r="O3200" s="6">
        <f t="shared" si="818"/>
        <v>-6372</v>
      </c>
      <c r="P3200" s="12">
        <f t="shared" si="809"/>
        <v>0</v>
      </c>
      <c r="Q3200" s="7">
        <f t="shared" si="816"/>
        <v>5209342.3499999996</v>
      </c>
      <c r="R3200" s="44" t="str">
        <f>VLOOKUP(F3200,'Set up'!$A$2:$E$70,5,FALSE)</f>
        <v>Trsf</v>
      </c>
      <c r="S3200" s="1" t="s">
        <v>3405</v>
      </c>
    </row>
    <row r="3201" spans="1:19" ht="15" customHeight="1" x14ac:dyDescent="0.35">
      <c r="A3201" s="4">
        <v>45541</v>
      </c>
      <c r="B3201" s="5">
        <f t="shared" si="801"/>
        <v>9</v>
      </c>
      <c r="C3201" s="5">
        <f t="shared" si="802"/>
        <v>2024</v>
      </c>
      <c r="D3201" s="5" t="s">
        <v>2942</v>
      </c>
      <c r="E3201" s="5" t="str">
        <f>VLOOKUP(F3201,'Set up'!$A$2:$C$70,2,FALSE)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up'!$A$2:$C$70,3,FALSE)</f>
        <v>Cash</v>
      </c>
      <c r="J3201" s="5">
        <f>VLOOKUP(F3201,'Set up'!$A$2:$D$70,4,FALSE)</f>
        <v>0</v>
      </c>
      <c r="K3201" s="4">
        <f t="shared" si="803"/>
        <v>45541</v>
      </c>
      <c r="L3201" s="5">
        <f t="shared" si="804"/>
        <v>9</v>
      </c>
      <c r="M3201" s="5">
        <f t="shared" si="805"/>
        <v>2024</v>
      </c>
      <c r="N3201" s="12">
        <v>4054.5</v>
      </c>
      <c r="O3201" s="6">
        <f t="shared" si="818"/>
        <v>-4054.5</v>
      </c>
      <c r="P3201" s="12">
        <f t="shared" si="809"/>
        <v>0</v>
      </c>
      <c r="Q3201" s="7">
        <f t="shared" si="816"/>
        <v>5213396.8499999996</v>
      </c>
      <c r="R3201" s="44" t="str">
        <f>VLOOKUP(F3201,'Set up'!$A$2:$E$70,5,FALSE)</f>
        <v>Trsf</v>
      </c>
      <c r="S3201" s="1" t="s">
        <v>3406</v>
      </c>
    </row>
    <row r="3202" spans="1:19" ht="15" customHeight="1" x14ac:dyDescent="0.35">
      <c r="A3202" s="4">
        <v>45541</v>
      </c>
      <c r="B3202" s="5">
        <f t="shared" si="801"/>
        <v>9</v>
      </c>
      <c r="C3202" s="5">
        <f t="shared" si="802"/>
        <v>2024</v>
      </c>
      <c r="D3202" s="5" t="s">
        <v>2942</v>
      </c>
      <c r="E3202" s="5" t="str">
        <f>VLOOKUP(F3202,'Set up'!$A$2:$C$70,2,FALSE)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up'!$A$2:$C$70,3,FALSE)</f>
        <v>Cash</v>
      </c>
      <c r="J3202" s="5">
        <f>VLOOKUP(F3202,'Set up'!$A$2:$D$70,4,FALSE)</f>
        <v>0</v>
      </c>
      <c r="K3202" s="4">
        <f t="shared" si="803"/>
        <v>45541</v>
      </c>
      <c r="L3202" s="5">
        <f t="shared" si="804"/>
        <v>9</v>
      </c>
      <c r="M3202" s="5">
        <f t="shared" si="805"/>
        <v>2024</v>
      </c>
      <c r="N3202" s="12">
        <v>1000</v>
      </c>
      <c r="O3202" s="6">
        <f t="shared" si="818"/>
        <v>-1000</v>
      </c>
      <c r="P3202" s="12">
        <f t="shared" si="809"/>
        <v>0</v>
      </c>
      <c r="Q3202" s="7">
        <f t="shared" si="816"/>
        <v>5214396.8499999996</v>
      </c>
      <c r="R3202" s="44" t="str">
        <f>VLOOKUP(F3202,'Set up'!$A$2:$E$70,5,FALSE)</f>
        <v>Trsf</v>
      </c>
      <c r="S3202" s="1" t="s">
        <v>3407</v>
      </c>
    </row>
    <row r="3203" spans="1:19" ht="15" customHeight="1" x14ac:dyDescent="0.35">
      <c r="A3203" s="4">
        <v>45541</v>
      </c>
      <c r="B3203" s="5">
        <f t="shared" ref="B3203:B3266" si="819">MONTH(A3203)</f>
        <v>9</v>
      </c>
      <c r="C3203" s="5">
        <f t="shared" ref="C3203:C3266" si="820">YEAR(A3203)</f>
        <v>2024</v>
      </c>
      <c r="D3203" s="5" t="s">
        <v>2942</v>
      </c>
      <c r="E3203" s="5" t="str">
        <f>VLOOKUP(F3203,'Set up'!$A$2:$C$70,2,FALSE)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up'!$A$2:$C$70,3,FALSE)</f>
        <v>Cash</v>
      </c>
      <c r="J3203" s="5">
        <f>VLOOKUP(F3203,'Set up'!$A$2:$D$70,4,FALSE)</f>
        <v>0</v>
      </c>
      <c r="K3203" s="4">
        <f t="shared" ref="K3203:K3266" si="821">A3203+J3203</f>
        <v>45541</v>
      </c>
      <c r="L3203" s="5">
        <f t="shared" ref="L3203:L3266" si="822">MONTH(K3203)</f>
        <v>9</v>
      </c>
      <c r="M3203" s="5">
        <f t="shared" ref="M3203:M3266" si="823">YEAR(K3203)</f>
        <v>2024</v>
      </c>
      <c r="N3203" s="12">
        <v>380</v>
      </c>
      <c r="O3203" s="6">
        <f t="shared" si="818"/>
        <v>-380</v>
      </c>
      <c r="P3203" s="12">
        <f t="shared" si="809"/>
        <v>0</v>
      </c>
      <c r="Q3203" s="7">
        <f t="shared" si="816"/>
        <v>5214776.8499999996</v>
      </c>
      <c r="R3203" s="44" t="str">
        <f>VLOOKUP(F3203,'Set up'!$A$2:$E$70,5,FALSE)</f>
        <v>Trsf</v>
      </c>
      <c r="S3203" s="1" t="s">
        <v>3408</v>
      </c>
    </row>
    <row r="3204" spans="1:19" ht="15" customHeight="1" x14ac:dyDescent="0.35">
      <c r="A3204" s="4">
        <v>45542</v>
      </c>
      <c r="B3204" s="5">
        <f t="shared" si="819"/>
        <v>9</v>
      </c>
      <c r="C3204" s="5">
        <f t="shared" si="820"/>
        <v>2024</v>
      </c>
      <c r="D3204" s="5" t="s">
        <v>2943</v>
      </c>
      <c r="E3204" s="5" t="str">
        <f>VLOOKUP(F3204,'Set up'!$A$2:$C$70,2,FALSE)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up'!$A$2:$C$70,3,FALSE)</f>
        <v>Cash</v>
      </c>
      <c r="J3204" s="5">
        <f>VLOOKUP(F3204,'Set up'!$A$2:$D$70,4,FALSE)</f>
        <v>0</v>
      </c>
      <c r="K3204" s="4">
        <f t="shared" si="821"/>
        <v>45542</v>
      </c>
      <c r="L3204" s="5">
        <f t="shared" si="822"/>
        <v>9</v>
      </c>
      <c r="M3204" s="5">
        <f t="shared" si="823"/>
        <v>2024</v>
      </c>
      <c r="N3204" s="12">
        <v>1672</v>
      </c>
      <c r="O3204" s="12">
        <f>-200-1472</f>
        <v>-1672</v>
      </c>
      <c r="P3204" s="12">
        <f t="shared" si="809"/>
        <v>0</v>
      </c>
      <c r="Q3204" s="7">
        <f t="shared" si="816"/>
        <v>5216448.8499999996</v>
      </c>
      <c r="R3204" s="44" t="str">
        <f>VLOOKUP(F3204,'Set up'!$A$2:$E$70,5,FALSE)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819"/>
        <v>9</v>
      </c>
      <c r="C3205" s="5">
        <f t="shared" si="820"/>
        <v>2024</v>
      </c>
      <c r="D3205" s="5" t="s">
        <v>2943</v>
      </c>
      <c r="E3205" s="5" t="str">
        <f>VLOOKUP(F3205,'Set up'!$A$2:$C$70,2,FALSE)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up'!$A$2:$C$70,3,FALSE)</f>
        <v>Cash</v>
      </c>
      <c r="J3205" s="5">
        <f>VLOOKUP(F3205,'Set up'!$A$2:$D$70,4,FALSE)</f>
        <v>0</v>
      </c>
      <c r="K3205" s="4">
        <f t="shared" si="821"/>
        <v>45542</v>
      </c>
      <c r="L3205" s="5">
        <f t="shared" si="822"/>
        <v>9</v>
      </c>
      <c r="M3205" s="5">
        <f t="shared" si="823"/>
        <v>2024</v>
      </c>
      <c r="N3205" s="12">
        <v>420</v>
      </c>
      <c r="O3205" s="6">
        <f t="shared" ref="O3205:O3207" si="824">-N3205</f>
        <v>-420</v>
      </c>
      <c r="P3205" s="12">
        <f t="shared" si="809"/>
        <v>0</v>
      </c>
      <c r="Q3205" s="7">
        <f t="shared" si="816"/>
        <v>5216868.8499999996</v>
      </c>
      <c r="R3205" s="44" t="str">
        <f>VLOOKUP(F3205,'Set up'!$A$2:$E$70,5,FALSE)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819"/>
        <v>9</v>
      </c>
      <c r="C3206" s="5">
        <f t="shared" si="820"/>
        <v>2024</v>
      </c>
      <c r="D3206" s="5" t="s">
        <v>2943</v>
      </c>
      <c r="E3206" s="5" t="str">
        <f>VLOOKUP(F3206,'Set up'!$A$2:$C$70,2,FALSE)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up'!$A$2:$C$70,3,FALSE)</f>
        <v>Cash</v>
      </c>
      <c r="J3206" s="5">
        <f>VLOOKUP(F3206,'Set up'!$A$2:$D$70,4,FALSE)</f>
        <v>0</v>
      </c>
      <c r="K3206" s="4">
        <f t="shared" si="821"/>
        <v>45542</v>
      </c>
      <c r="L3206" s="5">
        <f t="shared" si="822"/>
        <v>9</v>
      </c>
      <c r="M3206" s="5">
        <f t="shared" si="823"/>
        <v>2024</v>
      </c>
      <c r="N3206" s="12">
        <v>110</v>
      </c>
      <c r="O3206" s="6">
        <f t="shared" si="824"/>
        <v>-110</v>
      </c>
      <c r="P3206" s="12">
        <f t="shared" si="809"/>
        <v>0</v>
      </c>
      <c r="Q3206" s="7">
        <f t="shared" si="816"/>
        <v>5216978.8499999996</v>
      </c>
      <c r="R3206" s="44" t="str">
        <f>VLOOKUP(F3206,'Set up'!$A$2:$E$70,5,FALSE)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819"/>
        <v>9</v>
      </c>
      <c r="C3207" s="5">
        <f t="shared" si="820"/>
        <v>2024</v>
      </c>
      <c r="D3207" s="5" t="s">
        <v>2943</v>
      </c>
      <c r="E3207" s="5" t="str">
        <f>VLOOKUP(F3207,'Set up'!$A$2:$C$70,2,FALSE)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up'!$A$2:$C$70,3,FALSE)</f>
        <v>Cash</v>
      </c>
      <c r="J3207" s="5">
        <f>VLOOKUP(F3207,'Set up'!$A$2:$D$70,4,FALSE)</f>
        <v>0</v>
      </c>
      <c r="K3207" s="4">
        <f t="shared" si="821"/>
        <v>45542</v>
      </c>
      <c r="L3207" s="5">
        <f t="shared" si="822"/>
        <v>9</v>
      </c>
      <c r="M3207" s="5">
        <f t="shared" si="823"/>
        <v>2024</v>
      </c>
      <c r="N3207" s="12">
        <v>62.5</v>
      </c>
      <c r="O3207" s="6">
        <f t="shared" si="824"/>
        <v>-62.5</v>
      </c>
      <c r="P3207" s="12">
        <f t="shared" si="809"/>
        <v>0</v>
      </c>
      <c r="Q3207" s="7">
        <f t="shared" si="816"/>
        <v>5217041.3499999996</v>
      </c>
      <c r="R3207" s="44" t="str">
        <f>VLOOKUP(F3207,'Set up'!$A$2:$E$70,5,FALSE)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819"/>
        <v>9</v>
      </c>
      <c r="C3208" s="5">
        <f t="shared" si="820"/>
        <v>2024</v>
      </c>
      <c r="D3208" s="5" t="s">
        <v>2944</v>
      </c>
      <c r="E3208" s="5" t="str">
        <f>VLOOKUP(F3208,'Set up'!$A$2:$C$70,2,FALSE)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up'!$A$2:$C$70,3,FALSE)</f>
        <v>Cash</v>
      </c>
      <c r="J3208" s="5">
        <f>VLOOKUP(F3208,'Set up'!$A$2:$D$70,4,FALSE)</f>
        <v>0</v>
      </c>
      <c r="K3208" s="4">
        <f t="shared" si="821"/>
        <v>45543</v>
      </c>
      <c r="L3208" s="5">
        <f t="shared" si="822"/>
        <v>9</v>
      </c>
      <c r="M3208" s="5">
        <f t="shared" si="823"/>
        <v>2024</v>
      </c>
      <c r="N3208" s="12">
        <v>405</v>
      </c>
      <c r="O3208" s="12"/>
      <c r="P3208" s="12">
        <f t="shared" si="809"/>
        <v>405</v>
      </c>
      <c r="Q3208" s="7">
        <f t="shared" si="816"/>
        <v>5217446.3499999996</v>
      </c>
      <c r="R3208" s="44" t="str">
        <f>VLOOKUP(F3208,'Set up'!$A$2:$E$70,5,FALSE)</f>
        <v>Trsf</v>
      </c>
    </row>
    <row r="3209" spans="1:19" ht="15" customHeight="1" x14ac:dyDescent="0.35">
      <c r="A3209" s="4">
        <v>45543</v>
      </c>
      <c r="B3209" s="5">
        <f t="shared" si="819"/>
        <v>9</v>
      </c>
      <c r="C3209" s="5">
        <f t="shared" si="820"/>
        <v>2024</v>
      </c>
      <c r="D3209" s="5" t="s">
        <v>2944</v>
      </c>
      <c r="E3209" s="5" t="str">
        <f>VLOOKUP(F3209,'Set up'!$A$2:$C$70,2,FALSE)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up'!$A$2:$C$70,3,FALSE)</f>
        <v>Cash</v>
      </c>
      <c r="J3209" s="5">
        <f>VLOOKUP(F3209,'Set up'!$A$2:$D$70,4,FALSE)</f>
        <v>0</v>
      </c>
      <c r="K3209" s="4">
        <f t="shared" si="821"/>
        <v>45543</v>
      </c>
      <c r="L3209" s="5">
        <f t="shared" si="822"/>
        <v>9</v>
      </c>
      <c r="M3209" s="5">
        <f t="shared" si="823"/>
        <v>2024</v>
      </c>
      <c r="N3209" s="12">
        <v>110</v>
      </c>
      <c r="O3209" s="12"/>
      <c r="P3209" s="12">
        <f t="shared" si="809"/>
        <v>110</v>
      </c>
      <c r="Q3209" s="7">
        <f t="shared" si="816"/>
        <v>5217556.3499999996</v>
      </c>
      <c r="R3209" s="44" t="str">
        <f>VLOOKUP(F3209,'Set up'!$A$2:$E$70,5,FALSE)</f>
        <v>Trsf</v>
      </c>
    </row>
    <row r="3210" spans="1:19" ht="15" customHeight="1" x14ac:dyDescent="0.35">
      <c r="A3210" s="4">
        <v>45545</v>
      </c>
      <c r="B3210" s="5">
        <f t="shared" si="819"/>
        <v>9</v>
      </c>
      <c r="C3210" s="5">
        <f t="shared" si="820"/>
        <v>2024</v>
      </c>
      <c r="D3210" s="5" t="s">
        <v>2945</v>
      </c>
      <c r="E3210" s="5" t="str">
        <f>VLOOKUP(F3210,'Set up'!$A$2:$C$70,2,FALSE)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up'!$A$2:$C$70,3,FALSE)</f>
        <v>120</v>
      </c>
      <c r="J3210" s="5">
        <f>VLOOKUP(F3210,'Set up'!$A$2:$D$70,4,FALSE)</f>
        <v>120</v>
      </c>
      <c r="K3210" s="4">
        <f t="shared" si="821"/>
        <v>45665</v>
      </c>
      <c r="L3210" s="5">
        <f t="shared" si="822"/>
        <v>1</v>
      </c>
      <c r="M3210" s="5">
        <f t="shared" si="823"/>
        <v>2025</v>
      </c>
      <c r="N3210" s="12">
        <v>16060</v>
      </c>
      <c r="O3210" s="6">
        <f t="shared" ref="O3210:O3217" si="825">-N3210</f>
        <v>-16060</v>
      </c>
      <c r="P3210" s="12">
        <f t="shared" si="809"/>
        <v>0</v>
      </c>
      <c r="Q3210" s="7">
        <f t="shared" si="816"/>
        <v>5233616.3499999996</v>
      </c>
      <c r="R3210" s="44" t="str">
        <f>VLOOKUP(F3210,'Set up'!$A$2:$E$70,5,FALSE)</f>
        <v>Trsf</v>
      </c>
      <c r="S3210" s="1" t="s">
        <v>3607</v>
      </c>
    </row>
    <row r="3211" spans="1:19" ht="15" customHeight="1" x14ac:dyDescent="0.35">
      <c r="A3211" s="4">
        <v>45545</v>
      </c>
      <c r="B3211" s="5">
        <f t="shared" si="819"/>
        <v>9</v>
      </c>
      <c r="C3211" s="5">
        <f t="shared" si="820"/>
        <v>2024</v>
      </c>
      <c r="D3211" s="5" t="s">
        <v>2945</v>
      </c>
      <c r="E3211" s="5" t="str">
        <f>VLOOKUP(F3211,'Set up'!$A$2:$C$70,2,FALSE)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up'!$A$2:$C$70,3,FALSE)</f>
        <v>120</v>
      </c>
      <c r="J3211" s="5">
        <f>VLOOKUP(F3211,'Set up'!$A$2:$D$70,4,FALSE)</f>
        <v>120</v>
      </c>
      <c r="K3211" s="4">
        <f t="shared" si="821"/>
        <v>45665</v>
      </c>
      <c r="L3211" s="5">
        <f t="shared" si="822"/>
        <v>1</v>
      </c>
      <c r="M3211" s="5">
        <f t="shared" si="823"/>
        <v>2025</v>
      </c>
      <c r="N3211" s="12">
        <v>1740</v>
      </c>
      <c r="O3211" s="6">
        <f t="shared" si="825"/>
        <v>-1740</v>
      </c>
      <c r="P3211" s="12">
        <f t="shared" si="809"/>
        <v>0</v>
      </c>
      <c r="Q3211" s="7">
        <f t="shared" si="816"/>
        <v>5235356.3499999996</v>
      </c>
      <c r="R3211" s="44" t="str">
        <f>VLOOKUP(F3211,'Set up'!$A$2:$E$70,5,FALSE)</f>
        <v>Trsf</v>
      </c>
      <c r="S3211" s="1" t="s">
        <v>3607</v>
      </c>
    </row>
    <row r="3212" spans="1:19" ht="15" customHeight="1" x14ac:dyDescent="0.35">
      <c r="A3212" s="4">
        <v>45545</v>
      </c>
      <c r="B3212" s="5">
        <f t="shared" si="819"/>
        <v>9</v>
      </c>
      <c r="C3212" s="5">
        <f t="shared" si="820"/>
        <v>2024</v>
      </c>
      <c r="D3212" s="5" t="s">
        <v>2945</v>
      </c>
      <c r="E3212" s="5" t="str">
        <f>VLOOKUP(F3212,'Set up'!$A$2:$C$70,2,FALSE)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up'!$A$2:$C$70,3,FALSE)</f>
        <v>120</v>
      </c>
      <c r="J3212" s="5">
        <f>VLOOKUP(F3212,'Set up'!$A$2:$D$70,4,FALSE)</f>
        <v>120</v>
      </c>
      <c r="K3212" s="4">
        <f t="shared" si="821"/>
        <v>45665</v>
      </c>
      <c r="L3212" s="5">
        <f t="shared" si="822"/>
        <v>1</v>
      </c>
      <c r="M3212" s="5">
        <f t="shared" si="823"/>
        <v>2025</v>
      </c>
      <c r="N3212" s="12">
        <v>575</v>
      </c>
      <c r="O3212" s="6">
        <f t="shared" si="825"/>
        <v>-575</v>
      </c>
      <c r="P3212" s="12">
        <f t="shared" si="809"/>
        <v>0</v>
      </c>
      <c r="Q3212" s="7">
        <f t="shared" si="816"/>
        <v>5235931.3499999996</v>
      </c>
      <c r="R3212" s="44" t="str">
        <f>VLOOKUP(F3212,'Set up'!$A$2:$E$70,5,FALSE)</f>
        <v>Trsf</v>
      </c>
      <c r="S3212" s="1" t="s">
        <v>3607</v>
      </c>
    </row>
    <row r="3213" spans="1:19" ht="15" customHeight="1" x14ac:dyDescent="0.35">
      <c r="A3213" s="4">
        <v>45545</v>
      </c>
      <c r="B3213" s="5">
        <f t="shared" si="819"/>
        <v>9</v>
      </c>
      <c r="C3213" s="5">
        <f t="shared" si="820"/>
        <v>2024</v>
      </c>
      <c r="D3213" s="5" t="s">
        <v>2945</v>
      </c>
      <c r="E3213" s="5" t="str">
        <f>VLOOKUP(F3213,'Set up'!$A$2:$C$70,2,FALSE)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up'!$A$2:$C$70,3,FALSE)</f>
        <v>120</v>
      </c>
      <c r="J3213" s="5">
        <f>VLOOKUP(F3213,'Set up'!$A$2:$D$70,4,FALSE)</f>
        <v>120</v>
      </c>
      <c r="K3213" s="4">
        <f t="shared" si="821"/>
        <v>45665</v>
      </c>
      <c r="L3213" s="5">
        <f t="shared" si="822"/>
        <v>1</v>
      </c>
      <c r="M3213" s="5">
        <f t="shared" si="823"/>
        <v>2025</v>
      </c>
      <c r="N3213" s="12">
        <v>440</v>
      </c>
      <c r="O3213" s="6">
        <f t="shared" si="825"/>
        <v>-440</v>
      </c>
      <c r="P3213" s="12">
        <f t="shared" si="809"/>
        <v>0</v>
      </c>
      <c r="Q3213" s="7">
        <f t="shared" si="816"/>
        <v>5236371.3499999996</v>
      </c>
      <c r="R3213" s="44" t="str">
        <f>VLOOKUP(F3213,'Set up'!$A$2:$E$70,5,FALSE)</f>
        <v>Trsf</v>
      </c>
      <c r="S3213" s="1" t="s">
        <v>3607</v>
      </c>
    </row>
    <row r="3214" spans="1:19" ht="15" customHeight="1" x14ac:dyDescent="0.35">
      <c r="A3214" s="4">
        <v>45545</v>
      </c>
      <c r="B3214" s="5">
        <f t="shared" si="819"/>
        <v>9</v>
      </c>
      <c r="C3214" s="5">
        <f t="shared" si="820"/>
        <v>2024</v>
      </c>
      <c r="D3214" s="5" t="s">
        <v>2945</v>
      </c>
      <c r="E3214" s="5" t="str">
        <f>VLOOKUP(F3214,'Set up'!$A$2:$C$70,2,FALSE)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up'!$A$2:$C$70,3,FALSE)</f>
        <v>120</v>
      </c>
      <c r="J3214" s="5">
        <f>VLOOKUP(F3214,'Set up'!$A$2:$D$70,4,FALSE)</f>
        <v>120</v>
      </c>
      <c r="K3214" s="4">
        <f t="shared" si="821"/>
        <v>45665</v>
      </c>
      <c r="L3214" s="5">
        <f t="shared" si="822"/>
        <v>1</v>
      </c>
      <c r="M3214" s="5">
        <f t="shared" si="823"/>
        <v>2025</v>
      </c>
      <c r="N3214" s="12">
        <v>460.8</v>
      </c>
      <c r="O3214" s="6">
        <f t="shared" si="825"/>
        <v>-460.8</v>
      </c>
      <c r="P3214" s="12">
        <f t="shared" si="809"/>
        <v>0</v>
      </c>
      <c r="Q3214" s="7">
        <f t="shared" si="816"/>
        <v>5236832.1499999994</v>
      </c>
      <c r="R3214" s="44" t="str">
        <f>VLOOKUP(F3214,'Set up'!$A$2:$E$70,5,FALSE)</f>
        <v>Trsf</v>
      </c>
      <c r="S3214" s="1" t="s">
        <v>3607</v>
      </c>
    </row>
    <row r="3215" spans="1:19" ht="15" customHeight="1" x14ac:dyDescent="0.35">
      <c r="A3215" s="4">
        <v>45545</v>
      </c>
      <c r="B3215" s="5">
        <f t="shared" si="819"/>
        <v>9</v>
      </c>
      <c r="C3215" s="5">
        <f t="shared" si="820"/>
        <v>2024</v>
      </c>
      <c r="D3215" s="5" t="s">
        <v>2945</v>
      </c>
      <c r="E3215" s="5" t="str">
        <f>VLOOKUP(F3215,'Set up'!$A$2:$C$70,2,FALSE)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up'!$A$2:$C$70,3,FALSE)</f>
        <v>120</v>
      </c>
      <c r="J3215" s="5">
        <f>VLOOKUP(F3215,'Set up'!$A$2:$D$70,4,FALSE)</f>
        <v>120</v>
      </c>
      <c r="K3215" s="4">
        <f t="shared" si="821"/>
        <v>45665</v>
      </c>
      <c r="L3215" s="5">
        <f t="shared" si="822"/>
        <v>1</v>
      </c>
      <c r="M3215" s="5">
        <f t="shared" si="823"/>
        <v>2025</v>
      </c>
      <c r="N3215" s="12">
        <v>395</v>
      </c>
      <c r="O3215" s="6">
        <f t="shared" si="825"/>
        <v>-395</v>
      </c>
      <c r="P3215" s="12">
        <f t="shared" si="809"/>
        <v>0</v>
      </c>
      <c r="Q3215" s="7">
        <f t="shared" si="816"/>
        <v>5237227.1499999994</v>
      </c>
      <c r="R3215" s="44" t="str">
        <f>VLOOKUP(F3215,'Set up'!$A$2:$E$70,5,FALSE)</f>
        <v>Trsf</v>
      </c>
      <c r="S3215" s="1" t="s">
        <v>3607</v>
      </c>
    </row>
    <row r="3216" spans="1:19" ht="15" customHeight="1" x14ac:dyDescent="0.35">
      <c r="A3216" s="4">
        <v>45545</v>
      </c>
      <c r="B3216" s="5">
        <f t="shared" si="819"/>
        <v>9</v>
      </c>
      <c r="C3216" s="5">
        <f t="shared" si="820"/>
        <v>2024</v>
      </c>
      <c r="D3216" s="5" t="s">
        <v>2945</v>
      </c>
      <c r="E3216" s="5" t="str">
        <f>VLOOKUP(F3216,'Set up'!$A$2:$C$70,2,FALSE)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up'!$A$2:$C$70,3,FALSE)</f>
        <v>120</v>
      </c>
      <c r="J3216" s="5">
        <f>VLOOKUP(F3216,'Set up'!$A$2:$D$70,4,FALSE)</f>
        <v>120</v>
      </c>
      <c r="K3216" s="4">
        <f t="shared" si="821"/>
        <v>45665</v>
      </c>
      <c r="L3216" s="5">
        <f t="shared" si="822"/>
        <v>1</v>
      </c>
      <c r="M3216" s="5">
        <f t="shared" si="823"/>
        <v>2025</v>
      </c>
      <c r="N3216" s="12">
        <v>165</v>
      </c>
      <c r="O3216" s="6">
        <f t="shared" si="825"/>
        <v>-165</v>
      </c>
      <c r="P3216" s="12">
        <f t="shared" si="809"/>
        <v>0</v>
      </c>
      <c r="Q3216" s="7">
        <f t="shared" si="816"/>
        <v>5237392.1499999994</v>
      </c>
      <c r="R3216" s="44" t="str">
        <f>VLOOKUP(F3216,'Set up'!$A$2:$E$70,5,FALSE)</f>
        <v>Trsf</v>
      </c>
      <c r="S3216" s="1" t="s">
        <v>3607</v>
      </c>
    </row>
    <row r="3217" spans="1:19" ht="15" customHeight="1" x14ac:dyDescent="0.35">
      <c r="A3217" s="4">
        <v>45545</v>
      </c>
      <c r="B3217" s="5">
        <f t="shared" si="819"/>
        <v>9</v>
      </c>
      <c r="C3217" s="5">
        <f t="shared" si="820"/>
        <v>2024</v>
      </c>
      <c r="D3217" s="5" t="s">
        <v>2945</v>
      </c>
      <c r="E3217" s="5" t="str">
        <f>VLOOKUP(F3217,'Set up'!$A$2:$C$70,2,FALSE)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up'!$A$2:$C$70,3,FALSE)</f>
        <v>120</v>
      </c>
      <c r="J3217" s="5">
        <f>VLOOKUP(F3217,'Set up'!$A$2:$D$70,4,FALSE)</f>
        <v>120</v>
      </c>
      <c r="K3217" s="4">
        <f t="shared" si="821"/>
        <v>45665</v>
      </c>
      <c r="L3217" s="5">
        <f t="shared" si="822"/>
        <v>1</v>
      </c>
      <c r="M3217" s="5">
        <f t="shared" si="823"/>
        <v>2025</v>
      </c>
      <c r="N3217" s="12">
        <v>1190</v>
      </c>
      <c r="O3217" s="6">
        <f t="shared" si="825"/>
        <v>-1190</v>
      </c>
      <c r="P3217" s="12">
        <f t="shared" si="809"/>
        <v>0</v>
      </c>
      <c r="Q3217" s="7">
        <f t="shared" si="816"/>
        <v>5238582.1499999994</v>
      </c>
      <c r="R3217" s="44" t="str">
        <f>VLOOKUP(F3217,'Set up'!$A$2:$E$70,5,FALSE)</f>
        <v>Trsf</v>
      </c>
      <c r="S3217" s="1" t="s">
        <v>3607</v>
      </c>
    </row>
    <row r="3218" spans="1:19" ht="15" customHeight="1" x14ac:dyDescent="0.35">
      <c r="A3218" s="4">
        <v>45546</v>
      </c>
      <c r="B3218" s="5">
        <f t="shared" si="819"/>
        <v>9</v>
      </c>
      <c r="C3218" s="5">
        <f t="shared" si="820"/>
        <v>2024</v>
      </c>
      <c r="D3218" s="5" t="s">
        <v>2946</v>
      </c>
      <c r="E3218" s="5" t="str">
        <f>VLOOKUP(F3218,'Set up'!$A$2:$C$70,2,FALSE)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up'!$A$2:$C$70,3,FALSE)</f>
        <v>Cash</v>
      </c>
      <c r="J3218" s="5">
        <f>VLOOKUP(F3218,'Set up'!$A$2:$D$70,4,FALSE)</f>
        <v>0</v>
      </c>
      <c r="K3218" s="4">
        <f t="shared" si="821"/>
        <v>45546</v>
      </c>
      <c r="L3218" s="5">
        <f t="shared" si="822"/>
        <v>9</v>
      </c>
      <c r="M3218" s="5">
        <f t="shared" si="823"/>
        <v>2024</v>
      </c>
      <c r="N3218" s="12">
        <v>1760</v>
      </c>
      <c r="O3218" s="12"/>
      <c r="P3218" s="12">
        <f t="shared" si="809"/>
        <v>1760</v>
      </c>
      <c r="Q3218" s="7">
        <f t="shared" si="816"/>
        <v>5240342.1499999994</v>
      </c>
      <c r="R3218" s="44" t="str">
        <f>VLOOKUP(F3218,'Set up'!$A$2:$E$70,5,FALSE)</f>
        <v>Trsf</v>
      </c>
    </row>
    <row r="3219" spans="1:19" ht="15" customHeight="1" x14ac:dyDescent="0.35">
      <c r="A3219" s="4">
        <v>45546</v>
      </c>
      <c r="B3219" s="5">
        <f t="shared" si="819"/>
        <v>9</v>
      </c>
      <c r="C3219" s="5">
        <f t="shared" si="820"/>
        <v>2024</v>
      </c>
      <c r="D3219" s="5" t="s">
        <v>2946</v>
      </c>
      <c r="E3219" s="5" t="str">
        <f>VLOOKUP(F3219,'Set up'!$A$2:$C$70,2,FALSE)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up'!$A$2:$C$70,3,FALSE)</f>
        <v>Cash</v>
      </c>
      <c r="J3219" s="5">
        <f>VLOOKUP(F3219,'Set up'!$A$2:$D$70,4,FALSE)</f>
        <v>0</v>
      </c>
      <c r="K3219" s="4">
        <f t="shared" si="821"/>
        <v>45546</v>
      </c>
      <c r="L3219" s="5">
        <f t="shared" si="822"/>
        <v>9</v>
      </c>
      <c r="M3219" s="5">
        <f t="shared" si="823"/>
        <v>2024</v>
      </c>
      <c r="N3219" s="12">
        <v>187.5</v>
      </c>
      <c r="O3219" s="12"/>
      <c r="P3219" s="12">
        <f t="shared" si="809"/>
        <v>187.5</v>
      </c>
      <c r="Q3219" s="7">
        <f t="shared" si="816"/>
        <v>5240529.6499999994</v>
      </c>
      <c r="R3219" s="44" t="str">
        <f>VLOOKUP(F3219,'Set up'!$A$2:$E$70,5,FALSE)</f>
        <v>Trsf</v>
      </c>
    </row>
    <row r="3220" spans="1:19" ht="15" customHeight="1" x14ac:dyDescent="0.35">
      <c r="A3220" s="4">
        <v>45546</v>
      </c>
      <c r="B3220" s="5">
        <f t="shared" si="819"/>
        <v>9</v>
      </c>
      <c r="C3220" s="5">
        <f t="shared" si="820"/>
        <v>2024</v>
      </c>
      <c r="D3220" s="5" t="s">
        <v>2946</v>
      </c>
      <c r="E3220" s="5" t="str">
        <f>VLOOKUP(F3220,'Set up'!$A$2:$C$70,2,FALSE)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up'!$A$2:$C$70,3,FALSE)</f>
        <v>Cash</v>
      </c>
      <c r="J3220" s="5">
        <f>VLOOKUP(F3220,'Set up'!$A$2:$D$70,4,FALSE)</f>
        <v>0</v>
      </c>
      <c r="K3220" s="4">
        <f t="shared" si="821"/>
        <v>45546</v>
      </c>
      <c r="L3220" s="5">
        <f t="shared" si="822"/>
        <v>9</v>
      </c>
      <c r="M3220" s="5">
        <f t="shared" si="823"/>
        <v>2024</v>
      </c>
      <c r="N3220" s="12">
        <v>450</v>
      </c>
      <c r="O3220" s="12"/>
      <c r="P3220" s="12">
        <f t="shared" si="809"/>
        <v>450</v>
      </c>
      <c r="Q3220" s="7">
        <f t="shared" si="816"/>
        <v>5240979.6499999994</v>
      </c>
      <c r="R3220" s="44" t="str">
        <f>VLOOKUP(F3220,'Set up'!$A$2:$E$70,5,FALSE)</f>
        <v>Trsf</v>
      </c>
    </row>
    <row r="3221" spans="1:19" ht="15" customHeight="1" x14ac:dyDescent="0.35">
      <c r="A3221" s="4">
        <v>45549</v>
      </c>
      <c r="B3221" s="5">
        <f t="shared" si="819"/>
        <v>9</v>
      </c>
      <c r="C3221" s="5">
        <f t="shared" si="820"/>
        <v>2024</v>
      </c>
      <c r="D3221" s="5" t="s">
        <v>2947</v>
      </c>
      <c r="E3221" s="5" t="str">
        <f>VLOOKUP(F3221,'Set up'!$A$2:$C$70,2,FALSE)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up'!$A$2:$C$70,3,FALSE)</f>
        <v>Cash</v>
      </c>
      <c r="J3221" s="5">
        <f>VLOOKUP(F3221,'Set up'!$A$2:$D$70,4,FALSE)</f>
        <v>0</v>
      </c>
      <c r="K3221" s="4">
        <f t="shared" si="821"/>
        <v>45549</v>
      </c>
      <c r="L3221" s="5">
        <f t="shared" si="822"/>
        <v>9</v>
      </c>
      <c r="M3221" s="5">
        <f t="shared" si="823"/>
        <v>2024</v>
      </c>
      <c r="N3221" s="12">
        <v>312.5</v>
      </c>
      <c r="O3221" s="6">
        <f t="shared" ref="O3221:O3235" si="826">-N3221</f>
        <v>-312.5</v>
      </c>
      <c r="P3221" s="12">
        <f t="shared" ref="P3221:P3284" si="827">SUM(N3221+O3221)</f>
        <v>0</v>
      </c>
      <c r="Q3221" s="7">
        <f t="shared" si="816"/>
        <v>5241292.1499999994</v>
      </c>
      <c r="R3221" s="44" t="str">
        <f>VLOOKUP(F3221,'Set up'!$A$2:$E$70,5,FALSE)</f>
        <v>Trsf</v>
      </c>
      <c r="S3221" s="1" t="s">
        <v>3409</v>
      </c>
    </row>
    <row r="3222" spans="1:19" ht="15" customHeight="1" x14ac:dyDescent="0.35">
      <c r="A3222" s="4">
        <v>45549</v>
      </c>
      <c r="B3222" s="5">
        <f t="shared" si="819"/>
        <v>9</v>
      </c>
      <c r="C3222" s="5">
        <f t="shared" si="820"/>
        <v>2024</v>
      </c>
      <c r="D3222" s="5" t="s">
        <v>2948</v>
      </c>
      <c r="E3222" s="5" t="str">
        <f>VLOOKUP(F3222,'Set up'!$A$2:$C$70,2,FALSE)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up'!$A$2:$C$70,3,FALSE)</f>
        <v>Cash</v>
      </c>
      <c r="J3222" s="5">
        <f>VLOOKUP(F3222,'Set up'!$A$2:$D$70,4,FALSE)</f>
        <v>0</v>
      </c>
      <c r="K3222" s="4">
        <f t="shared" si="821"/>
        <v>45549</v>
      </c>
      <c r="L3222" s="5">
        <f t="shared" si="822"/>
        <v>9</v>
      </c>
      <c r="M3222" s="5">
        <f t="shared" si="823"/>
        <v>2024</v>
      </c>
      <c r="N3222" s="12">
        <v>8140</v>
      </c>
      <c r="O3222" s="6">
        <f t="shared" si="826"/>
        <v>-8140</v>
      </c>
      <c r="P3222" s="12">
        <f t="shared" si="827"/>
        <v>0</v>
      </c>
      <c r="Q3222" s="7">
        <f t="shared" si="816"/>
        <v>5249432.1499999994</v>
      </c>
      <c r="R3222" s="44" t="str">
        <f>VLOOKUP(F3222,'Set up'!$A$2:$E$70,5,FALSE)</f>
        <v>Trsf</v>
      </c>
      <c r="S3222" s="1" t="s">
        <v>3410</v>
      </c>
    </row>
    <row r="3223" spans="1:19" ht="15" customHeight="1" x14ac:dyDescent="0.35">
      <c r="A3223" s="4">
        <v>45549</v>
      </c>
      <c r="B3223" s="5">
        <f t="shared" si="819"/>
        <v>9</v>
      </c>
      <c r="C3223" s="5">
        <f t="shared" si="820"/>
        <v>2024</v>
      </c>
      <c r="D3223" s="5" t="s">
        <v>2948</v>
      </c>
      <c r="E3223" s="5" t="str">
        <f>VLOOKUP(F3223,'Set up'!$A$2:$C$70,2,FALSE)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up'!$A$2:$C$70,3,FALSE)</f>
        <v>Cash</v>
      </c>
      <c r="J3223" s="5">
        <f>VLOOKUP(F3223,'Set up'!$A$2:$D$70,4,FALSE)</f>
        <v>0</v>
      </c>
      <c r="K3223" s="4">
        <f t="shared" si="821"/>
        <v>45549</v>
      </c>
      <c r="L3223" s="5">
        <f t="shared" si="822"/>
        <v>9</v>
      </c>
      <c r="M3223" s="5">
        <f t="shared" si="823"/>
        <v>2024</v>
      </c>
      <c r="N3223" s="12">
        <v>2124</v>
      </c>
      <c r="O3223" s="6">
        <f t="shared" si="826"/>
        <v>-2124</v>
      </c>
      <c r="P3223" s="12">
        <f t="shared" si="827"/>
        <v>0</v>
      </c>
      <c r="Q3223" s="7">
        <f t="shared" si="816"/>
        <v>5251556.1499999994</v>
      </c>
      <c r="R3223" s="44" t="str">
        <f>VLOOKUP(F3223,'Set up'!$A$2:$E$70,5,FALSE)</f>
        <v>Trsf</v>
      </c>
      <c r="S3223" s="1" t="s">
        <v>3411</v>
      </c>
    </row>
    <row r="3224" spans="1:19" ht="15" customHeight="1" x14ac:dyDescent="0.35">
      <c r="A3224" s="4">
        <v>45549</v>
      </c>
      <c r="B3224" s="5">
        <f t="shared" si="819"/>
        <v>9</v>
      </c>
      <c r="C3224" s="5">
        <f t="shared" si="820"/>
        <v>2024</v>
      </c>
      <c r="D3224" s="5" t="s">
        <v>2948</v>
      </c>
      <c r="E3224" s="5" t="str">
        <f>VLOOKUP(F3224,'Set up'!$A$2:$C$70,2,FALSE)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up'!$A$2:$C$70,3,FALSE)</f>
        <v>Cash</v>
      </c>
      <c r="J3224" s="5">
        <f>VLOOKUP(F3224,'Set up'!$A$2:$D$70,4,FALSE)</f>
        <v>0</v>
      </c>
      <c r="K3224" s="4">
        <f t="shared" si="821"/>
        <v>45549</v>
      </c>
      <c r="L3224" s="5">
        <f t="shared" si="822"/>
        <v>9</v>
      </c>
      <c r="M3224" s="5">
        <f t="shared" si="823"/>
        <v>2024</v>
      </c>
      <c r="N3224" s="12">
        <v>954</v>
      </c>
      <c r="O3224" s="6">
        <f t="shared" si="826"/>
        <v>-954</v>
      </c>
      <c r="P3224" s="12">
        <f t="shared" si="827"/>
        <v>0</v>
      </c>
      <c r="Q3224" s="7">
        <f t="shared" si="816"/>
        <v>5252510.1499999994</v>
      </c>
      <c r="R3224" s="44" t="str">
        <f>VLOOKUP(F3224,'Set up'!$A$2:$E$70,5,FALSE)</f>
        <v>Trsf</v>
      </c>
      <c r="S3224" s="1" t="s">
        <v>3412</v>
      </c>
    </row>
    <row r="3225" spans="1:19" ht="15" customHeight="1" x14ac:dyDescent="0.35">
      <c r="A3225" s="4">
        <v>45549</v>
      </c>
      <c r="B3225" s="5">
        <f t="shared" si="819"/>
        <v>9</v>
      </c>
      <c r="C3225" s="5">
        <f t="shared" si="820"/>
        <v>2024</v>
      </c>
      <c r="D3225" s="5" t="s">
        <v>2948</v>
      </c>
      <c r="E3225" s="5" t="str">
        <f>VLOOKUP(F3225,'Set up'!$A$2:$C$70,2,FALSE)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up'!$A$2:$C$70,3,FALSE)</f>
        <v>Cash</v>
      </c>
      <c r="J3225" s="5">
        <f>VLOOKUP(F3225,'Set up'!$A$2:$D$70,4,FALSE)</f>
        <v>0</v>
      </c>
      <c r="K3225" s="4">
        <f t="shared" si="821"/>
        <v>45549</v>
      </c>
      <c r="L3225" s="5">
        <f t="shared" si="822"/>
        <v>9</v>
      </c>
      <c r="M3225" s="5">
        <f t="shared" si="823"/>
        <v>2024</v>
      </c>
      <c r="N3225" s="12">
        <v>1000</v>
      </c>
      <c r="O3225" s="6">
        <f t="shared" si="826"/>
        <v>-1000</v>
      </c>
      <c r="P3225" s="12">
        <f t="shared" si="827"/>
        <v>0</v>
      </c>
      <c r="Q3225" s="7">
        <f t="shared" si="816"/>
        <v>5253510.1499999994</v>
      </c>
      <c r="R3225" s="44" t="str">
        <f>VLOOKUP(F3225,'Set up'!$A$2:$E$70,5,FALSE)</f>
        <v>Trsf</v>
      </c>
      <c r="S3225" s="1" t="s">
        <v>3407</v>
      </c>
    </row>
    <row r="3226" spans="1:19" ht="15" customHeight="1" x14ac:dyDescent="0.35">
      <c r="A3226" s="4">
        <v>45556</v>
      </c>
      <c r="B3226" s="5">
        <f t="shared" si="819"/>
        <v>9</v>
      </c>
      <c r="C3226" s="5">
        <f t="shared" si="820"/>
        <v>2024</v>
      </c>
      <c r="D3226" s="5" t="s">
        <v>2949</v>
      </c>
      <c r="E3226" s="5" t="str">
        <f>VLOOKUP(F3226,'Set up'!$A$2:$C$70,2,FALSE)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up'!$A$2:$C$70,3,FALSE)</f>
        <v>Cash</v>
      </c>
      <c r="J3226" s="5">
        <f>VLOOKUP(F3226,'Set up'!$A$2:$D$70,4,FALSE)</f>
        <v>0</v>
      </c>
      <c r="K3226" s="4">
        <f t="shared" si="821"/>
        <v>45556</v>
      </c>
      <c r="L3226" s="5">
        <f t="shared" si="822"/>
        <v>9</v>
      </c>
      <c r="M3226" s="5">
        <f t="shared" si="823"/>
        <v>2024</v>
      </c>
      <c r="N3226" s="12">
        <v>187.5</v>
      </c>
      <c r="O3226" s="6">
        <f t="shared" si="826"/>
        <v>-187.5</v>
      </c>
      <c r="P3226" s="12">
        <f t="shared" si="827"/>
        <v>0</v>
      </c>
      <c r="Q3226" s="7">
        <f t="shared" si="816"/>
        <v>5253697.6499999994</v>
      </c>
      <c r="R3226" s="44" t="str">
        <f>VLOOKUP(F3226,'Set up'!$A$2:$E$70,5,FALSE)</f>
        <v>Trsf</v>
      </c>
      <c r="S3226" s="1" t="s">
        <v>3413</v>
      </c>
    </row>
    <row r="3227" spans="1:19" ht="15" customHeight="1" x14ac:dyDescent="0.35">
      <c r="A3227" s="4">
        <v>45556</v>
      </c>
      <c r="B3227" s="5">
        <f t="shared" si="819"/>
        <v>9</v>
      </c>
      <c r="C3227" s="5">
        <f t="shared" si="820"/>
        <v>2024</v>
      </c>
      <c r="D3227" s="5" t="s">
        <v>2950</v>
      </c>
      <c r="E3227" s="5" t="str">
        <f>VLOOKUP(F3227,'Set up'!$A$2:$C$70,2,FALSE)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up'!$A$2:$C$70,3,FALSE)</f>
        <v>Cash</v>
      </c>
      <c r="J3227" s="5">
        <f>VLOOKUP(F3227,'Set up'!$A$2:$D$70,4,FALSE)</f>
        <v>0</v>
      </c>
      <c r="K3227" s="4">
        <f t="shared" si="821"/>
        <v>45556</v>
      </c>
      <c r="L3227" s="5">
        <f t="shared" si="822"/>
        <v>9</v>
      </c>
      <c r="M3227" s="5">
        <f t="shared" si="823"/>
        <v>2024</v>
      </c>
      <c r="N3227" s="12">
        <v>1642.5</v>
      </c>
      <c r="O3227" s="6">
        <f t="shared" si="826"/>
        <v>-1642.5</v>
      </c>
      <c r="P3227" s="12">
        <f t="shared" si="827"/>
        <v>0</v>
      </c>
      <c r="Q3227" s="7">
        <f t="shared" si="816"/>
        <v>5255340.1499999994</v>
      </c>
      <c r="R3227" s="44" t="str">
        <f>VLOOKUP(F3227,'Set up'!$A$2:$E$70,5,FALSE)</f>
        <v>Trsf</v>
      </c>
      <c r="S3227" s="1" t="s">
        <v>3414</v>
      </c>
    </row>
    <row r="3228" spans="1:19" ht="15" customHeight="1" x14ac:dyDescent="0.35">
      <c r="A3228" s="4">
        <v>45556</v>
      </c>
      <c r="B3228" s="5">
        <f t="shared" si="819"/>
        <v>9</v>
      </c>
      <c r="C3228" s="5">
        <f t="shared" si="820"/>
        <v>2024</v>
      </c>
      <c r="D3228" s="5" t="s">
        <v>2950</v>
      </c>
      <c r="E3228" s="5" t="str">
        <f>VLOOKUP(F3228,'Set up'!$A$2:$C$70,2,FALSE)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up'!$A$2:$C$70,3,FALSE)</f>
        <v>Cash</v>
      </c>
      <c r="J3228" s="5">
        <f>VLOOKUP(F3228,'Set up'!$A$2:$D$70,4,FALSE)</f>
        <v>0</v>
      </c>
      <c r="K3228" s="4">
        <f t="shared" si="821"/>
        <v>45556</v>
      </c>
      <c r="L3228" s="5">
        <f t="shared" si="822"/>
        <v>9</v>
      </c>
      <c r="M3228" s="5">
        <f t="shared" si="823"/>
        <v>2024</v>
      </c>
      <c r="N3228" s="12">
        <v>3256</v>
      </c>
      <c r="O3228" s="6">
        <f t="shared" si="826"/>
        <v>-3256</v>
      </c>
      <c r="P3228" s="12">
        <f t="shared" si="827"/>
        <v>0</v>
      </c>
      <c r="Q3228" s="7">
        <f t="shared" si="816"/>
        <v>5258596.1499999994</v>
      </c>
      <c r="R3228" s="44" t="str">
        <f>VLOOKUP(F3228,'Set up'!$A$2:$E$70,5,FALSE)</f>
        <v>Trsf</v>
      </c>
      <c r="S3228" s="1" t="s">
        <v>3415</v>
      </c>
    </row>
    <row r="3229" spans="1:19" ht="15" customHeight="1" x14ac:dyDescent="0.35">
      <c r="A3229" s="4">
        <v>45556</v>
      </c>
      <c r="B3229" s="5">
        <f t="shared" si="819"/>
        <v>9</v>
      </c>
      <c r="C3229" s="5">
        <f t="shared" si="820"/>
        <v>2024</v>
      </c>
      <c r="D3229" s="5" t="s">
        <v>2950</v>
      </c>
      <c r="E3229" s="5" t="str">
        <f>VLOOKUP(F3229,'Set up'!$A$2:$C$70,2,FALSE)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up'!$A$2:$C$70,3,FALSE)</f>
        <v>Cash</v>
      </c>
      <c r="J3229" s="5">
        <f>VLOOKUP(F3229,'Set up'!$A$2:$D$70,4,FALSE)</f>
        <v>0</v>
      </c>
      <c r="K3229" s="4">
        <f t="shared" si="821"/>
        <v>45556</v>
      </c>
      <c r="L3229" s="5">
        <f t="shared" si="822"/>
        <v>9</v>
      </c>
      <c r="M3229" s="5">
        <f t="shared" si="823"/>
        <v>2024</v>
      </c>
      <c r="N3229" s="12">
        <v>1062</v>
      </c>
      <c r="O3229" s="6">
        <f t="shared" si="826"/>
        <v>-1062</v>
      </c>
      <c r="P3229" s="12">
        <f t="shared" si="827"/>
        <v>0</v>
      </c>
      <c r="Q3229" s="7">
        <f t="shared" si="816"/>
        <v>5259658.1499999994</v>
      </c>
      <c r="R3229" s="44" t="str">
        <f>VLOOKUP(F3229,'Set up'!$A$2:$E$70,5,FALSE)</f>
        <v>Trsf</v>
      </c>
      <c r="S3229" s="1" t="s">
        <v>3416</v>
      </c>
    </row>
    <row r="3230" spans="1:19" ht="15" customHeight="1" x14ac:dyDescent="0.35">
      <c r="A3230" s="4">
        <v>45556</v>
      </c>
      <c r="B3230" s="5">
        <f t="shared" si="819"/>
        <v>9</v>
      </c>
      <c r="C3230" s="5">
        <f t="shared" si="820"/>
        <v>2024</v>
      </c>
      <c r="D3230" s="5" t="s">
        <v>2950</v>
      </c>
      <c r="E3230" s="5" t="str">
        <f>VLOOKUP(F3230,'Set up'!$A$2:$C$70,2,FALSE)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up'!$A$2:$C$70,3,FALSE)</f>
        <v>Cash</v>
      </c>
      <c r="J3230" s="5">
        <f>VLOOKUP(F3230,'Set up'!$A$2:$D$70,4,FALSE)</f>
        <v>0</v>
      </c>
      <c r="K3230" s="4">
        <f t="shared" si="821"/>
        <v>45556</v>
      </c>
      <c r="L3230" s="5">
        <f t="shared" si="822"/>
        <v>9</v>
      </c>
      <c r="M3230" s="5">
        <f t="shared" si="823"/>
        <v>2024</v>
      </c>
      <c r="N3230" s="12">
        <v>238.5</v>
      </c>
      <c r="O3230" s="6">
        <f t="shared" si="826"/>
        <v>-238.5</v>
      </c>
      <c r="P3230" s="12">
        <f t="shared" si="827"/>
        <v>0</v>
      </c>
      <c r="Q3230" s="7">
        <f t="shared" si="816"/>
        <v>5259896.6499999994</v>
      </c>
      <c r="R3230" s="44" t="str">
        <f>VLOOKUP(F3230,'Set up'!$A$2:$E$70,5,FALSE)</f>
        <v>Trsf</v>
      </c>
      <c r="S3230" s="1" t="s">
        <v>3417</v>
      </c>
    </row>
    <row r="3231" spans="1:19" ht="15" customHeight="1" x14ac:dyDescent="0.35">
      <c r="A3231" s="4">
        <v>45556</v>
      </c>
      <c r="B3231" s="5">
        <f t="shared" si="819"/>
        <v>9</v>
      </c>
      <c r="C3231" s="5">
        <f t="shared" si="820"/>
        <v>2024</v>
      </c>
      <c r="D3231" s="5" t="s">
        <v>2950</v>
      </c>
      <c r="E3231" s="5" t="str">
        <f>VLOOKUP(F3231,'Set up'!$A$2:$C$70,2,FALSE)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up'!$A$2:$C$70,3,FALSE)</f>
        <v>Cash</v>
      </c>
      <c r="J3231" s="5">
        <f>VLOOKUP(F3231,'Set up'!$A$2:$D$70,4,FALSE)</f>
        <v>0</v>
      </c>
      <c r="K3231" s="4">
        <f t="shared" si="821"/>
        <v>45556</v>
      </c>
      <c r="L3231" s="5">
        <f t="shared" si="822"/>
        <v>9</v>
      </c>
      <c r="M3231" s="5">
        <f t="shared" si="823"/>
        <v>2024</v>
      </c>
      <c r="N3231" s="12">
        <v>380</v>
      </c>
      <c r="O3231" s="6">
        <f t="shared" si="826"/>
        <v>-380</v>
      </c>
      <c r="P3231" s="12">
        <f t="shared" si="827"/>
        <v>0</v>
      </c>
      <c r="Q3231" s="7">
        <f t="shared" si="816"/>
        <v>5260276.6499999994</v>
      </c>
      <c r="R3231" s="44" t="str">
        <f>VLOOKUP(F3231,'Set up'!$A$2:$E$70,5,FALSE)</f>
        <v>Trsf</v>
      </c>
      <c r="S3231" s="1" t="s">
        <v>3408</v>
      </c>
    </row>
    <row r="3232" spans="1:19" ht="15" customHeight="1" x14ac:dyDescent="0.35">
      <c r="A3232" s="4">
        <v>45558</v>
      </c>
      <c r="B3232" s="5">
        <f t="shared" si="819"/>
        <v>9</v>
      </c>
      <c r="C3232" s="5">
        <f t="shared" si="820"/>
        <v>2024</v>
      </c>
      <c r="D3232" s="5" t="s">
        <v>2952</v>
      </c>
      <c r="E3232" s="5" t="str">
        <f>VLOOKUP(F3232,'Set up'!$A$2:$C$70,2,FALSE)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up'!$A$2:$C$70,3,FALSE)</f>
        <v>Cash</v>
      </c>
      <c r="J3232" s="5">
        <f>VLOOKUP(F3232,'Set up'!$A$2:$D$70,4,FALSE)</f>
        <v>0</v>
      </c>
      <c r="K3232" s="4">
        <f t="shared" si="821"/>
        <v>45558</v>
      </c>
      <c r="L3232" s="5">
        <f t="shared" si="822"/>
        <v>9</v>
      </c>
      <c r="M3232" s="5">
        <f t="shared" si="823"/>
        <v>2024</v>
      </c>
      <c r="N3232" s="12">
        <v>250</v>
      </c>
      <c r="O3232" s="6">
        <f t="shared" si="826"/>
        <v>-250</v>
      </c>
      <c r="P3232" s="12">
        <f t="shared" si="827"/>
        <v>0</v>
      </c>
      <c r="Q3232" s="7">
        <f t="shared" si="816"/>
        <v>5260526.6499999994</v>
      </c>
      <c r="R3232" s="44" t="str">
        <f>VLOOKUP(F3232,'Set up'!$A$2:$E$70,5,FALSE)</f>
        <v>Trsf</v>
      </c>
      <c r="S3232" s="1" t="s">
        <v>3418</v>
      </c>
    </row>
    <row r="3233" spans="1:21" ht="15" customHeight="1" x14ac:dyDescent="0.35">
      <c r="A3233" s="4">
        <v>45558</v>
      </c>
      <c r="B3233" s="5">
        <f t="shared" si="819"/>
        <v>9</v>
      </c>
      <c r="C3233" s="5">
        <f t="shared" si="820"/>
        <v>2024</v>
      </c>
      <c r="D3233" s="5" t="s">
        <v>2953</v>
      </c>
      <c r="E3233" s="5" t="str">
        <f>VLOOKUP(F3233,'Set up'!$A$2:$C$70,2,FALSE)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up'!$A$2:$C$70,3,FALSE)</f>
        <v>Cash</v>
      </c>
      <c r="J3233" s="5">
        <f>VLOOKUP(F3233,'Set up'!$A$2:$D$70,4,FALSE)</f>
        <v>0</v>
      </c>
      <c r="K3233" s="4">
        <f t="shared" si="821"/>
        <v>45558</v>
      </c>
      <c r="L3233" s="5">
        <f t="shared" si="822"/>
        <v>9</v>
      </c>
      <c r="M3233" s="5">
        <f t="shared" si="823"/>
        <v>2024</v>
      </c>
      <c r="N3233" s="12">
        <v>6512</v>
      </c>
      <c r="O3233" s="6">
        <f t="shared" si="826"/>
        <v>-6512</v>
      </c>
      <c r="P3233" s="12">
        <f t="shared" si="827"/>
        <v>0</v>
      </c>
      <c r="Q3233" s="7">
        <f t="shared" si="816"/>
        <v>5267038.6499999994</v>
      </c>
      <c r="R3233" s="44" t="str">
        <f>VLOOKUP(F3233,'Set up'!$A$2:$E$70,5,FALSE)</f>
        <v>Trsf</v>
      </c>
      <c r="S3233" s="1" t="s">
        <v>3419</v>
      </c>
    </row>
    <row r="3234" spans="1:21" ht="15" customHeight="1" x14ac:dyDescent="0.35">
      <c r="A3234" s="4">
        <v>45558</v>
      </c>
      <c r="B3234" s="5">
        <f t="shared" si="819"/>
        <v>9</v>
      </c>
      <c r="C3234" s="5">
        <f t="shared" si="820"/>
        <v>2024</v>
      </c>
      <c r="D3234" s="5" t="s">
        <v>2953</v>
      </c>
      <c r="E3234" s="5" t="str">
        <f>VLOOKUP(F3234,'Set up'!$A$2:$C$70,2,FALSE)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up'!$A$2:$C$70,3,FALSE)</f>
        <v>Cash</v>
      </c>
      <c r="J3234" s="5">
        <f>VLOOKUP(F3234,'Set up'!$A$2:$D$70,4,FALSE)</f>
        <v>0</v>
      </c>
      <c r="K3234" s="4">
        <f t="shared" si="821"/>
        <v>45558</v>
      </c>
      <c r="L3234" s="5">
        <f t="shared" si="822"/>
        <v>9</v>
      </c>
      <c r="M3234" s="5">
        <f t="shared" si="823"/>
        <v>2024</v>
      </c>
      <c r="N3234" s="12">
        <v>2124</v>
      </c>
      <c r="O3234" s="6">
        <f t="shared" si="826"/>
        <v>-2124</v>
      </c>
      <c r="P3234" s="12">
        <f t="shared" si="827"/>
        <v>0</v>
      </c>
      <c r="Q3234" s="7">
        <f t="shared" si="816"/>
        <v>5269162.6499999994</v>
      </c>
      <c r="R3234" s="44" t="str">
        <f>VLOOKUP(F3234,'Set up'!$A$2:$E$70,5,FALSE)</f>
        <v>Trsf</v>
      </c>
      <c r="S3234" s="1" t="s">
        <v>3411</v>
      </c>
    </row>
    <row r="3235" spans="1:21" ht="15" customHeight="1" x14ac:dyDescent="0.35">
      <c r="A3235" s="4">
        <v>45558</v>
      </c>
      <c r="B3235" s="5">
        <f t="shared" si="819"/>
        <v>9</v>
      </c>
      <c r="C3235" s="5">
        <f t="shared" si="820"/>
        <v>2024</v>
      </c>
      <c r="D3235" s="5" t="s">
        <v>2953</v>
      </c>
      <c r="E3235" s="5" t="str">
        <f>VLOOKUP(F3235,'Set up'!$A$2:$C$70,2,FALSE)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up'!$A$2:$C$70,3,FALSE)</f>
        <v>Cash</v>
      </c>
      <c r="J3235" s="5">
        <f>VLOOKUP(F3235,'Set up'!$A$2:$D$70,4,FALSE)</f>
        <v>0</v>
      </c>
      <c r="K3235" s="4">
        <f t="shared" si="821"/>
        <v>45558</v>
      </c>
      <c r="L3235" s="5">
        <f t="shared" si="822"/>
        <v>9</v>
      </c>
      <c r="M3235" s="5">
        <f t="shared" si="823"/>
        <v>2024</v>
      </c>
      <c r="N3235" s="12">
        <v>1431</v>
      </c>
      <c r="O3235" s="6">
        <f t="shared" si="826"/>
        <v>-1431</v>
      </c>
      <c r="P3235" s="12">
        <f t="shared" si="827"/>
        <v>0</v>
      </c>
      <c r="Q3235" s="7">
        <f t="shared" si="816"/>
        <v>5270593.6499999994</v>
      </c>
      <c r="R3235" s="44" t="str">
        <f>VLOOKUP(F3235,'Set up'!$A$2:$E$70,5,FALSE)</f>
        <v>Trsf</v>
      </c>
      <c r="S3235" s="1" t="s">
        <v>3420</v>
      </c>
    </row>
    <row r="3236" spans="1:21" ht="15" customHeight="1" x14ac:dyDescent="0.35">
      <c r="A3236" s="4">
        <v>45558</v>
      </c>
      <c r="B3236" s="5">
        <f t="shared" si="819"/>
        <v>9</v>
      </c>
      <c r="C3236" s="5">
        <f t="shared" si="820"/>
        <v>2024</v>
      </c>
      <c r="D3236" s="5" t="s">
        <v>2953</v>
      </c>
      <c r="E3236" s="5" t="str">
        <f>VLOOKUP(F3236,'Set up'!$A$2:$C$70,2,FALSE)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up'!$A$2:$C$70,3,FALSE)</f>
        <v>Cash</v>
      </c>
      <c r="J3236" s="5">
        <f>VLOOKUP(F3236,'Set up'!$A$2:$D$70,4,FALSE)</f>
        <v>0</v>
      </c>
      <c r="K3236" s="4">
        <f t="shared" si="821"/>
        <v>45558</v>
      </c>
      <c r="L3236" s="5">
        <f t="shared" si="822"/>
        <v>9</v>
      </c>
      <c r="M3236" s="5">
        <f t="shared" si="823"/>
        <v>2024</v>
      </c>
      <c r="N3236" s="12">
        <v>975</v>
      </c>
      <c r="O3236" s="12">
        <f>-957.6-17.4</f>
        <v>-975</v>
      </c>
      <c r="P3236" s="12">
        <f t="shared" si="827"/>
        <v>0</v>
      </c>
      <c r="Q3236" s="7">
        <f t="shared" si="816"/>
        <v>5271568.6499999994</v>
      </c>
      <c r="R3236" s="44" t="str">
        <f>VLOOKUP(F3236,'Set up'!$A$2:$E$70,5,FALSE)</f>
        <v>Trsf</v>
      </c>
      <c r="S3236" s="1" t="s">
        <v>3481</v>
      </c>
    </row>
    <row r="3237" spans="1:21" ht="15" customHeight="1" x14ac:dyDescent="0.35">
      <c r="A3237" s="4">
        <v>45560</v>
      </c>
      <c r="B3237" s="5">
        <f t="shared" si="819"/>
        <v>9</v>
      </c>
      <c r="C3237" s="5">
        <f t="shared" si="820"/>
        <v>2024</v>
      </c>
      <c r="D3237" s="5" t="s">
        <v>2954</v>
      </c>
      <c r="E3237" s="5" t="str">
        <f>VLOOKUP(F3237,'Set up'!$A$2:$C$70,2,FALSE)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up'!$A$2:$C$70,3,FALSE)</f>
        <v>Cash</v>
      </c>
      <c r="J3237" s="5">
        <f>VLOOKUP(F3237,'Set up'!$A$2:$D$70,4,FALSE)</f>
        <v>0</v>
      </c>
      <c r="K3237" s="4">
        <f t="shared" si="821"/>
        <v>45560</v>
      </c>
      <c r="L3237" s="5">
        <f t="shared" si="822"/>
        <v>9</v>
      </c>
      <c r="M3237" s="5">
        <f t="shared" si="823"/>
        <v>2024</v>
      </c>
      <c r="N3237" s="12">
        <v>420</v>
      </c>
      <c r="O3237" s="6">
        <f t="shared" ref="O3237" si="828">-N3237</f>
        <v>-420</v>
      </c>
      <c r="P3237" s="12">
        <f t="shared" si="827"/>
        <v>0</v>
      </c>
      <c r="Q3237" s="7">
        <f t="shared" si="816"/>
        <v>5271988.6499999994</v>
      </c>
      <c r="R3237" s="44" t="str">
        <f>VLOOKUP(F3237,'Set up'!$A$2:$E$70,5,FALSE)</f>
        <v>Cash</v>
      </c>
      <c r="S3237" s="1" t="s">
        <v>2966</v>
      </c>
    </row>
    <row r="3238" spans="1:21" ht="15" customHeight="1" x14ac:dyDescent="0.35">
      <c r="A3238" s="4">
        <v>45561</v>
      </c>
      <c r="B3238" s="5">
        <f t="shared" si="819"/>
        <v>9</v>
      </c>
      <c r="C3238" s="5">
        <f t="shared" si="820"/>
        <v>2024</v>
      </c>
      <c r="D3238" s="5" t="s">
        <v>2955</v>
      </c>
      <c r="E3238" s="5" t="str">
        <f>VLOOKUP(F3238,'Set up'!$A$2:$C$70,2,FALSE)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up'!$A$2:$C$70,3,FALSE)</f>
        <v>Cash</v>
      </c>
      <c r="J3238" s="5">
        <f>VLOOKUP(F3238,'Set up'!$A$2:$D$70,4,FALSE)</f>
        <v>0</v>
      </c>
      <c r="K3238" s="4">
        <f t="shared" si="821"/>
        <v>45561</v>
      </c>
      <c r="L3238" s="5">
        <f t="shared" si="822"/>
        <v>9</v>
      </c>
      <c r="M3238" s="5">
        <f t="shared" si="823"/>
        <v>2024</v>
      </c>
      <c r="N3238" s="98">
        <v>1760</v>
      </c>
      <c r="O3238" s="12"/>
      <c r="P3238" s="12">
        <f t="shared" si="827"/>
        <v>1760</v>
      </c>
      <c r="Q3238" s="7">
        <f t="shared" si="816"/>
        <v>5273748.6499999994</v>
      </c>
      <c r="R3238" s="44" t="str">
        <f>VLOOKUP(F3238,'Set up'!$A$2:$E$70,5,FALSE)</f>
        <v>Trsf</v>
      </c>
    </row>
    <row r="3239" spans="1:21" ht="15" customHeight="1" x14ac:dyDescent="0.35">
      <c r="A3239" s="4">
        <v>45561</v>
      </c>
      <c r="B3239" s="5">
        <f t="shared" si="819"/>
        <v>9</v>
      </c>
      <c r="C3239" s="5">
        <f t="shared" si="820"/>
        <v>2024</v>
      </c>
      <c r="D3239" s="5" t="s">
        <v>2955</v>
      </c>
      <c r="E3239" s="5" t="str">
        <f>VLOOKUP(F3239,'Set up'!$A$2:$C$70,2,FALSE)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up'!$A$2:$C$70,3,FALSE)</f>
        <v>Cash</v>
      </c>
      <c r="J3239" s="5">
        <f>VLOOKUP(F3239,'Set up'!$A$2:$D$70,4,FALSE)</f>
        <v>0</v>
      </c>
      <c r="K3239" s="4">
        <f t="shared" si="821"/>
        <v>45561</v>
      </c>
      <c r="L3239" s="5">
        <f t="shared" si="822"/>
        <v>9</v>
      </c>
      <c r="M3239" s="5">
        <f t="shared" si="823"/>
        <v>2024</v>
      </c>
      <c r="N3239" s="98">
        <v>405</v>
      </c>
      <c r="O3239" s="12"/>
      <c r="P3239" s="12">
        <f t="shared" si="827"/>
        <v>405</v>
      </c>
      <c r="Q3239" s="7">
        <f t="shared" si="816"/>
        <v>5274153.6499999994</v>
      </c>
      <c r="R3239" s="44" t="str">
        <f>VLOOKUP(F3239,'Set up'!$A$2:$E$70,5,FALSE)</f>
        <v>Trsf</v>
      </c>
    </row>
    <row r="3240" spans="1:21" ht="15" customHeight="1" x14ac:dyDescent="0.35">
      <c r="A3240" s="4">
        <v>45561</v>
      </c>
      <c r="B3240" s="5">
        <f t="shared" si="819"/>
        <v>9</v>
      </c>
      <c r="C3240" s="5">
        <f t="shared" si="820"/>
        <v>2024</v>
      </c>
      <c r="D3240" s="5" t="s">
        <v>2955</v>
      </c>
      <c r="E3240" s="5" t="str">
        <f>VLOOKUP(F3240,'Set up'!$A$2:$C$70,2,FALSE)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up'!$A$2:$C$70,3,FALSE)</f>
        <v>Cash</v>
      </c>
      <c r="J3240" s="5">
        <f>VLOOKUP(F3240,'Set up'!$A$2:$D$70,4,FALSE)</f>
        <v>0</v>
      </c>
      <c r="K3240" s="4">
        <f t="shared" si="821"/>
        <v>45561</v>
      </c>
      <c r="L3240" s="5">
        <f t="shared" si="822"/>
        <v>9</v>
      </c>
      <c r="M3240" s="5">
        <f t="shared" si="823"/>
        <v>2024</v>
      </c>
      <c r="N3240" s="98">
        <v>110</v>
      </c>
      <c r="O3240" s="12"/>
      <c r="P3240" s="12">
        <f t="shared" si="827"/>
        <v>110</v>
      </c>
      <c r="Q3240" s="7">
        <f t="shared" si="816"/>
        <v>5274263.6499999994</v>
      </c>
      <c r="R3240" s="44" t="str">
        <f>VLOOKUP(F3240,'Set up'!$A$2:$E$70,5,FALSE)</f>
        <v>Trsf</v>
      </c>
    </row>
    <row r="3241" spans="1:21" ht="15" customHeight="1" x14ac:dyDescent="0.35">
      <c r="A3241" s="4">
        <v>45561</v>
      </c>
      <c r="B3241" s="5">
        <f t="shared" si="819"/>
        <v>9</v>
      </c>
      <c r="C3241" s="5">
        <f t="shared" si="820"/>
        <v>2024</v>
      </c>
      <c r="D3241" s="5" t="s">
        <v>2955</v>
      </c>
      <c r="E3241" s="5" t="str">
        <f>VLOOKUP(F3241,'Set up'!$A$2:$C$70,2,FALSE)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up'!$A$2:$C$70,3,FALSE)</f>
        <v>Cash</v>
      </c>
      <c r="J3241" s="5">
        <f>VLOOKUP(F3241,'Set up'!$A$2:$D$70,4,FALSE)</f>
        <v>0</v>
      </c>
      <c r="K3241" s="4">
        <f t="shared" si="821"/>
        <v>45561</v>
      </c>
      <c r="L3241" s="5">
        <f t="shared" si="822"/>
        <v>9</v>
      </c>
      <c r="M3241" s="5">
        <f t="shared" si="823"/>
        <v>2024</v>
      </c>
      <c r="N3241" s="98">
        <v>390</v>
      </c>
      <c r="O3241" s="12"/>
      <c r="P3241" s="12">
        <f t="shared" si="827"/>
        <v>390</v>
      </c>
      <c r="Q3241" s="7">
        <f t="shared" si="816"/>
        <v>5274653.6499999994</v>
      </c>
      <c r="R3241" s="44" t="str">
        <f>VLOOKUP(F3241,'Set up'!$A$2:$E$70,5,FALSE)</f>
        <v>Trsf</v>
      </c>
    </row>
    <row r="3242" spans="1:21" ht="15" customHeight="1" x14ac:dyDescent="0.35">
      <c r="A3242" s="4">
        <v>45561</v>
      </c>
      <c r="B3242" s="5">
        <f t="shared" si="819"/>
        <v>9</v>
      </c>
      <c r="C3242" s="5">
        <f t="shared" si="820"/>
        <v>2024</v>
      </c>
      <c r="D3242" s="5" t="s">
        <v>2955</v>
      </c>
      <c r="E3242" s="5" t="str">
        <f>VLOOKUP(F3242,'Set up'!$A$2:$C$70,2,FALSE)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up'!$A$2:$C$70,3,FALSE)</f>
        <v>Cash</v>
      </c>
      <c r="J3242" s="5">
        <f>VLOOKUP(F3242,'Set up'!$A$2:$D$70,4,FALSE)</f>
        <v>0</v>
      </c>
      <c r="K3242" s="4">
        <f t="shared" si="821"/>
        <v>45561</v>
      </c>
      <c r="L3242" s="5">
        <f t="shared" si="822"/>
        <v>9</v>
      </c>
      <c r="M3242" s="5">
        <f t="shared" si="823"/>
        <v>2024</v>
      </c>
      <c r="N3242" s="98">
        <v>283.8</v>
      </c>
      <c r="O3242" s="12"/>
      <c r="P3242" s="12">
        <f t="shared" si="827"/>
        <v>283.8</v>
      </c>
      <c r="Q3242" s="7">
        <f t="shared" si="816"/>
        <v>5274937.4499999993</v>
      </c>
      <c r="R3242" s="44" t="str">
        <f>VLOOKUP(F3242,'Set up'!$A$2:$E$70,5,FALSE)</f>
        <v>Trsf</v>
      </c>
    </row>
    <row r="3243" spans="1:21" ht="15" customHeight="1" x14ac:dyDescent="0.35">
      <c r="A3243" s="4">
        <v>45561</v>
      </c>
      <c r="B3243" s="5">
        <f t="shared" si="819"/>
        <v>9</v>
      </c>
      <c r="C3243" s="5">
        <f t="shared" si="820"/>
        <v>2024</v>
      </c>
      <c r="D3243" s="5" t="s">
        <v>2955</v>
      </c>
      <c r="E3243" s="5" t="str">
        <f>VLOOKUP(F3243,'Set up'!$A$2:$C$70,2,FALSE)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up'!$A$2:$C$70,3,FALSE)</f>
        <v>Cash</v>
      </c>
      <c r="J3243" s="5">
        <f>VLOOKUP(F3243,'Set up'!$A$2:$D$70,4,FALSE)</f>
        <v>0</v>
      </c>
      <c r="K3243" s="4">
        <f t="shared" si="821"/>
        <v>45561</v>
      </c>
      <c r="L3243" s="5">
        <f t="shared" si="822"/>
        <v>9</v>
      </c>
      <c r="M3243" s="5">
        <f t="shared" si="823"/>
        <v>2024</v>
      </c>
      <c r="N3243" s="98">
        <v>150</v>
      </c>
      <c r="O3243" s="12"/>
      <c r="P3243" s="12">
        <f t="shared" si="827"/>
        <v>150</v>
      </c>
      <c r="Q3243" s="7">
        <f t="shared" si="816"/>
        <v>5275087.4499999993</v>
      </c>
      <c r="R3243" s="44" t="str">
        <f>VLOOKUP(F3243,'Set up'!$A$2:$E$70,5,FALSE)</f>
        <v>Trsf</v>
      </c>
    </row>
    <row r="3244" spans="1:21" ht="15" customHeight="1" x14ac:dyDescent="0.35">
      <c r="A3244" s="4">
        <v>45561</v>
      </c>
      <c r="B3244" s="5">
        <f t="shared" si="819"/>
        <v>9</v>
      </c>
      <c r="C3244" s="5">
        <f t="shared" si="820"/>
        <v>2024</v>
      </c>
      <c r="D3244" s="5" t="s">
        <v>2955</v>
      </c>
      <c r="E3244" s="5" t="str">
        <f>VLOOKUP(F3244,'Set up'!$A$2:$C$70,2,FALSE)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up'!$A$2:$C$70,3,FALSE)</f>
        <v>Cash</v>
      </c>
      <c r="J3244" s="5">
        <f>VLOOKUP(F3244,'Set up'!$A$2:$D$70,4,FALSE)</f>
        <v>0</v>
      </c>
      <c r="K3244" s="4">
        <f t="shared" si="821"/>
        <v>45561</v>
      </c>
      <c r="L3244" s="5">
        <f t="shared" si="822"/>
        <v>9</v>
      </c>
      <c r="M3244" s="5">
        <f t="shared" si="823"/>
        <v>2024</v>
      </c>
      <c r="N3244" s="98">
        <v>260</v>
      </c>
      <c r="O3244" s="12"/>
      <c r="P3244" s="12">
        <f t="shared" si="827"/>
        <v>260</v>
      </c>
      <c r="Q3244" s="7">
        <f t="shared" si="816"/>
        <v>5275347.4499999993</v>
      </c>
      <c r="R3244" s="44" t="str">
        <f>VLOOKUP(F3244,'Set up'!$A$2:$E$70,5,FALSE)</f>
        <v>Trsf</v>
      </c>
    </row>
    <row r="3245" spans="1:21" ht="15" customHeight="1" x14ac:dyDescent="0.35">
      <c r="A3245" s="4">
        <v>45561</v>
      </c>
      <c r="B3245" s="5">
        <f t="shared" si="819"/>
        <v>9</v>
      </c>
      <c r="C3245" s="5">
        <f t="shared" si="820"/>
        <v>2024</v>
      </c>
      <c r="D3245" s="5" t="s">
        <v>2956</v>
      </c>
      <c r="E3245" s="5" t="str">
        <f>VLOOKUP(F3245,'Set up'!$A$2:$C$70,2,FALSE)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up'!$A$2:$C$70,3,FALSE)</f>
        <v>45</v>
      </c>
      <c r="J3245" s="5">
        <f>VLOOKUP(F3245,'Set up'!$A$2:$D$70,4,FALSE)</f>
        <v>45</v>
      </c>
      <c r="K3245" s="4">
        <f t="shared" si="821"/>
        <v>45606</v>
      </c>
      <c r="L3245" s="5">
        <f t="shared" si="822"/>
        <v>11</v>
      </c>
      <c r="M3245" s="5">
        <f t="shared" si="823"/>
        <v>2024</v>
      </c>
      <c r="N3245" s="12">
        <v>1738</v>
      </c>
      <c r="O3245" s="12">
        <f>-1000-738</f>
        <v>-1738</v>
      </c>
      <c r="P3245" s="12">
        <f t="shared" si="827"/>
        <v>0</v>
      </c>
      <c r="Q3245" s="7">
        <f t="shared" si="816"/>
        <v>5277085.4499999993</v>
      </c>
      <c r="R3245" s="44" t="str">
        <f>VLOOKUP(F3245,'Set up'!$A$2:$E$70,5,FALSE)</f>
        <v>PD Chq</v>
      </c>
      <c r="S3245" s="1" t="s">
        <v>3207</v>
      </c>
      <c r="U3245" s="1" t="s">
        <v>3603</v>
      </c>
    </row>
    <row r="3246" spans="1:21" ht="15" customHeight="1" x14ac:dyDescent="0.35">
      <c r="A3246" s="4">
        <v>45561</v>
      </c>
      <c r="B3246" s="5">
        <f t="shared" si="819"/>
        <v>9</v>
      </c>
      <c r="C3246" s="5">
        <f t="shared" si="820"/>
        <v>2024</v>
      </c>
      <c r="D3246" s="5" t="s">
        <v>2956</v>
      </c>
      <c r="E3246" s="5" t="str">
        <f>VLOOKUP(F3246,'Set up'!$A$2:$C$70,2,FALSE)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up'!$A$2:$C$70,3,FALSE)</f>
        <v>45</v>
      </c>
      <c r="J3246" s="5">
        <f>VLOOKUP(F3246,'Set up'!$A$2:$D$70,4,FALSE)</f>
        <v>45</v>
      </c>
      <c r="K3246" s="4">
        <f t="shared" si="821"/>
        <v>45606</v>
      </c>
      <c r="L3246" s="5">
        <f t="shared" si="822"/>
        <v>11</v>
      </c>
      <c r="M3246" s="5">
        <f t="shared" si="823"/>
        <v>2024</v>
      </c>
      <c r="N3246" s="12">
        <v>220</v>
      </c>
      <c r="O3246" s="6">
        <f>-N3246</f>
        <v>-220</v>
      </c>
      <c r="P3246" s="12">
        <f t="shared" si="827"/>
        <v>0</v>
      </c>
      <c r="Q3246" s="7">
        <f t="shared" si="816"/>
        <v>5277305.4499999993</v>
      </c>
      <c r="R3246" s="44" t="str">
        <f>VLOOKUP(F3246,'Set up'!$A$2:$E$70,5,FALSE)</f>
        <v>PD Chq</v>
      </c>
      <c r="S3246" s="1" t="s">
        <v>3208</v>
      </c>
      <c r="U3246" s="1" t="s">
        <v>3603</v>
      </c>
    </row>
    <row r="3247" spans="1:21" ht="15" customHeight="1" x14ac:dyDescent="0.35">
      <c r="A3247" s="4">
        <v>45561</v>
      </c>
      <c r="B3247" s="5">
        <f t="shared" si="819"/>
        <v>9</v>
      </c>
      <c r="C3247" s="5">
        <f t="shared" si="820"/>
        <v>2024</v>
      </c>
      <c r="D3247" s="5" t="s">
        <v>2956</v>
      </c>
      <c r="E3247" s="5" t="str">
        <f>VLOOKUP(F3247,'Set up'!$A$2:$C$70,2,FALSE)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up'!$A$2:$C$70,3,FALSE)</f>
        <v>45</v>
      </c>
      <c r="J3247" s="5">
        <f>VLOOKUP(F3247,'Set up'!$A$2:$D$70,4,FALSE)</f>
        <v>45</v>
      </c>
      <c r="K3247" s="4">
        <f t="shared" si="821"/>
        <v>45606</v>
      </c>
      <c r="L3247" s="5">
        <f t="shared" si="822"/>
        <v>11</v>
      </c>
      <c r="M3247" s="5">
        <f t="shared" si="823"/>
        <v>2024</v>
      </c>
      <c r="N3247" s="12">
        <v>195</v>
      </c>
      <c r="O3247" s="6">
        <f>-N3247</f>
        <v>-195</v>
      </c>
      <c r="P3247" s="12">
        <f t="shared" si="827"/>
        <v>0</v>
      </c>
      <c r="Q3247" s="7">
        <f t="shared" si="816"/>
        <v>5277500.4499999993</v>
      </c>
      <c r="R3247" s="44" t="str">
        <f>VLOOKUP(F3247,'Set up'!$A$2:$E$70,5,FALSE)</f>
        <v>PD Chq</v>
      </c>
      <c r="S3247" s="1" t="s">
        <v>3209</v>
      </c>
      <c r="U3247" s="1" t="s">
        <v>3603</v>
      </c>
    </row>
    <row r="3248" spans="1:21" ht="15" customHeight="1" x14ac:dyDescent="0.35">
      <c r="A3248" s="4">
        <v>45563</v>
      </c>
      <c r="B3248" s="5">
        <f t="shared" si="819"/>
        <v>9</v>
      </c>
      <c r="C3248" s="5">
        <f t="shared" si="820"/>
        <v>2024</v>
      </c>
      <c r="D3248" s="5" t="s">
        <v>2957</v>
      </c>
      <c r="E3248" s="5" t="str">
        <f>VLOOKUP(F3248,'Set up'!$A$2:$C$70,2,FALSE)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up'!$A$2:$C$70,3,FALSE)</f>
        <v>Cash</v>
      </c>
      <c r="J3248" s="5">
        <f>VLOOKUP(F3248,'Set up'!$A$2:$D$70,4,FALSE)</f>
        <v>0</v>
      </c>
      <c r="K3248" s="4">
        <f t="shared" si="821"/>
        <v>45563</v>
      </c>
      <c r="L3248" s="5">
        <f t="shared" si="822"/>
        <v>9</v>
      </c>
      <c r="M3248" s="5">
        <f t="shared" si="823"/>
        <v>2024</v>
      </c>
      <c r="N3248" s="12">
        <v>812.5</v>
      </c>
      <c r="O3248" s="6">
        <f t="shared" ref="O3248" si="829">-N3248</f>
        <v>-812.5</v>
      </c>
      <c r="P3248" s="12">
        <f t="shared" si="827"/>
        <v>0</v>
      </c>
      <c r="Q3248" s="7">
        <f t="shared" si="816"/>
        <v>5278312.9499999993</v>
      </c>
      <c r="R3248" s="44" t="str">
        <f>VLOOKUP(F3248,'Set up'!$A$2:$E$70,5,FALSE)</f>
        <v>Trsf</v>
      </c>
      <c r="S3248" s="1" t="s">
        <v>3482</v>
      </c>
    </row>
    <row r="3249" spans="1:19" ht="15" customHeight="1" x14ac:dyDescent="0.35">
      <c r="A3249" s="4">
        <v>45563</v>
      </c>
      <c r="B3249" s="5">
        <f t="shared" si="819"/>
        <v>9</v>
      </c>
      <c r="C3249" s="5">
        <f t="shared" si="820"/>
        <v>2024</v>
      </c>
      <c r="D3249" s="5" t="s">
        <v>2958</v>
      </c>
      <c r="E3249" s="5" t="str">
        <f>VLOOKUP(F3249,'Set up'!$A$2:$C$70,2,FALSE)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up'!$A$2:$C$70,3,FALSE)</f>
        <v>Cash</v>
      </c>
      <c r="J3249" s="5">
        <f>VLOOKUP(F3249,'Set up'!$A$2:$D$70,4,FALSE)</f>
        <v>0</v>
      </c>
      <c r="K3249" s="4">
        <f t="shared" si="821"/>
        <v>45563</v>
      </c>
      <c r="L3249" s="5">
        <f t="shared" si="822"/>
        <v>9</v>
      </c>
      <c r="M3249" s="5">
        <f t="shared" si="823"/>
        <v>2024</v>
      </c>
      <c r="N3249" s="12">
        <v>20878</v>
      </c>
      <c r="O3249" s="12">
        <f>-15170.1-5707.9</f>
        <v>-20878</v>
      </c>
      <c r="P3249" s="12">
        <f t="shared" si="827"/>
        <v>0</v>
      </c>
      <c r="Q3249" s="7">
        <f t="shared" si="816"/>
        <v>5299190.9499999993</v>
      </c>
      <c r="R3249" s="44" t="str">
        <f>VLOOKUP(F3249,'Set up'!$A$2:$E$70,5,FALSE)</f>
        <v>Trsf</v>
      </c>
      <c r="S3249" s="1" t="s">
        <v>3483</v>
      </c>
    </row>
    <row r="3250" spans="1:19" ht="15" customHeight="1" x14ac:dyDescent="0.35">
      <c r="A3250" s="4">
        <v>45563</v>
      </c>
      <c r="B3250" s="5">
        <f t="shared" si="819"/>
        <v>9</v>
      </c>
      <c r="C3250" s="5">
        <f t="shared" si="820"/>
        <v>2024</v>
      </c>
      <c r="D3250" s="5" t="s">
        <v>2958</v>
      </c>
      <c r="E3250" s="5" t="str">
        <f>VLOOKUP(F3250,'Set up'!$A$2:$C$70,2,FALSE)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up'!$A$2:$C$70,3,FALSE)</f>
        <v>Cash</v>
      </c>
      <c r="J3250" s="5">
        <f>VLOOKUP(F3250,'Set up'!$A$2:$D$70,4,FALSE)</f>
        <v>0</v>
      </c>
      <c r="K3250" s="4">
        <f t="shared" si="821"/>
        <v>45563</v>
      </c>
      <c r="L3250" s="5">
        <f t="shared" si="822"/>
        <v>9</v>
      </c>
      <c r="M3250" s="5">
        <f t="shared" si="823"/>
        <v>2024</v>
      </c>
      <c r="N3250" s="12">
        <v>6726</v>
      </c>
      <c r="O3250" s="6">
        <f t="shared" ref="O3250:O3253" si="830">-N3250</f>
        <v>-6726</v>
      </c>
      <c r="P3250" s="12">
        <f t="shared" si="827"/>
        <v>0</v>
      </c>
      <c r="Q3250" s="7">
        <f t="shared" ref="Q3250:Q3311" si="831">SUM(Q3249+N3250)</f>
        <v>5305916.9499999993</v>
      </c>
      <c r="R3250" s="44" t="str">
        <f>VLOOKUP(F3250,'Set up'!$A$2:$E$70,5,FALSE)</f>
        <v>Trsf</v>
      </c>
      <c r="S3250" s="1" t="s">
        <v>3484</v>
      </c>
    </row>
    <row r="3251" spans="1:19" ht="15" customHeight="1" x14ac:dyDescent="0.35">
      <c r="A3251" s="4">
        <v>45563</v>
      </c>
      <c r="B3251" s="5">
        <f t="shared" si="819"/>
        <v>9</v>
      </c>
      <c r="C3251" s="5">
        <f t="shared" si="820"/>
        <v>2024</v>
      </c>
      <c r="D3251" s="5" t="s">
        <v>2958</v>
      </c>
      <c r="E3251" s="5" t="str">
        <f>VLOOKUP(F3251,'Set up'!$A$2:$C$70,2,FALSE)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up'!$A$2:$C$70,3,FALSE)</f>
        <v>Cash</v>
      </c>
      <c r="J3251" s="5">
        <f>VLOOKUP(F3251,'Set up'!$A$2:$D$70,4,FALSE)</f>
        <v>0</v>
      </c>
      <c r="K3251" s="4">
        <f t="shared" si="821"/>
        <v>45563</v>
      </c>
      <c r="L3251" s="5">
        <f t="shared" si="822"/>
        <v>9</v>
      </c>
      <c r="M3251" s="5">
        <f t="shared" si="823"/>
        <v>2024</v>
      </c>
      <c r="N3251" s="12">
        <v>4770</v>
      </c>
      <c r="O3251" s="6">
        <f t="shared" si="830"/>
        <v>-4770</v>
      </c>
      <c r="P3251" s="12">
        <f t="shared" si="827"/>
        <v>0</v>
      </c>
      <c r="Q3251" s="7">
        <f t="shared" si="831"/>
        <v>5310686.9499999993</v>
      </c>
      <c r="R3251" s="44" t="str">
        <f>VLOOKUP(F3251,'Set up'!$A$2:$E$70,5,FALSE)</f>
        <v>Trsf</v>
      </c>
      <c r="S3251" s="1" t="s">
        <v>3485</v>
      </c>
    </row>
    <row r="3252" spans="1:19" ht="15" customHeight="1" x14ac:dyDescent="0.35">
      <c r="A3252" s="4">
        <v>45563</v>
      </c>
      <c r="B3252" s="5">
        <f t="shared" si="819"/>
        <v>9</v>
      </c>
      <c r="C3252" s="5">
        <f t="shared" si="820"/>
        <v>2024</v>
      </c>
      <c r="D3252" s="5" t="s">
        <v>2958</v>
      </c>
      <c r="E3252" s="5" t="str">
        <f>VLOOKUP(F3252,'Set up'!$A$2:$C$70,2,FALSE)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up'!$A$2:$C$70,3,FALSE)</f>
        <v>Cash</v>
      </c>
      <c r="J3252" s="5">
        <f>VLOOKUP(F3252,'Set up'!$A$2:$D$70,4,FALSE)</f>
        <v>0</v>
      </c>
      <c r="K3252" s="4">
        <f t="shared" si="821"/>
        <v>45563</v>
      </c>
      <c r="L3252" s="5">
        <f t="shared" si="822"/>
        <v>9</v>
      </c>
      <c r="M3252" s="5">
        <f t="shared" si="823"/>
        <v>2024</v>
      </c>
      <c r="N3252" s="12">
        <v>380</v>
      </c>
      <c r="O3252" s="6">
        <f t="shared" si="830"/>
        <v>-380</v>
      </c>
      <c r="P3252" s="12">
        <f t="shared" si="827"/>
        <v>0</v>
      </c>
      <c r="Q3252" s="7">
        <f t="shared" si="831"/>
        <v>5311066.9499999993</v>
      </c>
      <c r="R3252" s="44" t="str">
        <f>VLOOKUP(F3252,'Set up'!$A$2:$E$70,5,FALSE)</f>
        <v>Trsf</v>
      </c>
      <c r="S3252" s="1" t="s">
        <v>3486</v>
      </c>
    </row>
    <row r="3253" spans="1:19" ht="15" customHeight="1" x14ac:dyDescent="0.35">
      <c r="A3253" s="4">
        <v>45563</v>
      </c>
      <c r="B3253" s="5">
        <f t="shared" si="819"/>
        <v>9</v>
      </c>
      <c r="C3253" s="5">
        <f t="shared" si="820"/>
        <v>2024</v>
      </c>
      <c r="D3253" s="5" t="s">
        <v>2958</v>
      </c>
      <c r="E3253" s="5" t="str">
        <f>VLOOKUP(F3253,'Set up'!$A$2:$C$70,2,FALSE)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up'!$A$2:$C$70,3,FALSE)</f>
        <v>Cash</v>
      </c>
      <c r="J3253" s="5">
        <f>VLOOKUP(F3253,'Set up'!$A$2:$D$70,4,FALSE)</f>
        <v>0</v>
      </c>
      <c r="K3253" s="4">
        <f t="shared" si="821"/>
        <v>45563</v>
      </c>
      <c r="L3253" s="5">
        <f t="shared" si="822"/>
        <v>9</v>
      </c>
      <c r="M3253" s="5">
        <f t="shared" si="823"/>
        <v>2024</v>
      </c>
      <c r="N3253" s="12">
        <v>2000</v>
      </c>
      <c r="O3253" s="6">
        <f t="shared" si="830"/>
        <v>-2000</v>
      </c>
      <c r="P3253" s="12">
        <f t="shared" si="827"/>
        <v>0</v>
      </c>
      <c r="Q3253" s="7">
        <f t="shared" si="831"/>
        <v>5313066.9499999993</v>
      </c>
      <c r="R3253" s="44" t="str">
        <f>VLOOKUP(F3253,'Set up'!$A$2:$E$70,5,FALSE)</f>
        <v>Trsf</v>
      </c>
      <c r="S3253" s="1" t="s">
        <v>3487</v>
      </c>
    </row>
    <row r="3254" spans="1:19" ht="15" customHeight="1" x14ac:dyDescent="0.35">
      <c r="A3254" s="4">
        <v>45565</v>
      </c>
      <c r="B3254" s="5">
        <f t="shared" si="819"/>
        <v>9</v>
      </c>
      <c r="C3254" s="5">
        <f t="shared" si="820"/>
        <v>2024</v>
      </c>
      <c r="D3254" s="5" t="s">
        <v>2959</v>
      </c>
      <c r="E3254" s="5" t="str">
        <f>VLOOKUP(F3254,'Set up'!$A$2:$C$70,2,FALSE)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up'!$A$2:$C$70,3,FALSE)</f>
        <v>Cash</v>
      </c>
      <c r="J3254" s="5">
        <f>VLOOKUP(F3254,'Set up'!$A$2:$D$70,4,FALSE)</f>
        <v>0</v>
      </c>
      <c r="K3254" s="4">
        <f t="shared" si="821"/>
        <v>45565</v>
      </c>
      <c r="L3254" s="5">
        <f t="shared" si="822"/>
        <v>9</v>
      </c>
      <c r="M3254" s="5">
        <f t="shared" si="823"/>
        <v>2024</v>
      </c>
      <c r="N3254" s="12">
        <v>1672</v>
      </c>
      <c r="O3254" s="6">
        <f t="shared" ref="O3254" si="832">-N3254</f>
        <v>-1672</v>
      </c>
      <c r="P3254" s="12">
        <f t="shared" si="827"/>
        <v>0</v>
      </c>
      <c r="Q3254" s="7">
        <f t="shared" si="831"/>
        <v>5314738.9499999993</v>
      </c>
      <c r="R3254" s="44" t="str">
        <f>VLOOKUP(F3254,'Set up'!$A$2:$E$70,5,FALSE)</f>
        <v>Cash</v>
      </c>
      <c r="S3254" s="1" t="s">
        <v>3053</v>
      </c>
    </row>
    <row r="3255" spans="1:19" ht="15" customHeight="1" x14ac:dyDescent="0.35">
      <c r="A3255" s="4">
        <v>45565</v>
      </c>
      <c r="B3255" s="5">
        <f t="shared" si="819"/>
        <v>9</v>
      </c>
      <c r="C3255" s="5">
        <f t="shared" si="820"/>
        <v>2024</v>
      </c>
      <c r="D3255" s="5" t="s">
        <v>2959</v>
      </c>
      <c r="E3255" s="5" t="str">
        <f>VLOOKUP(F3255,'Set up'!$A$2:$C$70,2,FALSE)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up'!$A$2:$C$70,3,FALSE)</f>
        <v>Cash</v>
      </c>
      <c r="J3255" s="5">
        <f>VLOOKUP(F3255,'Set up'!$A$2:$D$70,4,FALSE)</f>
        <v>0</v>
      </c>
      <c r="K3255" s="4">
        <f t="shared" si="821"/>
        <v>45565</v>
      </c>
      <c r="L3255" s="5">
        <f t="shared" si="822"/>
        <v>9</v>
      </c>
      <c r="M3255" s="5">
        <f t="shared" si="823"/>
        <v>2024</v>
      </c>
      <c r="N3255" s="12">
        <v>420</v>
      </c>
      <c r="O3255" s="12">
        <f>-328-92</f>
        <v>-420</v>
      </c>
      <c r="P3255" s="12">
        <f t="shared" si="827"/>
        <v>0</v>
      </c>
      <c r="Q3255" s="7">
        <f t="shared" si="831"/>
        <v>5315158.9499999993</v>
      </c>
      <c r="R3255" s="44" t="str">
        <f>VLOOKUP(F3255,'Set up'!$A$2:$E$70,5,FALSE)</f>
        <v>Cash</v>
      </c>
      <c r="S3255" s="1" t="s">
        <v>3055</v>
      </c>
    </row>
    <row r="3256" spans="1:19" ht="15" customHeight="1" x14ac:dyDescent="0.35">
      <c r="A3256" s="4">
        <v>45569</v>
      </c>
      <c r="B3256" s="5">
        <f t="shared" si="819"/>
        <v>10</v>
      </c>
      <c r="C3256" s="5">
        <f t="shared" si="820"/>
        <v>2024</v>
      </c>
      <c r="D3256" s="5" t="s">
        <v>3007</v>
      </c>
      <c r="E3256" s="5" t="str">
        <f>VLOOKUP(F3256,'Set up'!$A$2:$C$70,2,FALSE)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up'!$A$2:$C$70,3,FALSE)</f>
        <v>Cash</v>
      </c>
      <c r="J3256" s="5">
        <f>VLOOKUP(F3256,'Set up'!$A$2:$D$70,4,FALSE)</f>
        <v>0</v>
      </c>
      <c r="K3256" s="4">
        <f t="shared" si="821"/>
        <v>45569</v>
      </c>
      <c r="L3256" s="5">
        <f t="shared" si="822"/>
        <v>10</v>
      </c>
      <c r="M3256" s="5">
        <f t="shared" si="823"/>
        <v>2024</v>
      </c>
      <c r="N3256" s="12">
        <v>1000</v>
      </c>
      <c r="O3256" s="6">
        <f t="shared" ref="O3256" si="833">-N3256</f>
        <v>-1000</v>
      </c>
      <c r="P3256" s="12">
        <f t="shared" si="827"/>
        <v>0</v>
      </c>
      <c r="Q3256" s="7">
        <f t="shared" si="831"/>
        <v>5316158.9499999993</v>
      </c>
      <c r="R3256" s="44" t="str">
        <f>VLOOKUP(F3256,'Set up'!$A$2:$E$70,5,FALSE)</f>
        <v>Trsf</v>
      </c>
      <c r="S3256" s="1" t="s">
        <v>3488</v>
      </c>
    </row>
    <row r="3257" spans="1:19" ht="15" customHeight="1" x14ac:dyDescent="0.35">
      <c r="A3257" s="4">
        <v>45573</v>
      </c>
      <c r="B3257" s="5">
        <f t="shared" si="819"/>
        <v>10</v>
      </c>
      <c r="C3257" s="5">
        <f t="shared" si="820"/>
        <v>2024</v>
      </c>
      <c r="D3257" s="5" t="s">
        <v>3008</v>
      </c>
      <c r="E3257" s="5" t="str">
        <f>VLOOKUP(F3257,'Set up'!$A$2:$C$70,2,FALSE)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up'!$A$2:$C$70,3,FALSE)</f>
        <v>Cash</v>
      </c>
      <c r="J3257" s="5">
        <f>VLOOKUP(F3257,'Set up'!$A$2:$D$70,4,FALSE)</f>
        <v>0</v>
      </c>
      <c r="K3257" s="4">
        <f t="shared" si="821"/>
        <v>45573</v>
      </c>
      <c r="L3257" s="5">
        <f t="shared" si="822"/>
        <v>10</v>
      </c>
      <c r="M3257" s="5">
        <f t="shared" si="823"/>
        <v>2024</v>
      </c>
      <c r="N3257" s="12">
        <v>1738</v>
      </c>
      <c r="O3257" s="6">
        <f t="shared" ref="O3257:O3263" si="834">-N3257</f>
        <v>-1738</v>
      </c>
      <c r="P3257" s="12">
        <f t="shared" si="827"/>
        <v>0</v>
      </c>
      <c r="Q3257" s="7">
        <f t="shared" si="831"/>
        <v>5317896.9499999993</v>
      </c>
      <c r="R3257" s="44" t="str">
        <f>VLOOKUP(F3257,'Set up'!$A$2:$E$70,5,FALSE)</f>
        <v>Cash</v>
      </c>
      <c r="S3257" s="1" t="s">
        <v>3050</v>
      </c>
    </row>
    <row r="3258" spans="1:19" ht="15" customHeight="1" x14ac:dyDescent="0.35">
      <c r="A3258" s="4">
        <v>45573</v>
      </c>
      <c r="B3258" s="5">
        <f t="shared" si="819"/>
        <v>10</v>
      </c>
      <c r="C3258" s="5">
        <f t="shared" si="820"/>
        <v>2024</v>
      </c>
      <c r="D3258" s="5" t="s">
        <v>3008</v>
      </c>
      <c r="E3258" s="5" t="str">
        <f>VLOOKUP(F3258,'Set up'!$A$2:$C$70,2,FALSE)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up'!$A$2:$C$70,3,FALSE)</f>
        <v>Cash</v>
      </c>
      <c r="J3258" s="5">
        <f>VLOOKUP(F3258,'Set up'!$A$2:$D$70,4,FALSE)</f>
        <v>0</v>
      </c>
      <c r="K3258" s="4">
        <f t="shared" si="821"/>
        <v>45573</v>
      </c>
      <c r="L3258" s="5">
        <f t="shared" si="822"/>
        <v>10</v>
      </c>
      <c r="M3258" s="5">
        <f t="shared" si="823"/>
        <v>2024</v>
      </c>
      <c r="N3258" s="12">
        <v>555</v>
      </c>
      <c r="O3258" s="6">
        <f t="shared" si="834"/>
        <v>-555</v>
      </c>
      <c r="P3258" s="12">
        <f t="shared" si="827"/>
        <v>0</v>
      </c>
      <c r="Q3258" s="7">
        <f t="shared" si="831"/>
        <v>5318451.9499999993</v>
      </c>
      <c r="R3258" s="44" t="str">
        <f>VLOOKUP(F3258,'Set up'!$A$2:$E$70,5,FALSE)</f>
        <v>Cash</v>
      </c>
      <c r="S3258" s="1" t="s">
        <v>3050</v>
      </c>
    </row>
    <row r="3259" spans="1:19" ht="15" customHeight="1" x14ac:dyDescent="0.35">
      <c r="A3259" s="4">
        <v>45573</v>
      </c>
      <c r="B3259" s="5">
        <f t="shared" si="819"/>
        <v>10</v>
      </c>
      <c r="C3259" s="5">
        <f t="shared" si="820"/>
        <v>2024</v>
      </c>
      <c r="D3259" s="5" t="s">
        <v>3008</v>
      </c>
      <c r="E3259" s="5" t="str">
        <f>VLOOKUP(F3259,'Set up'!$A$2:$C$70,2,FALSE)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up'!$A$2:$C$70,3,FALSE)</f>
        <v>Cash</v>
      </c>
      <c r="J3259" s="5">
        <f>VLOOKUP(F3259,'Set up'!$A$2:$D$70,4,FALSE)</f>
        <v>0</v>
      </c>
      <c r="K3259" s="4">
        <f t="shared" si="821"/>
        <v>45573</v>
      </c>
      <c r="L3259" s="5">
        <f t="shared" si="822"/>
        <v>10</v>
      </c>
      <c r="M3259" s="5">
        <f t="shared" si="823"/>
        <v>2024</v>
      </c>
      <c r="N3259" s="12">
        <v>95</v>
      </c>
      <c r="O3259" s="6">
        <f t="shared" si="834"/>
        <v>-95</v>
      </c>
      <c r="P3259" s="12">
        <f t="shared" si="827"/>
        <v>0</v>
      </c>
      <c r="Q3259" s="7">
        <f t="shared" si="831"/>
        <v>5318546.9499999993</v>
      </c>
      <c r="R3259" s="44" t="str">
        <f>VLOOKUP(F3259,'Set up'!$A$2:$E$70,5,FALSE)</f>
        <v>Cash</v>
      </c>
      <c r="S3259" s="1" t="s">
        <v>3050</v>
      </c>
    </row>
    <row r="3260" spans="1:19" ht="15" customHeight="1" x14ac:dyDescent="0.35">
      <c r="A3260" s="4">
        <v>45574</v>
      </c>
      <c r="B3260" s="5">
        <f t="shared" si="819"/>
        <v>10</v>
      </c>
      <c r="C3260" s="5">
        <f t="shared" si="820"/>
        <v>2024</v>
      </c>
      <c r="D3260" s="5" t="s">
        <v>3009</v>
      </c>
      <c r="E3260" s="5" t="str">
        <f>VLOOKUP(F3260,'Set up'!$A$2:$C$70,2,FALSE)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up'!$A$2:$C$70,3,FALSE)</f>
        <v>Cash</v>
      </c>
      <c r="J3260" s="5">
        <f>VLOOKUP(F3260,'Set up'!$A$2:$D$70,4,FALSE)</f>
        <v>0</v>
      </c>
      <c r="K3260" s="4">
        <f t="shared" si="821"/>
        <v>45574</v>
      </c>
      <c r="L3260" s="5">
        <f t="shared" si="822"/>
        <v>10</v>
      </c>
      <c r="M3260" s="5">
        <f t="shared" si="823"/>
        <v>2024</v>
      </c>
      <c r="N3260" s="12">
        <v>62.5</v>
      </c>
      <c r="O3260" s="6">
        <f t="shared" si="834"/>
        <v>-62.5</v>
      </c>
      <c r="P3260" s="12">
        <f t="shared" si="827"/>
        <v>0</v>
      </c>
      <c r="Q3260" s="7">
        <f t="shared" si="831"/>
        <v>5318609.4499999993</v>
      </c>
      <c r="R3260" s="44" t="str">
        <f>VLOOKUP(F3260,'Set up'!$A$2:$E$70,5,FALSE)</f>
        <v>Trsf</v>
      </c>
      <c r="S3260" s="1" t="s">
        <v>3489</v>
      </c>
    </row>
    <row r="3261" spans="1:19" ht="15" customHeight="1" x14ac:dyDescent="0.35">
      <c r="A3261" s="4">
        <v>45574</v>
      </c>
      <c r="B3261" s="5">
        <f t="shared" si="819"/>
        <v>10</v>
      </c>
      <c r="C3261" s="5">
        <f t="shared" si="820"/>
        <v>2024</v>
      </c>
      <c r="D3261" s="5" t="s">
        <v>3010</v>
      </c>
      <c r="E3261" s="5" t="str">
        <f>VLOOKUP(F3261,'Set up'!$A$2:$C$70,2,FALSE)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up'!$A$2:$C$70,3,FALSE)</f>
        <v>Cash</v>
      </c>
      <c r="J3261" s="5">
        <f>VLOOKUP(F3261,'Set up'!$A$2:$D$70,4,FALSE)</f>
        <v>0</v>
      </c>
      <c r="K3261" s="4">
        <f t="shared" si="821"/>
        <v>45574</v>
      </c>
      <c r="L3261" s="5">
        <f t="shared" si="822"/>
        <v>10</v>
      </c>
      <c r="M3261" s="5">
        <f t="shared" si="823"/>
        <v>2024</v>
      </c>
      <c r="N3261" s="12">
        <v>8030</v>
      </c>
      <c r="O3261" s="12">
        <f>-3353.6-4676.4</f>
        <v>-8030</v>
      </c>
      <c r="P3261" s="12">
        <f t="shared" si="827"/>
        <v>0</v>
      </c>
      <c r="Q3261" s="7">
        <f t="shared" si="831"/>
        <v>5326639.4499999993</v>
      </c>
      <c r="R3261" s="44" t="str">
        <f>VLOOKUP(F3261,'Set up'!$A$2:$E$70,5,FALSE)</f>
        <v>Trsf</v>
      </c>
      <c r="S3261" s="1" t="s">
        <v>3490</v>
      </c>
    </row>
    <row r="3262" spans="1:19" ht="15" customHeight="1" x14ac:dyDescent="0.35">
      <c r="A3262" s="4">
        <v>45574</v>
      </c>
      <c r="B3262" s="5">
        <f t="shared" si="819"/>
        <v>10</v>
      </c>
      <c r="C3262" s="5">
        <f t="shared" si="820"/>
        <v>2024</v>
      </c>
      <c r="D3262" s="5" t="s">
        <v>3010</v>
      </c>
      <c r="E3262" s="5" t="str">
        <f>VLOOKUP(F3262,'Set up'!$A$2:$C$70,2,FALSE)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up'!$A$2:$C$70,3,FALSE)</f>
        <v>Cash</v>
      </c>
      <c r="J3262" s="5">
        <f>VLOOKUP(F3262,'Set up'!$A$2:$D$70,4,FALSE)</f>
        <v>0</v>
      </c>
      <c r="K3262" s="4">
        <f t="shared" si="821"/>
        <v>45574</v>
      </c>
      <c r="L3262" s="5">
        <f t="shared" si="822"/>
        <v>10</v>
      </c>
      <c r="M3262" s="5">
        <f t="shared" si="823"/>
        <v>2024</v>
      </c>
      <c r="N3262" s="12">
        <v>3219</v>
      </c>
      <c r="O3262" s="6">
        <f t="shared" si="834"/>
        <v>-3219</v>
      </c>
      <c r="P3262" s="12">
        <f t="shared" si="827"/>
        <v>0</v>
      </c>
      <c r="Q3262" s="7">
        <f t="shared" si="831"/>
        <v>5329858.4499999993</v>
      </c>
      <c r="R3262" s="44" t="str">
        <f>VLOOKUP(F3262,'Set up'!$A$2:$E$70,5,FALSE)</f>
        <v>Trsf</v>
      </c>
      <c r="S3262" s="1" t="s">
        <v>3491</v>
      </c>
    </row>
    <row r="3263" spans="1:19" ht="15" customHeight="1" x14ac:dyDescent="0.35">
      <c r="A3263" s="4">
        <v>45574</v>
      </c>
      <c r="B3263" s="5">
        <f t="shared" si="819"/>
        <v>10</v>
      </c>
      <c r="C3263" s="5">
        <f t="shared" si="820"/>
        <v>2024</v>
      </c>
      <c r="D3263" s="5" t="s">
        <v>3010</v>
      </c>
      <c r="E3263" s="5" t="str">
        <f>VLOOKUP(F3263,'Set up'!$A$2:$C$70,2,FALSE)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up'!$A$2:$C$70,3,FALSE)</f>
        <v>Cash</v>
      </c>
      <c r="J3263" s="5">
        <f>VLOOKUP(F3263,'Set up'!$A$2:$D$70,4,FALSE)</f>
        <v>0</v>
      </c>
      <c r="K3263" s="4">
        <f t="shared" si="821"/>
        <v>45574</v>
      </c>
      <c r="L3263" s="5">
        <f t="shared" si="822"/>
        <v>10</v>
      </c>
      <c r="M3263" s="5">
        <f t="shared" si="823"/>
        <v>2024</v>
      </c>
      <c r="N3263" s="12">
        <v>1000</v>
      </c>
      <c r="O3263" s="6">
        <f t="shared" si="834"/>
        <v>-1000</v>
      </c>
      <c r="P3263" s="12">
        <f t="shared" si="827"/>
        <v>0</v>
      </c>
      <c r="Q3263" s="7">
        <f t="shared" si="831"/>
        <v>5330858.4499999993</v>
      </c>
      <c r="R3263" s="44" t="str">
        <f>VLOOKUP(F3263,'Set up'!$A$2:$E$70,5,FALSE)</f>
        <v>Trsf</v>
      </c>
      <c r="S3263" s="1" t="s">
        <v>3492</v>
      </c>
    </row>
    <row r="3264" spans="1:19" ht="15" customHeight="1" x14ac:dyDescent="0.35">
      <c r="A3264" s="4">
        <v>45574</v>
      </c>
      <c r="B3264" s="5">
        <f t="shared" si="819"/>
        <v>10</v>
      </c>
      <c r="C3264" s="5">
        <f t="shared" si="820"/>
        <v>2024</v>
      </c>
      <c r="D3264" s="5" t="s">
        <v>3011</v>
      </c>
      <c r="E3264" s="5" t="str">
        <f>VLOOKUP(F3264,'Set up'!$A$2:$C$70,2,FALSE)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up'!$A$2:$C$70,3,FALSE)</f>
        <v>Cash</v>
      </c>
      <c r="J3264" s="5">
        <f>VLOOKUP(F3264,'Set up'!$A$2:$D$70,4,FALSE)</f>
        <v>0</v>
      </c>
      <c r="K3264" s="4">
        <f t="shared" si="821"/>
        <v>45574</v>
      </c>
      <c r="L3264" s="5">
        <f t="shared" si="822"/>
        <v>10</v>
      </c>
      <c r="M3264" s="5">
        <f t="shared" si="823"/>
        <v>2024</v>
      </c>
      <c r="N3264" s="98">
        <v>1738</v>
      </c>
      <c r="O3264" s="12"/>
      <c r="P3264" s="12">
        <f t="shared" si="827"/>
        <v>1738</v>
      </c>
      <c r="Q3264" s="7">
        <f t="shared" si="831"/>
        <v>5332596.4499999993</v>
      </c>
      <c r="R3264" s="44" t="str">
        <f>VLOOKUP(F3264,'Set up'!$A$2:$E$70,5,FALSE)</f>
        <v>Trsf</v>
      </c>
    </row>
    <row r="3265" spans="1:19" ht="15" customHeight="1" x14ac:dyDescent="0.35">
      <c r="A3265" s="4">
        <v>45574</v>
      </c>
      <c r="B3265" s="5">
        <f t="shared" si="819"/>
        <v>10</v>
      </c>
      <c r="C3265" s="5">
        <f t="shared" si="820"/>
        <v>2024</v>
      </c>
      <c r="D3265" s="5" t="s">
        <v>3011</v>
      </c>
      <c r="E3265" s="5" t="str">
        <f>VLOOKUP(F3265,'Set up'!$A$2:$C$70,2,FALSE)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up'!$A$2:$C$70,3,FALSE)</f>
        <v>Cash</v>
      </c>
      <c r="J3265" s="5">
        <f>VLOOKUP(F3265,'Set up'!$A$2:$D$70,4,FALSE)</f>
        <v>0</v>
      </c>
      <c r="K3265" s="4">
        <f t="shared" si="821"/>
        <v>45574</v>
      </c>
      <c r="L3265" s="5">
        <f t="shared" si="822"/>
        <v>10</v>
      </c>
      <c r="M3265" s="5">
        <f t="shared" si="823"/>
        <v>2024</v>
      </c>
      <c r="N3265" s="98">
        <v>405</v>
      </c>
      <c r="O3265" s="12"/>
      <c r="P3265" s="12">
        <f t="shared" si="827"/>
        <v>405</v>
      </c>
      <c r="Q3265" s="7">
        <f t="shared" si="831"/>
        <v>5333001.4499999993</v>
      </c>
      <c r="R3265" s="44" t="str">
        <f>VLOOKUP(F3265,'Set up'!$A$2:$E$70,5,FALSE)</f>
        <v>Trsf</v>
      </c>
    </row>
    <row r="3266" spans="1:19" ht="15" customHeight="1" x14ac:dyDescent="0.35">
      <c r="A3266" s="4">
        <v>45574</v>
      </c>
      <c r="B3266" s="5">
        <f t="shared" si="819"/>
        <v>10</v>
      </c>
      <c r="C3266" s="5">
        <f t="shared" si="820"/>
        <v>2024</v>
      </c>
      <c r="D3266" s="5" t="s">
        <v>3011</v>
      </c>
      <c r="E3266" s="5" t="str">
        <f>VLOOKUP(F3266,'Set up'!$A$2:$C$70,2,FALSE)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up'!$A$2:$C$70,3,FALSE)</f>
        <v>Cash</v>
      </c>
      <c r="J3266" s="5">
        <f>VLOOKUP(F3266,'Set up'!$A$2:$D$70,4,FALSE)</f>
        <v>0</v>
      </c>
      <c r="K3266" s="4">
        <f t="shared" si="821"/>
        <v>45574</v>
      </c>
      <c r="L3266" s="5">
        <f t="shared" si="822"/>
        <v>10</v>
      </c>
      <c r="M3266" s="5">
        <f t="shared" si="823"/>
        <v>2024</v>
      </c>
      <c r="N3266" s="12">
        <v>187.5</v>
      </c>
      <c r="O3266" s="12"/>
      <c r="P3266" s="12">
        <f t="shared" si="827"/>
        <v>187.5</v>
      </c>
      <c r="Q3266" s="7">
        <f t="shared" si="831"/>
        <v>5333188.9499999993</v>
      </c>
      <c r="R3266" s="44" t="str">
        <f>VLOOKUP(F3266,'Set up'!$A$2:$E$70,5,FALSE)</f>
        <v>Trsf</v>
      </c>
    </row>
    <row r="3267" spans="1:19" ht="15" customHeight="1" x14ac:dyDescent="0.35">
      <c r="A3267" s="4">
        <v>45577</v>
      </c>
      <c r="B3267" s="5">
        <f t="shared" ref="B3267:B3330" si="835">MONTH(A3267)</f>
        <v>10</v>
      </c>
      <c r="C3267" s="5">
        <f t="shared" ref="C3267:C3330" si="836">YEAR(A3267)</f>
        <v>2024</v>
      </c>
      <c r="D3267" s="5" t="s">
        <v>3012</v>
      </c>
      <c r="E3267" s="5" t="str">
        <f>VLOOKUP(F3267,'Set up'!$A$2:$C$70,2,FALSE)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up'!$A$2:$C$70,3,FALSE)</f>
        <v>Cash</v>
      </c>
      <c r="J3267" s="5">
        <f>VLOOKUP(F3267,'Set up'!$A$2:$D$70,4,FALSE)</f>
        <v>0</v>
      </c>
      <c r="K3267" s="4">
        <f t="shared" ref="K3267:K3330" si="837">A3267+J3267</f>
        <v>45577</v>
      </c>
      <c r="L3267" s="5">
        <f t="shared" ref="L3267:L3330" si="838">MONTH(K3267)</f>
        <v>10</v>
      </c>
      <c r="M3267" s="5">
        <f t="shared" ref="M3267:M3330" si="839">YEAR(K3267)</f>
        <v>2024</v>
      </c>
      <c r="N3267" s="12">
        <v>125</v>
      </c>
      <c r="O3267" s="6">
        <f t="shared" ref="O3267" si="840">-N3267</f>
        <v>-125</v>
      </c>
      <c r="P3267" s="12">
        <f t="shared" si="827"/>
        <v>0</v>
      </c>
      <c r="Q3267" s="7">
        <f t="shared" si="831"/>
        <v>5333313.9499999993</v>
      </c>
      <c r="R3267" s="44" t="str">
        <f>VLOOKUP(F3267,'Set up'!$A$2:$E$70,5,FALSE)</f>
        <v>Trsf</v>
      </c>
      <c r="S3267" s="1" t="s">
        <v>3493</v>
      </c>
    </row>
    <row r="3268" spans="1:19" ht="15" customHeight="1" x14ac:dyDescent="0.35">
      <c r="A3268" s="4">
        <v>45577</v>
      </c>
      <c r="B3268" s="5">
        <f t="shared" si="835"/>
        <v>10</v>
      </c>
      <c r="C3268" s="5">
        <f t="shared" si="836"/>
        <v>2024</v>
      </c>
      <c r="D3268" s="5" t="s">
        <v>3013</v>
      </c>
      <c r="E3268" s="5" t="str">
        <f>VLOOKUP(F3268,'Set up'!$A$2:$C$70,2,FALSE)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up'!$A$2:$C$70,3,FALSE)</f>
        <v>Cash</v>
      </c>
      <c r="J3268" s="5">
        <f>VLOOKUP(F3268,'Set up'!$A$2:$D$70,4,FALSE)</f>
        <v>0</v>
      </c>
      <c r="K3268" s="4">
        <f t="shared" si="837"/>
        <v>45577</v>
      </c>
      <c r="L3268" s="5">
        <f t="shared" si="838"/>
        <v>10</v>
      </c>
      <c r="M3268" s="5">
        <f t="shared" si="839"/>
        <v>2024</v>
      </c>
      <c r="N3268" s="12">
        <v>3212</v>
      </c>
      <c r="O3268" s="6">
        <f t="shared" ref="O3268:O3278" si="841">-N3268</f>
        <v>-3212</v>
      </c>
      <c r="P3268" s="12">
        <f t="shared" si="827"/>
        <v>0</v>
      </c>
      <c r="Q3268" s="7">
        <f t="shared" si="831"/>
        <v>5336525.9499999993</v>
      </c>
      <c r="R3268" s="44" t="str">
        <f>VLOOKUP(F3268,'Set up'!$A$2:$E$70,5,FALSE)</f>
        <v>Trsf</v>
      </c>
      <c r="S3268" s="1" t="s">
        <v>3495</v>
      </c>
    </row>
    <row r="3269" spans="1:19" ht="15" customHeight="1" x14ac:dyDescent="0.35">
      <c r="A3269" s="4">
        <v>45577</v>
      </c>
      <c r="B3269" s="5">
        <f t="shared" si="835"/>
        <v>10</v>
      </c>
      <c r="C3269" s="5">
        <f t="shared" si="836"/>
        <v>2024</v>
      </c>
      <c r="D3269" s="5" t="s">
        <v>3013</v>
      </c>
      <c r="E3269" s="5" t="str">
        <f>VLOOKUP(F3269,'Set up'!$A$2:$C$70,2,FALSE)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up'!$A$2:$C$70,3,FALSE)</f>
        <v>Cash</v>
      </c>
      <c r="J3269" s="5">
        <f>VLOOKUP(F3269,'Set up'!$A$2:$D$70,4,FALSE)</f>
        <v>0</v>
      </c>
      <c r="K3269" s="4">
        <f t="shared" si="837"/>
        <v>45577</v>
      </c>
      <c r="L3269" s="5">
        <f t="shared" si="838"/>
        <v>10</v>
      </c>
      <c r="M3269" s="5">
        <f t="shared" si="839"/>
        <v>2024</v>
      </c>
      <c r="N3269" s="12">
        <v>429.2</v>
      </c>
      <c r="O3269" s="6">
        <f t="shared" si="841"/>
        <v>-429.2</v>
      </c>
      <c r="P3269" s="12">
        <f t="shared" si="827"/>
        <v>0</v>
      </c>
      <c r="Q3269" s="7">
        <f t="shared" si="831"/>
        <v>5336955.1499999994</v>
      </c>
      <c r="R3269" s="44" t="str">
        <f>VLOOKUP(F3269,'Set up'!$A$2:$E$70,5,FALSE)</f>
        <v>Trsf</v>
      </c>
      <c r="S3269" s="1" t="s">
        <v>3498</v>
      </c>
    </row>
    <row r="3270" spans="1:19" ht="15" customHeight="1" x14ac:dyDescent="0.35">
      <c r="A3270" s="4">
        <v>45577</v>
      </c>
      <c r="B3270" s="5">
        <f t="shared" si="835"/>
        <v>10</v>
      </c>
      <c r="C3270" s="5">
        <f t="shared" si="836"/>
        <v>2024</v>
      </c>
      <c r="D3270" s="5" t="s">
        <v>3013</v>
      </c>
      <c r="E3270" s="5" t="str">
        <f>VLOOKUP(F3270,'Set up'!$A$2:$C$70,2,FALSE)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up'!$A$2:$C$70,3,FALSE)</f>
        <v>Cash</v>
      </c>
      <c r="J3270" s="5">
        <f>VLOOKUP(F3270,'Set up'!$A$2:$D$70,4,FALSE)</f>
        <v>0</v>
      </c>
      <c r="K3270" s="4">
        <f t="shared" si="837"/>
        <v>45577</v>
      </c>
      <c r="L3270" s="5">
        <f t="shared" si="838"/>
        <v>10</v>
      </c>
      <c r="M3270" s="5">
        <f t="shared" si="839"/>
        <v>2024</v>
      </c>
      <c r="N3270" s="12">
        <v>380</v>
      </c>
      <c r="O3270" s="6">
        <f t="shared" si="841"/>
        <v>-380</v>
      </c>
      <c r="P3270" s="12">
        <f t="shared" si="827"/>
        <v>0</v>
      </c>
      <c r="Q3270" s="7">
        <f t="shared" si="831"/>
        <v>5337335.1499999994</v>
      </c>
      <c r="R3270" s="44" t="str">
        <f>VLOOKUP(F3270,'Set up'!$A$2:$E$70,5,FALSE)</f>
        <v>Trsf</v>
      </c>
      <c r="S3270" s="1" t="s">
        <v>3494</v>
      </c>
    </row>
    <row r="3271" spans="1:19" ht="15" customHeight="1" x14ac:dyDescent="0.35">
      <c r="A3271" s="4">
        <v>45579</v>
      </c>
      <c r="B3271" s="5">
        <f t="shared" si="835"/>
        <v>10</v>
      </c>
      <c r="C3271" s="5">
        <f t="shared" si="836"/>
        <v>2024</v>
      </c>
      <c r="D3271" s="5" t="s">
        <v>3014</v>
      </c>
      <c r="E3271" s="5" t="str">
        <f>VLOOKUP(F3271,'Set up'!$A$2:$C$70,2,FALSE)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up'!$A$2:$C$70,3,FALSE)</f>
        <v>120</v>
      </c>
      <c r="J3271" s="5">
        <f>VLOOKUP(F3271,'Set up'!$A$2:$D$70,4,FALSE)</f>
        <v>120</v>
      </c>
      <c r="K3271" s="4">
        <f t="shared" si="837"/>
        <v>45699</v>
      </c>
      <c r="L3271" s="5">
        <f t="shared" si="838"/>
        <v>2</v>
      </c>
      <c r="M3271" s="5">
        <f t="shared" si="839"/>
        <v>2025</v>
      </c>
      <c r="N3271" s="12">
        <v>16060</v>
      </c>
      <c r="O3271" s="6">
        <f t="shared" si="841"/>
        <v>-16060</v>
      </c>
      <c r="P3271" s="12">
        <f t="shared" si="827"/>
        <v>0</v>
      </c>
      <c r="Q3271" s="7">
        <f t="shared" si="831"/>
        <v>5353395.1499999994</v>
      </c>
      <c r="R3271" s="44" t="str">
        <f>VLOOKUP(F3271,'Set up'!$A$2:$E$70,5,FALSE)</f>
        <v>Trsf</v>
      </c>
      <c r="S3271" s="1" t="s">
        <v>3608</v>
      </c>
    </row>
    <row r="3272" spans="1:19" ht="15" customHeight="1" x14ac:dyDescent="0.35">
      <c r="A3272" s="4">
        <v>45579</v>
      </c>
      <c r="B3272" s="5">
        <f t="shared" si="835"/>
        <v>10</v>
      </c>
      <c r="C3272" s="5">
        <f t="shared" si="836"/>
        <v>2024</v>
      </c>
      <c r="D3272" s="5" t="s">
        <v>3014</v>
      </c>
      <c r="E3272" s="5" t="str">
        <f>VLOOKUP(F3272,'Set up'!$A$2:$C$70,2,FALSE)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up'!$A$2:$C$70,3,FALSE)</f>
        <v>120</v>
      </c>
      <c r="J3272" s="5">
        <f>VLOOKUP(F3272,'Set up'!$A$2:$D$70,4,FALSE)</f>
        <v>120</v>
      </c>
      <c r="K3272" s="4">
        <f t="shared" si="837"/>
        <v>45699</v>
      </c>
      <c r="L3272" s="5">
        <f t="shared" si="838"/>
        <v>2</v>
      </c>
      <c r="M3272" s="5">
        <f t="shared" si="839"/>
        <v>2025</v>
      </c>
      <c r="N3272" s="12">
        <v>1740</v>
      </c>
      <c r="O3272" s="6">
        <f t="shared" si="841"/>
        <v>-1740</v>
      </c>
      <c r="P3272" s="12">
        <f t="shared" si="827"/>
        <v>0</v>
      </c>
      <c r="Q3272" s="7">
        <f t="shared" si="831"/>
        <v>5355135.1499999994</v>
      </c>
      <c r="R3272" s="44" t="str">
        <f>VLOOKUP(F3272,'Set up'!$A$2:$E$70,5,FALSE)</f>
        <v>Trsf</v>
      </c>
      <c r="S3272" s="1" t="s">
        <v>3608</v>
      </c>
    </row>
    <row r="3273" spans="1:19" ht="15" customHeight="1" x14ac:dyDescent="0.35">
      <c r="A3273" s="4">
        <v>45579</v>
      </c>
      <c r="B3273" s="5">
        <f t="shared" si="835"/>
        <v>10</v>
      </c>
      <c r="C3273" s="5">
        <f t="shared" si="836"/>
        <v>2024</v>
      </c>
      <c r="D3273" s="5" t="s">
        <v>3014</v>
      </c>
      <c r="E3273" s="5" t="str">
        <f>VLOOKUP(F3273,'Set up'!$A$2:$C$70,2,FALSE)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up'!$A$2:$C$70,3,FALSE)</f>
        <v>120</v>
      </c>
      <c r="J3273" s="5">
        <f>VLOOKUP(F3273,'Set up'!$A$2:$D$70,4,FALSE)</f>
        <v>120</v>
      </c>
      <c r="K3273" s="4">
        <f t="shared" si="837"/>
        <v>45699</v>
      </c>
      <c r="L3273" s="5">
        <f t="shared" si="838"/>
        <v>2</v>
      </c>
      <c r="M3273" s="5">
        <f t="shared" si="839"/>
        <v>2025</v>
      </c>
      <c r="N3273" s="12">
        <v>862.5</v>
      </c>
      <c r="O3273" s="6">
        <f t="shared" si="841"/>
        <v>-862.5</v>
      </c>
      <c r="P3273" s="12">
        <f t="shared" si="827"/>
        <v>0</v>
      </c>
      <c r="Q3273" s="7">
        <f t="shared" si="831"/>
        <v>5355997.6499999994</v>
      </c>
      <c r="R3273" s="44" t="str">
        <f>VLOOKUP(F3273,'Set up'!$A$2:$E$70,5,FALSE)</f>
        <v>Trsf</v>
      </c>
      <c r="S3273" s="1" t="s">
        <v>3608</v>
      </c>
    </row>
    <row r="3274" spans="1:19" ht="15" customHeight="1" x14ac:dyDescent="0.35">
      <c r="A3274" s="4">
        <v>45579</v>
      </c>
      <c r="B3274" s="5">
        <f t="shared" si="835"/>
        <v>10</v>
      </c>
      <c r="C3274" s="5">
        <f t="shared" si="836"/>
        <v>2024</v>
      </c>
      <c r="D3274" s="5" t="s">
        <v>3014</v>
      </c>
      <c r="E3274" s="5" t="str">
        <f>VLOOKUP(F3274,'Set up'!$A$2:$C$70,2,FALSE)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up'!$A$2:$C$70,3,FALSE)</f>
        <v>120</v>
      </c>
      <c r="J3274" s="5">
        <f>VLOOKUP(F3274,'Set up'!$A$2:$D$70,4,FALSE)</f>
        <v>120</v>
      </c>
      <c r="K3274" s="4">
        <f t="shared" si="837"/>
        <v>45699</v>
      </c>
      <c r="L3274" s="5">
        <f t="shared" si="838"/>
        <v>2</v>
      </c>
      <c r="M3274" s="5">
        <f t="shared" si="839"/>
        <v>2025</v>
      </c>
      <c r="N3274" s="12">
        <v>1320</v>
      </c>
      <c r="O3274" s="6">
        <f t="shared" si="841"/>
        <v>-1320</v>
      </c>
      <c r="P3274" s="12">
        <f t="shared" si="827"/>
        <v>0</v>
      </c>
      <c r="Q3274" s="7">
        <f t="shared" si="831"/>
        <v>5357317.6499999994</v>
      </c>
      <c r="R3274" s="44" t="str">
        <f>VLOOKUP(F3274,'Set up'!$A$2:$E$70,5,FALSE)</f>
        <v>Trsf</v>
      </c>
      <c r="S3274" s="1" t="s">
        <v>3608</v>
      </c>
    </row>
    <row r="3275" spans="1:19" ht="15" customHeight="1" x14ac:dyDescent="0.35">
      <c r="A3275" s="4">
        <v>45579</v>
      </c>
      <c r="B3275" s="5">
        <f t="shared" si="835"/>
        <v>10</v>
      </c>
      <c r="C3275" s="5">
        <f t="shared" si="836"/>
        <v>2024</v>
      </c>
      <c r="D3275" s="5" t="s">
        <v>3014</v>
      </c>
      <c r="E3275" s="5" t="str">
        <f>VLOOKUP(F3275,'Set up'!$A$2:$C$70,2,FALSE)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up'!$A$2:$C$70,3,FALSE)</f>
        <v>120</v>
      </c>
      <c r="J3275" s="5">
        <f>VLOOKUP(F3275,'Set up'!$A$2:$D$70,4,FALSE)</f>
        <v>120</v>
      </c>
      <c r="K3275" s="4">
        <f t="shared" si="837"/>
        <v>45699</v>
      </c>
      <c r="L3275" s="5">
        <f t="shared" si="838"/>
        <v>2</v>
      </c>
      <c r="M3275" s="5">
        <f t="shared" si="839"/>
        <v>2025</v>
      </c>
      <c r="N3275" s="12">
        <v>230.4</v>
      </c>
      <c r="O3275" s="6">
        <f t="shared" si="841"/>
        <v>-230.4</v>
      </c>
      <c r="P3275" s="12">
        <f t="shared" si="827"/>
        <v>0</v>
      </c>
      <c r="Q3275" s="7">
        <f t="shared" si="831"/>
        <v>5357548.05</v>
      </c>
      <c r="R3275" s="44" t="str">
        <f>VLOOKUP(F3275,'Set up'!$A$2:$E$70,5,FALSE)</f>
        <v>Trsf</v>
      </c>
      <c r="S3275" s="1" t="s">
        <v>3608</v>
      </c>
    </row>
    <row r="3276" spans="1:19" ht="15" customHeight="1" x14ac:dyDescent="0.35">
      <c r="A3276" s="4">
        <v>45579</v>
      </c>
      <c r="B3276" s="5">
        <f t="shared" si="835"/>
        <v>10</v>
      </c>
      <c r="C3276" s="5">
        <f t="shared" si="836"/>
        <v>2024</v>
      </c>
      <c r="D3276" s="5" t="s">
        <v>3014</v>
      </c>
      <c r="E3276" s="5" t="str">
        <f>VLOOKUP(F3276,'Set up'!$A$2:$C$70,2,FALSE)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up'!$A$2:$C$70,3,FALSE)</f>
        <v>120</v>
      </c>
      <c r="J3276" s="5">
        <f>VLOOKUP(F3276,'Set up'!$A$2:$D$70,4,FALSE)</f>
        <v>120</v>
      </c>
      <c r="K3276" s="4">
        <f t="shared" si="837"/>
        <v>45699</v>
      </c>
      <c r="L3276" s="5">
        <f t="shared" si="838"/>
        <v>2</v>
      </c>
      <c r="M3276" s="5">
        <f t="shared" si="839"/>
        <v>2025</v>
      </c>
      <c r="N3276" s="12">
        <v>395</v>
      </c>
      <c r="O3276" s="6">
        <f t="shared" si="841"/>
        <v>-395</v>
      </c>
      <c r="P3276" s="12">
        <f t="shared" si="827"/>
        <v>0</v>
      </c>
      <c r="Q3276" s="7">
        <f t="shared" si="831"/>
        <v>5357943.05</v>
      </c>
      <c r="R3276" s="44" t="str">
        <f>VLOOKUP(F3276,'Set up'!$A$2:$E$70,5,FALSE)</f>
        <v>Trsf</v>
      </c>
      <c r="S3276" s="1" t="s">
        <v>3608</v>
      </c>
    </row>
    <row r="3277" spans="1:19" ht="15" customHeight="1" x14ac:dyDescent="0.35">
      <c r="A3277" s="4">
        <v>45579</v>
      </c>
      <c r="B3277" s="5">
        <f t="shared" si="835"/>
        <v>10</v>
      </c>
      <c r="C3277" s="5">
        <f t="shared" si="836"/>
        <v>2024</v>
      </c>
      <c r="D3277" s="5" t="s">
        <v>3014</v>
      </c>
      <c r="E3277" s="5" t="str">
        <f>VLOOKUP(F3277,'Set up'!$A$2:$C$70,2,FALSE)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up'!$A$2:$C$70,3,FALSE)</f>
        <v>120</v>
      </c>
      <c r="J3277" s="5">
        <f>VLOOKUP(F3277,'Set up'!$A$2:$D$70,4,FALSE)</f>
        <v>120</v>
      </c>
      <c r="K3277" s="4">
        <f t="shared" si="837"/>
        <v>45699</v>
      </c>
      <c r="L3277" s="5">
        <f t="shared" si="838"/>
        <v>2</v>
      </c>
      <c r="M3277" s="5">
        <f t="shared" si="839"/>
        <v>2025</v>
      </c>
      <c r="N3277" s="12">
        <v>420</v>
      </c>
      <c r="O3277" s="6">
        <f t="shared" si="841"/>
        <v>-420</v>
      </c>
      <c r="P3277" s="12">
        <f t="shared" si="827"/>
        <v>0</v>
      </c>
      <c r="Q3277" s="7">
        <f t="shared" si="831"/>
        <v>5358363.05</v>
      </c>
      <c r="R3277" s="44" t="str">
        <f>VLOOKUP(F3277,'Set up'!$A$2:$E$70,5,FALSE)</f>
        <v>Trsf</v>
      </c>
      <c r="S3277" s="1" t="s">
        <v>3608</v>
      </c>
    </row>
    <row r="3278" spans="1:19" ht="15" customHeight="1" x14ac:dyDescent="0.35">
      <c r="A3278" s="4">
        <v>45579</v>
      </c>
      <c r="B3278" s="5">
        <f t="shared" si="835"/>
        <v>10</v>
      </c>
      <c r="C3278" s="5">
        <f t="shared" si="836"/>
        <v>2024</v>
      </c>
      <c r="D3278" s="5" t="s">
        <v>3014</v>
      </c>
      <c r="E3278" s="5" t="str">
        <f>VLOOKUP(F3278,'Set up'!$A$2:$C$70,2,FALSE)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up'!$A$2:$C$70,3,FALSE)</f>
        <v>120</v>
      </c>
      <c r="J3278" s="5">
        <f>VLOOKUP(F3278,'Set up'!$A$2:$D$70,4,FALSE)</f>
        <v>120</v>
      </c>
      <c r="K3278" s="4">
        <f t="shared" si="837"/>
        <v>45699</v>
      </c>
      <c r="L3278" s="5">
        <f t="shared" si="838"/>
        <v>2</v>
      </c>
      <c r="M3278" s="5">
        <f t="shared" si="839"/>
        <v>2025</v>
      </c>
      <c r="N3278" s="12">
        <v>1190</v>
      </c>
      <c r="O3278" s="6">
        <f t="shared" si="841"/>
        <v>-1190</v>
      </c>
      <c r="P3278" s="12">
        <f t="shared" si="827"/>
        <v>0</v>
      </c>
      <c r="Q3278" s="7">
        <f t="shared" si="831"/>
        <v>5359553.05</v>
      </c>
      <c r="R3278" s="44" t="str">
        <f>VLOOKUP(F3278,'Set up'!$A$2:$E$70,5,FALSE)</f>
        <v>Trsf</v>
      </c>
      <c r="S3278" s="1" t="s">
        <v>3608</v>
      </c>
    </row>
    <row r="3279" spans="1:19" ht="15" customHeight="1" x14ac:dyDescent="0.35">
      <c r="A3279" s="4">
        <v>45580</v>
      </c>
      <c r="B3279" s="5">
        <f t="shared" si="835"/>
        <v>10</v>
      </c>
      <c r="C3279" s="5">
        <f t="shared" si="836"/>
        <v>2024</v>
      </c>
      <c r="D3279" s="5" t="s">
        <v>3015</v>
      </c>
      <c r="E3279" s="5" t="str">
        <f>VLOOKUP(F3279,'Set up'!$A$2:$C$70,2,FALSE)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up'!$A$2:$C$70,3,FALSE)</f>
        <v>Cash</v>
      </c>
      <c r="J3279" s="5">
        <f>VLOOKUP(F3279,'Set up'!$A$2:$D$70,4,FALSE)</f>
        <v>0</v>
      </c>
      <c r="K3279" s="4">
        <f t="shared" si="837"/>
        <v>45580</v>
      </c>
      <c r="L3279" s="5">
        <f t="shared" si="838"/>
        <v>10</v>
      </c>
      <c r="M3279" s="5">
        <f t="shared" si="839"/>
        <v>2024</v>
      </c>
      <c r="N3279" s="12">
        <v>225</v>
      </c>
      <c r="O3279" s="6">
        <f t="shared" ref="O3279:O3293" si="842">-N3279</f>
        <v>-225</v>
      </c>
      <c r="P3279" s="12">
        <f t="shared" si="827"/>
        <v>0</v>
      </c>
      <c r="Q3279" s="7">
        <f t="shared" si="831"/>
        <v>5359778.05</v>
      </c>
      <c r="R3279" s="44" t="str">
        <f>VLOOKUP(F3279,'Set up'!$A$2:$E$70,5,FALSE)</f>
        <v>Trsf</v>
      </c>
      <c r="S3279" s="1" t="s">
        <v>3048</v>
      </c>
    </row>
    <row r="3280" spans="1:19" ht="15" customHeight="1" x14ac:dyDescent="0.35">
      <c r="A3280" s="4">
        <v>45580</v>
      </c>
      <c r="B3280" s="5">
        <f t="shared" si="835"/>
        <v>10</v>
      </c>
      <c r="C3280" s="5">
        <f t="shared" si="836"/>
        <v>2024</v>
      </c>
      <c r="D3280" s="5" t="s">
        <v>3016</v>
      </c>
      <c r="E3280" s="5" t="str">
        <f>VLOOKUP(F3280,'Set up'!$A$2:$C$70,2,FALSE)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up'!$A$2:$C$70,3,FALSE)</f>
        <v>Cash</v>
      </c>
      <c r="J3280" s="5">
        <f>VLOOKUP(F3280,'Set up'!$A$2:$D$70,4,FALSE)</f>
        <v>0</v>
      </c>
      <c r="K3280" s="4">
        <f t="shared" si="837"/>
        <v>45580</v>
      </c>
      <c r="L3280" s="5">
        <f t="shared" si="838"/>
        <v>10</v>
      </c>
      <c r="M3280" s="5">
        <f t="shared" si="839"/>
        <v>2024</v>
      </c>
      <c r="N3280" s="12">
        <v>625</v>
      </c>
      <c r="O3280" s="6">
        <f t="shared" si="842"/>
        <v>-625</v>
      </c>
      <c r="P3280" s="12">
        <f t="shared" si="827"/>
        <v>0</v>
      </c>
      <c r="Q3280" s="7">
        <f t="shared" si="831"/>
        <v>5360403.05</v>
      </c>
      <c r="R3280" s="44" t="str">
        <f>VLOOKUP(F3280,'Set up'!$A$2:$E$70,5,FALSE)</f>
        <v>Trsf</v>
      </c>
      <c r="S3280" s="1" t="s">
        <v>3496</v>
      </c>
    </row>
    <row r="3281" spans="1:19" ht="15" customHeight="1" x14ac:dyDescent="0.35">
      <c r="A3281" s="4">
        <v>45580</v>
      </c>
      <c r="B3281" s="5">
        <f t="shared" si="835"/>
        <v>10</v>
      </c>
      <c r="C3281" s="5">
        <f t="shared" si="836"/>
        <v>2024</v>
      </c>
      <c r="D3281" s="5" t="s">
        <v>3017</v>
      </c>
      <c r="E3281" s="5" t="str">
        <f>VLOOKUP(F3281,'Set up'!$A$2:$C$70,2,FALSE)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up'!$A$2:$C$70,3,FALSE)</f>
        <v>Cash</v>
      </c>
      <c r="J3281" s="5">
        <f>VLOOKUP(F3281,'Set up'!$A$2:$D$70,4,FALSE)</f>
        <v>0</v>
      </c>
      <c r="K3281" s="4">
        <f t="shared" si="837"/>
        <v>45580</v>
      </c>
      <c r="L3281" s="5">
        <f t="shared" si="838"/>
        <v>10</v>
      </c>
      <c r="M3281" s="5">
        <f t="shared" si="839"/>
        <v>2024</v>
      </c>
      <c r="N3281" s="12">
        <v>16060</v>
      </c>
      <c r="O3281" s="6">
        <f t="shared" si="842"/>
        <v>-16060</v>
      </c>
      <c r="P3281" s="12">
        <f t="shared" si="827"/>
        <v>0</v>
      </c>
      <c r="Q3281" s="7">
        <f t="shared" si="831"/>
        <v>5376463.0499999998</v>
      </c>
      <c r="R3281" s="44" t="str">
        <f>VLOOKUP(F3281,'Set up'!$A$2:$E$70,5,FALSE)</f>
        <v>Trsf</v>
      </c>
      <c r="S3281" s="1" t="s">
        <v>3497</v>
      </c>
    </row>
    <row r="3282" spans="1:19" ht="15" customHeight="1" x14ac:dyDescent="0.35">
      <c r="A3282" s="4">
        <v>45580</v>
      </c>
      <c r="B3282" s="5">
        <f t="shared" si="835"/>
        <v>10</v>
      </c>
      <c r="C3282" s="5">
        <f t="shared" si="836"/>
        <v>2024</v>
      </c>
      <c r="D3282" s="5" t="s">
        <v>3017</v>
      </c>
      <c r="E3282" s="5" t="str">
        <f>VLOOKUP(F3282,'Set up'!$A$2:$C$70,2,FALSE)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up'!$A$2:$C$70,3,FALSE)</f>
        <v>Cash</v>
      </c>
      <c r="J3282" s="5">
        <f>VLOOKUP(F3282,'Set up'!$A$2:$D$70,4,FALSE)</f>
        <v>0</v>
      </c>
      <c r="K3282" s="4">
        <f t="shared" si="837"/>
        <v>45580</v>
      </c>
      <c r="L3282" s="5">
        <f t="shared" si="838"/>
        <v>10</v>
      </c>
      <c r="M3282" s="5">
        <f t="shared" si="839"/>
        <v>2024</v>
      </c>
      <c r="N3282" s="12">
        <v>6438</v>
      </c>
      <c r="O3282" s="6">
        <f>-273.4-6164.6</f>
        <v>-6438</v>
      </c>
      <c r="P3282" s="12">
        <f t="shared" si="827"/>
        <v>0</v>
      </c>
      <c r="Q3282" s="7">
        <f t="shared" si="831"/>
        <v>5382901.0499999998</v>
      </c>
      <c r="R3282" s="44" t="str">
        <f>VLOOKUP(F3282,'Set up'!$A$2:$E$70,5,FALSE)</f>
        <v>Trsf</v>
      </c>
      <c r="S3282" s="1" t="s">
        <v>3554</v>
      </c>
    </row>
    <row r="3283" spans="1:19" ht="15" customHeight="1" x14ac:dyDescent="0.35">
      <c r="A3283" s="4">
        <v>45580</v>
      </c>
      <c r="B3283" s="5">
        <f t="shared" si="835"/>
        <v>10</v>
      </c>
      <c r="C3283" s="5">
        <f t="shared" si="836"/>
        <v>2024</v>
      </c>
      <c r="D3283" s="5" t="s">
        <v>3017</v>
      </c>
      <c r="E3283" s="5" t="str">
        <f>VLOOKUP(F3283,'Set up'!$A$2:$C$70,2,FALSE)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up'!$A$2:$C$70,3,FALSE)</f>
        <v>Cash</v>
      </c>
      <c r="J3283" s="5">
        <f>VLOOKUP(F3283,'Set up'!$A$2:$D$70,4,FALSE)</f>
        <v>0</v>
      </c>
      <c r="K3283" s="4">
        <f t="shared" si="837"/>
        <v>45580</v>
      </c>
      <c r="L3283" s="5">
        <f t="shared" si="838"/>
        <v>10</v>
      </c>
      <c r="M3283" s="5">
        <f t="shared" si="839"/>
        <v>2024</v>
      </c>
      <c r="N3283" s="12">
        <v>3577.5</v>
      </c>
      <c r="O3283" s="6">
        <f t="shared" si="842"/>
        <v>-3577.5</v>
      </c>
      <c r="P3283" s="12">
        <f t="shared" si="827"/>
        <v>0</v>
      </c>
      <c r="Q3283" s="7">
        <f t="shared" si="831"/>
        <v>5386478.5499999998</v>
      </c>
      <c r="R3283" s="44" t="str">
        <f>VLOOKUP(F3283,'Set up'!$A$2:$E$70,5,FALSE)</f>
        <v>Trsf</v>
      </c>
      <c r="S3283" s="1" t="s">
        <v>3555</v>
      </c>
    </row>
    <row r="3284" spans="1:19" ht="15" customHeight="1" x14ac:dyDescent="0.35">
      <c r="A3284" s="4">
        <v>45580</v>
      </c>
      <c r="B3284" s="5">
        <f t="shared" si="835"/>
        <v>10</v>
      </c>
      <c r="C3284" s="5">
        <f t="shared" si="836"/>
        <v>2024</v>
      </c>
      <c r="D3284" s="5" t="s">
        <v>3017</v>
      </c>
      <c r="E3284" s="5" t="str">
        <f>VLOOKUP(F3284,'Set up'!$A$2:$C$70,2,FALSE)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up'!$A$2:$C$70,3,FALSE)</f>
        <v>Cash</v>
      </c>
      <c r="J3284" s="5">
        <f>VLOOKUP(F3284,'Set up'!$A$2:$D$70,4,FALSE)</f>
        <v>0</v>
      </c>
      <c r="K3284" s="4">
        <f t="shared" si="837"/>
        <v>45580</v>
      </c>
      <c r="L3284" s="5">
        <f t="shared" si="838"/>
        <v>10</v>
      </c>
      <c r="M3284" s="5">
        <f t="shared" si="839"/>
        <v>2024</v>
      </c>
      <c r="N3284" s="12">
        <v>380</v>
      </c>
      <c r="O3284" s="6">
        <f t="shared" si="842"/>
        <v>-380</v>
      </c>
      <c r="P3284" s="12">
        <f t="shared" si="827"/>
        <v>0</v>
      </c>
      <c r="Q3284" s="7">
        <f t="shared" si="831"/>
        <v>5386858.5499999998</v>
      </c>
      <c r="R3284" s="44" t="str">
        <f>VLOOKUP(F3284,'Set up'!$A$2:$E$70,5,FALSE)</f>
        <v>Trsf</v>
      </c>
      <c r="S3284" s="1" t="s">
        <v>3556</v>
      </c>
    </row>
    <row r="3285" spans="1:19" ht="15" customHeight="1" x14ac:dyDescent="0.35">
      <c r="A3285" s="4">
        <v>45580</v>
      </c>
      <c r="B3285" s="5">
        <f t="shared" si="835"/>
        <v>10</v>
      </c>
      <c r="C3285" s="5">
        <f t="shared" si="836"/>
        <v>2024</v>
      </c>
      <c r="D3285" s="5" t="s">
        <v>3017</v>
      </c>
      <c r="E3285" s="5" t="str">
        <f>VLOOKUP(F3285,'Set up'!$A$2:$C$70,2,FALSE)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up'!$A$2:$C$70,3,FALSE)</f>
        <v>Cash</v>
      </c>
      <c r="J3285" s="5">
        <f>VLOOKUP(F3285,'Set up'!$A$2:$D$70,4,FALSE)</f>
        <v>0</v>
      </c>
      <c r="K3285" s="4">
        <f t="shared" si="837"/>
        <v>45580</v>
      </c>
      <c r="L3285" s="5">
        <f t="shared" si="838"/>
        <v>10</v>
      </c>
      <c r="M3285" s="5">
        <f t="shared" si="839"/>
        <v>2024</v>
      </c>
      <c r="N3285" s="12">
        <v>1000</v>
      </c>
      <c r="O3285" s="6">
        <f t="shared" si="842"/>
        <v>-1000</v>
      </c>
      <c r="P3285" s="12">
        <f t="shared" ref="P3285:P3348" si="843">SUM(N3285+O3285)</f>
        <v>0</v>
      </c>
      <c r="Q3285" s="7">
        <f t="shared" si="831"/>
        <v>5387858.5499999998</v>
      </c>
      <c r="R3285" s="44" t="str">
        <f>VLOOKUP(F3285,'Set up'!$A$2:$E$70,5,FALSE)</f>
        <v>Trsf</v>
      </c>
      <c r="S3285" s="1" t="s">
        <v>3557</v>
      </c>
    </row>
    <row r="3286" spans="1:19" ht="15" customHeight="1" x14ac:dyDescent="0.35">
      <c r="A3286" s="4">
        <v>45582</v>
      </c>
      <c r="B3286" s="5">
        <f t="shared" si="835"/>
        <v>10</v>
      </c>
      <c r="C3286" s="5">
        <f t="shared" si="836"/>
        <v>2024</v>
      </c>
      <c r="D3286" s="5" t="s">
        <v>3018</v>
      </c>
      <c r="E3286" s="5" t="str">
        <f>VLOOKUP(F3286,'Set up'!$A$2:$C$70,2,FALSE)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up'!$A$2:$C$70,3,FALSE)</f>
        <v>30</v>
      </c>
      <c r="J3286" s="5">
        <f>VLOOKUP(F3286,'Set up'!$A$2:$D$70,4,FALSE)</f>
        <v>30</v>
      </c>
      <c r="K3286" s="4">
        <f t="shared" si="837"/>
        <v>45612</v>
      </c>
      <c r="L3286" s="5">
        <f t="shared" si="838"/>
        <v>11</v>
      </c>
      <c r="M3286" s="5">
        <f t="shared" si="839"/>
        <v>2024</v>
      </c>
      <c r="N3286" s="12">
        <v>5214</v>
      </c>
      <c r="O3286" s="6">
        <f t="shared" si="842"/>
        <v>-5214</v>
      </c>
      <c r="P3286" s="12">
        <f t="shared" si="843"/>
        <v>0</v>
      </c>
      <c r="Q3286" s="7">
        <f t="shared" si="831"/>
        <v>5393072.5499999998</v>
      </c>
      <c r="R3286" s="44" t="str">
        <f>VLOOKUP(F3286,'Set up'!$A$2:$E$70,5,FALSE)</f>
        <v>Chq</v>
      </c>
      <c r="S3286" s="1" t="s">
        <v>3597</v>
      </c>
    </row>
    <row r="3287" spans="1:19" ht="15" customHeight="1" x14ac:dyDescent="0.35">
      <c r="A3287" s="4">
        <v>45582</v>
      </c>
      <c r="B3287" s="5">
        <f t="shared" si="835"/>
        <v>10</v>
      </c>
      <c r="C3287" s="5">
        <f t="shared" si="836"/>
        <v>2024</v>
      </c>
      <c r="D3287" s="5" t="s">
        <v>3018</v>
      </c>
      <c r="E3287" s="5" t="str">
        <f>VLOOKUP(F3287,'Set up'!$A$2:$C$70,2,FALSE)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up'!$A$2:$C$70,3,FALSE)</f>
        <v>30</v>
      </c>
      <c r="J3287" s="5">
        <f>VLOOKUP(F3287,'Set up'!$A$2:$D$70,4,FALSE)</f>
        <v>30</v>
      </c>
      <c r="K3287" s="4">
        <f t="shared" si="837"/>
        <v>45612</v>
      </c>
      <c r="L3287" s="5">
        <f t="shared" si="838"/>
        <v>11</v>
      </c>
      <c r="M3287" s="5">
        <f t="shared" si="839"/>
        <v>2024</v>
      </c>
      <c r="N3287" s="12">
        <v>842.4</v>
      </c>
      <c r="O3287" s="6">
        <f t="shared" si="842"/>
        <v>-842.4</v>
      </c>
      <c r="P3287" s="12">
        <f t="shared" si="843"/>
        <v>0</v>
      </c>
      <c r="Q3287" s="7">
        <f t="shared" si="831"/>
        <v>5393914.9500000002</v>
      </c>
      <c r="R3287" s="44" t="str">
        <f>VLOOKUP(F3287,'Set up'!$A$2:$E$70,5,FALSE)</f>
        <v>Chq</v>
      </c>
      <c r="S3287" s="1" t="s">
        <v>3597</v>
      </c>
    </row>
    <row r="3288" spans="1:19" ht="15" customHeight="1" x14ac:dyDescent="0.35">
      <c r="A3288" s="4">
        <v>45582</v>
      </c>
      <c r="B3288" s="5">
        <f t="shared" si="835"/>
        <v>10</v>
      </c>
      <c r="C3288" s="5">
        <f t="shared" si="836"/>
        <v>2024</v>
      </c>
      <c r="D3288" s="5" t="s">
        <v>3018</v>
      </c>
      <c r="E3288" s="5" t="str">
        <f>VLOOKUP(F3288,'Set up'!$A$2:$C$70,2,FALSE)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up'!$A$2:$C$70,3,FALSE)</f>
        <v>30</v>
      </c>
      <c r="J3288" s="5">
        <f>VLOOKUP(F3288,'Set up'!$A$2:$D$70,4,FALSE)</f>
        <v>30</v>
      </c>
      <c r="K3288" s="4">
        <f t="shared" si="837"/>
        <v>45612</v>
      </c>
      <c r="L3288" s="5">
        <f t="shared" si="838"/>
        <v>11</v>
      </c>
      <c r="M3288" s="5">
        <f t="shared" si="839"/>
        <v>2024</v>
      </c>
      <c r="N3288" s="12">
        <v>1263.5999999999999</v>
      </c>
      <c r="O3288" s="6">
        <f t="shared" si="842"/>
        <v>-1263.5999999999999</v>
      </c>
      <c r="P3288" s="12">
        <f t="shared" si="843"/>
        <v>0</v>
      </c>
      <c r="Q3288" s="7">
        <f t="shared" si="831"/>
        <v>5395178.5499999998</v>
      </c>
      <c r="R3288" s="44" t="str">
        <f>VLOOKUP(F3288,'Set up'!$A$2:$E$70,5,FALSE)</f>
        <v>Chq</v>
      </c>
      <c r="S3288" s="1" t="s">
        <v>3597</v>
      </c>
    </row>
    <row r="3289" spans="1:19" ht="15" customHeight="1" x14ac:dyDescent="0.35">
      <c r="A3289" s="4">
        <v>45582</v>
      </c>
      <c r="B3289" s="5">
        <f t="shared" si="835"/>
        <v>10</v>
      </c>
      <c r="C3289" s="5">
        <f t="shared" si="836"/>
        <v>2024</v>
      </c>
      <c r="D3289" s="5" t="s">
        <v>3018</v>
      </c>
      <c r="E3289" s="5" t="str">
        <f>VLOOKUP(F3289,'Set up'!$A$2:$C$70,2,FALSE)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up'!$A$2:$C$70,3,FALSE)</f>
        <v>30</v>
      </c>
      <c r="J3289" s="5">
        <f>VLOOKUP(F3289,'Set up'!$A$2:$D$70,4,FALSE)</f>
        <v>30</v>
      </c>
      <c r="K3289" s="4">
        <f t="shared" si="837"/>
        <v>45612</v>
      </c>
      <c r="L3289" s="5">
        <f t="shared" si="838"/>
        <v>11</v>
      </c>
      <c r="M3289" s="5">
        <f t="shared" si="839"/>
        <v>2024</v>
      </c>
      <c r="N3289" s="12">
        <v>240</v>
      </c>
      <c r="O3289" s="6">
        <f t="shared" si="842"/>
        <v>-240</v>
      </c>
      <c r="P3289" s="12">
        <f t="shared" si="843"/>
        <v>0</v>
      </c>
      <c r="Q3289" s="7">
        <f t="shared" si="831"/>
        <v>5395418.5499999998</v>
      </c>
      <c r="R3289" s="44" t="str">
        <f>VLOOKUP(F3289,'Set up'!$A$2:$E$70,5,FALSE)</f>
        <v>Chq</v>
      </c>
      <c r="S3289" s="1" t="s">
        <v>3597</v>
      </c>
    </row>
    <row r="3290" spans="1:19" ht="15" customHeight="1" x14ac:dyDescent="0.35">
      <c r="A3290" s="4">
        <v>45582</v>
      </c>
      <c r="B3290" s="5">
        <f t="shared" si="835"/>
        <v>10</v>
      </c>
      <c r="C3290" s="5">
        <f t="shared" si="836"/>
        <v>2024</v>
      </c>
      <c r="D3290" s="5" t="s">
        <v>3018</v>
      </c>
      <c r="E3290" s="5" t="str">
        <f>VLOOKUP(F3290,'Set up'!$A$2:$C$70,2,FALSE)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up'!$A$2:$C$70,3,FALSE)</f>
        <v>30</v>
      </c>
      <c r="J3290" s="5">
        <f>VLOOKUP(F3290,'Set up'!$A$2:$D$70,4,FALSE)</f>
        <v>30</v>
      </c>
      <c r="K3290" s="4">
        <f t="shared" si="837"/>
        <v>45612</v>
      </c>
      <c r="L3290" s="5">
        <f t="shared" si="838"/>
        <v>11</v>
      </c>
      <c r="M3290" s="5">
        <f t="shared" si="839"/>
        <v>2024</v>
      </c>
      <c r="N3290" s="12">
        <v>125</v>
      </c>
      <c r="O3290" s="6">
        <f t="shared" si="842"/>
        <v>-125</v>
      </c>
      <c r="P3290" s="12">
        <f t="shared" si="843"/>
        <v>0</v>
      </c>
      <c r="Q3290" s="7">
        <f t="shared" si="831"/>
        <v>5395543.5499999998</v>
      </c>
      <c r="R3290" s="44" t="str">
        <f>VLOOKUP(F3290,'Set up'!$A$2:$E$70,5,FALSE)</f>
        <v>Chq</v>
      </c>
      <c r="S3290" s="1" t="s">
        <v>3597</v>
      </c>
    </row>
    <row r="3291" spans="1:19" ht="15" customHeight="1" x14ac:dyDescent="0.35">
      <c r="A3291" s="4">
        <v>45582</v>
      </c>
      <c r="B3291" s="5">
        <f t="shared" si="835"/>
        <v>10</v>
      </c>
      <c r="C3291" s="5">
        <f t="shared" si="836"/>
        <v>2024</v>
      </c>
      <c r="D3291" s="5" t="s">
        <v>3018</v>
      </c>
      <c r="E3291" s="5" t="str">
        <f>VLOOKUP(F3291,'Set up'!$A$2:$C$70,2,FALSE)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up'!$A$2:$C$70,3,FALSE)</f>
        <v>30</v>
      </c>
      <c r="J3291" s="5">
        <f>VLOOKUP(F3291,'Set up'!$A$2:$D$70,4,FALSE)</f>
        <v>30</v>
      </c>
      <c r="K3291" s="4">
        <f t="shared" si="837"/>
        <v>45612</v>
      </c>
      <c r="L3291" s="5">
        <f t="shared" si="838"/>
        <v>11</v>
      </c>
      <c r="M3291" s="5">
        <f t="shared" si="839"/>
        <v>2024</v>
      </c>
      <c r="N3291" s="12">
        <v>95</v>
      </c>
      <c r="O3291" s="6">
        <f t="shared" si="842"/>
        <v>-95</v>
      </c>
      <c r="P3291" s="12">
        <f t="shared" si="843"/>
        <v>0</v>
      </c>
      <c r="Q3291" s="7">
        <f t="shared" si="831"/>
        <v>5395638.5499999998</v>
      </c>
      <c r="R3291" s="44" t="str">
        <f>VLOOKUP(F3291,'Set up'!$A$2:$E$70,5,FALSE)</f>
        <v>Chq</v>
      </c>
      <c r="S3291" s="1" t="s">
        <v>3597</v>
      </c>
    </row>
    <row r="3292" spans="1:19" ht="15" customHeight="1" x14ac:dyDescent="0.35">
      <c r="A3292" s="4">
        <v>45582</v>
      </c>
      <c r="B3292" s="5">
        <f t="shared" si="835"/>
        <v>10</v>
      </c>
      <c r="C3292" s="5">
        <f t="shared" si="836"/>
        <v>2024</v>
      </c>
      <c r="D3292" s="5" t="s">
        <v>3018</v>
      </c>
      <c r="E3292" s="5" t="str">
        <f>VLOOKUP(F3292,'Set up'!$A$2:$C$70,2,FALSE)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up'!$A$2:$C$70,3,FALSE)</f>
        <v>30</v>
      </c>
      <c r="J3292" s="5">
        <f>VLOOKUP(F3292,'Set up'!$A$2:$D$70,4,FALSE)</f>
        <v>30</v>
      </c>
      <c r="K3292" s="4">
        <f t="shared" si="837"/>
        <v>45612</v>
      </c>
      <c r="L3292" s="5">
        <f t="shared" si="838"/>
        <v>11</v>
      </c>
      <c r="M3292" s="5">
        <f t="shared" si="839"/>
        <v>2024</v>
      </c>
      <c r="N3292" s="12">
        <v>572</v>
      </c>
      <c r="O3292" s="6">
        <f t="shared" si="842"/>
        <v>-572</v>
      </c>
      <c r="P3292" s="12">
        <f t="shared" si="843"/>
        <v>0</v>
      </c>
      <c r="Q3292" s="7">
        <f t="shared" si="831"/>
        <v>5396210.5499999998</v>
      </c>
      <c r="R3292" s="44" t="str">
        <f>VLOOKUP(F3292,'Set up'!$A$2:$E$70,5,FALSE)</f>
        <v>Chq</v>
      </c>
      <c r="S3292" s="1" t="s">
        <v>3597</v>
      </c>
    </row>
    <row r="3293" spans="1:19" ht="15" customHeight="1" x14ac:dyDescent="0.35">
      <c r="A3293" s="4">
        <v>45582</v>
      </c>
      <c r="B3293" s="5">
        <f t="shared" si="835"/>
        <v>10</v>
      </c>
      <c r="C3293" s="5">
        <f t="shared" si="836"/>
        <v>2024</v>
      </c>
      <c r="D3293" s="5" t="s">
        <v>3018</v>
      </c>
      <c r="E3293" s="5" t="str">
        <f>VLOOKUP(F3293,'Set up'!$A$2:$C$70,2,FALSE)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up'!$A$2:$C$70,3,FALSE)</f>
        <v>30</v>
      </c>
      <c r="J3293" s="5">
        <f>VLOOKUP(F3293,'Set up'!$A$2:$D$70,4,FALSE)</f>
        <v>30</v>
      </c>
      <c r="K3293" s="4">
        <f t="shared" si="837"/>
        <v>45612</v>
      </c>
      <c r="L3293" s="5">
        <f t="shared" si="838"/>
        <v>11</v>
      </c>
      <c r="M3293" s="5">
        <f t="shared" si="839"/>
        <v>2024</v>
      </c>
      <c r="N3293" s="12">
        <v>390</v>
      </c>
      <c r="O3293" s="6">
        <f t="shared" si="842"/>
        <v>-390</v>
      </c>
      <c r="P3293" s="12">
        <f t="shared" si="843"/>
        <v>0</v>
      </c>
      <c r="Q3293" s="7">
        <f t="shared" si="831"/>
        <v>5396600.5499999998</v>
      </c>
      <c r="R3293" s="44" t="str">
        <f>VLOOKUP(F3293,'Set up'!$A$2:$E$70,5,FALSE)</f>
        <v>Chq</v>
      </c>
      <c r="S3293" s="1" t="s">
        <v>3597</v>
      </c>
    </row>
    <row r="3294" spans="1:19" ht="15" customHeight="1" x14ac:dyDescent="0.35">
      <c r="A3294" s="4">
        <v>45582</v>
      </c>
      <c r="B3294" s="5">
        <f t="shared" si="835"/>
        <v>10</v>
      </c>
      <c r="C3294" s="5">
        <f t="shared" si="836"/>
        <v>2024</v>
      </c>
      <c r="D3294" s="5" t="s">
        <v>3019</v>
      </c>
      <c r="E3294" s="5" t="str">
        <f>VLOOKUP(F3294,'Set up'!$A$2:$C$70,2,FALSE)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up'!$A$2:$C$70,3,FALSE)</f>
        <v>Cash</v>
      </c>
      <c r="J3294" s="5">
        <f>VLOOKUP(F3294,'Set up'!$A$2:$D$70,4,FALSE)</f>
        <v>0</v>
      </c>
      <c r="K3294" s="4">
        <f t="shared" si="837"/>
        <v>45582</v>
      </c>
      <c r="L3294" s="5">
        <f t="shared" si="838"/>
        <v>10</v>
      </c>
      <c r="M3294" s="5">
        <f t="shared" si="839"/>
        <v>2024</v>
      </c>
      <c r="N3294" s="96">
        <v>1694</v>
      </c>
      <c r="O3294" s="6">
        <f t="shared" ref="O3294:O3295" si="844">-N3294</f>
        <v>-1694</v>
      </c>
      <c r="P3294" s="12">
        <f t="shared" si="843"/>
        <v>0</v>
      </c>
      <c r="Q3294" s="7">
        <f t="shared" si="831"/>
        <v>5398294.5499999998</v>
      </c>
      <c r="R3294" s="44" t="str">
        <f>VLOOKUP(F3294,'Set up'!$A$2:$E$70,5,FALSE)</f>
        <v>Chq</v>
      </c>
      <c r="S3294" s="1" t="s">
        <v>3052</v>
      </c>
    </row>
    <row r="3295" spans="1:19" ht="15" customHeight="1" x14ac:dyDescent="0.35">
      <c r="A3295" s="4">
        <v>45582</v>
      </c>
      <c r="B3295" s="5">
        <f t="shared" si="835"/>
        <v>10</v>
      </c>
      <c r="C3295" s="5">
        <f t="shared" si="836"/>
        <v>2024</v>
      </c>
      <c r="D3295" s="5" t="s">
        <v>3019</v>
      </c>
      <c r="E3295" s="5" t="str">
        <f>VLOOKUP(F3295,'Set up'!$A$2:$C$70,2,FALSE)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up'!$A$2:$C$70,3,FALSE)</f>
        <v>Cash</v>
      </c>
      <c r="J3295" s="5">
        <f>VLOOKUP(F3295,'Set up'!$A$2:$D$70,4,FALSE)</f>
        <v>0</v>
      </c>
      <c r="K3295" s="4">
        <f t="shared" si="837"/>
        <v>45582</v>
      </c>
      <c r="L3295" s="5">
        <f t="shared" si="838"/>
        <v>10</v>
      </c>
      <c r="M3295" s="5">
        <f t="shared" si="839"/>
        <v>2024</v>
      </c>
      <c r="N3295" s="96">
        <v>270.60000000000002</v>
      </c>
      <c r="O3295" s="6">
        <f t="shared" si="844"/>
        <v>-270.60000000000002</v>
      </c>
      <c r="P3295" s="12">
        <f t="shared" si="843"/>
        <v>0</v>
      </c>
      <c r="Q3295" s="7">
        <f t="shared" si="831"/>
        <v>5398565.1499999994</v>
      </c>
      <c r="R3295" s="44" t="str">
        <f>VLOOKUP(F3295,'Set up'!$A$2:$E$70,5,FALSE)</f>
        <v>Chq</v>
      </c>
      <c r="S3295" s="1" t="s">
        <v>3052</v>
      </c>
    </row>
    <row r="3296" spans="1:19" ht="15" customHeight="1" x14ac:dyDescent="0.35">
      <c r="A3296" s="4">
        <v>45582</v>
      </c>
      <c r="B3296" s="5">
        <f t="shared" si="835"/>
        <v>10</v>
      </c>
      <c r="C3296" s="5">
        <f t="shared" si="836"/>
        <v>2024</v>
      </c>
      <c r="D3296" s="5" t="s">
        <v>3020</v>
      </c>
      <c r="E3296" s="5" t="str">
        <f>VLOOKUP(F3296,'Set up'!$A$2:$C$70,2,FALSE)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up'!$A$2:$C$70,3,FALSE)</f>
        <v>Cash</v>
      </c>
      <c r="J3296" s="5">
        <f>VLOOKUP(F3296,'Set up'!$A$2:$D$70,4,FALSE)</f>
        <v>0</v>
      </c>
      <c r="K3296" s="4">
        <f t="shared" si="837"/>
        <v>45582</v>
      </c>
      <c r="L3296" s="5">
        <f t="shared" si="838"/>
        <v>10</v>
      </c>
      <c r="M3296" s="5">
        <f t="shared" si="839"/>
        <v>2024</v>
      </c>
      <c r="N3296" s="96">
        <v>1738</v>
      </c>
      <c r="O3296" s="6">
        <f t="shared" ref="O3296:O3299" si="845">-N3296</f>
        <v>-1738</v>
      </c>
      <c r="P3296" s="12">
        <f t="shared" si="843"/>
        <v>0</v>
      </c>
      <c r="Q3296" s="7">
        <f t="shared" si="831"/>
        <v>5400303.1499999994</v>
      </c>
      <c r="R3296" s="44" t="str">
        <f>VLOOKUP(F3296,'Set up'!$A$2:$E$70,5,FALSE)</f>
        <v>Cash</v>
      </c>
      <c r="S3296" s="1" t="s">
        <v>3051</v>
      </c>
    </row>
    <row r="3297" spans="1:19" ht="15" customHeight="1" x14ac:dyDescent="0.35">
      <c r="A3297" s="4">
        <v>45582</v>
      </c>
      <c r="B3297" s="5">
        <f t="shared" si="835"/>
        <v>10</v>
      </c>
      <c r="C3297" s="5">
        <f t="shared" si="836"/>
        <v>2024</v>
      </c>
      <c r="D3297" s="5" t="s">
        <v>3020</v>
      </c>
      <c r="E3297" s="5" t="str">
        <f>VLOOKUP(F3297,'Set up'!$A$2:$C$70,2,FALSE)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up'!$A$2:$C$70,3,FALSE)</f>
        <v>Cash</v>
      </c>
      <c r="J3297" s="5">
        <f>VLOOKUP(F3297,'Set up'!$A$2:$D$70,4,FALSE)</f>
        <v>0</v>
      </c>
      <c r="K3297" s="4">
        <f t="shared" si="837"/>
        <v>45582</v>
      </c>
      <c r="L3297" s="5">
        <f t="shared" si="838"/>
        <v>10</v>
      </c>
      <c r="M3297" s="5">
        <f t="shared" si="839"/>
        <v>2024</v>
      </c>
      <c r="N3297" s="96">
        <v>555</v>
      </c>
      <c r="O3297" s="6">
        <f t="shared" si="845"/>
        <v>-555</v>
      </c>
      <c r="P3297" s="12">
        <f t="shared" si="843"/>
        <v>0</v>
      </c>
      <c r="Q3297" s="7">
        <f t="shared" si="831"/>
        <v>5400858.1499999994</v>
      </c>
      <c r="R3297" s="44" t="str">
        <f>VLOOKUP(F3297,'Set up'!$A$2:$E$70,5,FALSE)</f>
        <v>Cash</v>
      </c>
      <c r="S3297" s="1" t="s">
        <v>3051</v>
      </c>
    </row>
    <row r="3298" spans="1:19" ht="15" customHeight="1" x14ac:dyDescent="0.35">
      <c r="A3298" s="4">
        <v>45582</v>
      </c>
      <c r="B3298" s="5">
        <f t="shared" si="835"/>
        <v>10</v>
      </c>
      <c r="C3298" s="5">
        <f t="shared" si="836"/>
        <v>2024</v>
      </c>
      <c r="D3298" s="5" t="s">
        <v>3020</v>
      </c>
      <c r="E3298" s="5" t="str">
        <f>VLOOKUP(F3298,'Set up'!$A$2:$C$70,2,FALSE)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up'!$A$2:$C$70,3,FALSE)</f>
        <v>Cash</v>
      </c>
      <c r="J3298" s="5">
        <f>VLOOKUP(F3298,'Set up'!$A$2:$D$70,4,FALSE)</f>
        <v>0</v>
      </c>
      <c r="K3298" s="4">
        <f t="shared" si="837"/>
        <v>45582</v>
      </c>
      <c r="L3298" s="5">
        <f t="shared" si="838"/>
        <v>10</v>
      </c>
      <c r="M3298" s="5">
        <f t="shared" si="839"/>
        <v>2024</v>
      </c>
      <c r="N3298" s="96">
        <v>95</v>
      </c>
      <c r="O3298" s="6">
        <f t="shared" si="845"/>
        <v>-95</v>
      </c>
      <c r="P3298" s="12">
        <f t="shared" si="843"/>
        <v>0</v>
      </c>
      <c r="Q3298" s="7">
        <f t="shared" si="831"/>
        <v>5400953.1499999994</v>
      </c>
      <c r="R3298" s="44" t="str">
        <f>VLOOKUP(F3298,'Set up'!$A$2:$E$70,5,FALSE)</f>
        <v>Cash</v>
      </c>
      <c r="S3298" s="1" t="s">
        <v>3051</v>
      </c>
    </row>
    <row r="3299" spans="1:19" ht="15" customHeight="1" x14ac:dyDescent="0.35">
      <c r="A3299" s="4">
        <v>45583</v>
      </c>
      <c r="B3299" s="5">
        <f t="shared" si="835"/>
        <v>10</v>
      </c>
      <c r="C3299" s="5">
        <f t="shared" si="836"/>
        <v>2024</v>
      </c>
      <c r="D3299" s="5" t="s">
        <v>3021</v>
      </c>
      <c r="E3299" s="5" t="str">
        <f>VLOOKUP(F3299,'Set up'!$A$2:$C$70,2,FALSE)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up'!$A$2:$C$70,3,FALSE)</f>
        <v>Cash</v>
      </c>
      <c r="J3299" s="5">
        <f>VLOOKUP(F3299,'Set up'!$A$2:$D$70,4,FALSE)</f>
        <v>0</v>
      </c>
      <c r="K3299" s="4">
        <f t="shared" si="837"/>
        <v>45583</v>
      </c>
      <c r="L3299" s="5">
        <f t="shared" si="838"/>
        <v>10</v>
      </c>
      <c r="M3299" s="5">
        <f t="shared" si="839"/>
        <v>2024</v>
      </c>
      <c r="N3299" s="96">
        <v>300</v>
      </c>
      <c r="O3299" s="6">
        <f t="shared" si="845"/>
        <v>-300</v>
      </c>
      <c r="P3299" s="12">
        <f t="shared" si="843"/>
        <v>0</v>
      </c>
      <c r="Q3299" s="7">
        <f t="shared" si="831"/>
        <v>5401253.1499999994</v>
      </c>
      <c r="R3299" s="44" t="str">
        <f>VLOOKUP(F3299,'Set up'!$A$2:$E$70,5,FALSE)</f>
        <v>Cash</v>
      </c>
      <c r="S3299" s="1" t="s">
        <v>3198</v>
      </c>
    </row>
    <row r="3300" spans="1:19" ht="15" customHeight="1" x14ac:dyDescent="0.35">
      <c r="A3300" s="4">
        <v>45583</v>
      </c>
      <c r="B3300" s="5">
        <f t="shared" si="835"/>
        <v>10</v>
      </c>
      <c r="C3300" s="5">
        <f t="shared" si="836"/>
        <v>2024</v>
      </c>
      <c r="D3300" s="5" t="s">
        <v>3021</v>
      </c>
      <c r="E3300" s="5" t="str">
        <f>VLOOKUP(F3300,'Set up'!$A$2:$C$70,2,FALSE)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up'!$A$2:$C$70,3,FALSE)</f>
        <v>Cash</v>
      </c>
      <c r="J3300" s="5">
        <f>VLOOKUP(F3300,'Set up'!$A$2:$D$70,4,FALSE)</f>
        <v>0</v>
      </c>
      <c r="K3300" s="4">
        <f t="shared" si="837"/>
        <v>45583</v>
      </c>
      <c r="L3300" s="5">
        <f t="shared" si="838"/>
        <v>10</v>
      </c>
      <c r="M3300" s="5">
        <f t="shared" si="839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831"/>
        <v>5401478.1499999994</v>
      </c>
      <c r="R3300" s="44" t="str">
        <f>VLOOKUP(F3300,'Set up'!$A$2:$E$70,5,FALSE)</f>
        <v>Cash</v>
      </c>
      <c r="S3300" s="130" t="s">
        <v>3199</v>
      </c>
    </row>
    <row r="3301" spans="1:19" ht="15" customHeight="1" x14ac:dyDescent="0.35">
      <c r="A3301" s="4">
        <v>45583</v>
      </c>
      <c r="B3301" s="5">
        <f t="shared" si="835"/>
        <v>10</v>
      </c>
      <c r="C3301" s="5">
        <f t="shared" si="836"/>
        <v>2024</v>
      </c>
      <c r="D3301" s="5" t="s">
        <v>3022</v>
      </c>
      <c r="E3301" s="5" t="str">
        <f>VLOOKUP(F3301,'Set up'!$A$2:$C$70,2,FALSE)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up'!$A$2:$C$70,3,FALSE)</f>
        <v>Cash</v>
      </c>
      <c r="J3301" s="5">
        <f>VLOOKUP(F3301,'Set up'!$A$2:$D$70,4,FALSE)</f>
        <v>0</v>
      </c>
      <c r="K3301" s="4">
        <f t="shared" si="837"/>
        <v>45583</v>
      </c>
      <c r="L3301" s="5">
        <f t="shared" si="838"/>
        <v>10</v>
      </c>
      <c r="M3301" s="5">
        <f t="shared" si="839"/>
        <v>2024</v>
      </c>
      <c r="N3301" s="98">
        <v>110</v>
      </c>
      <c r="O3301" s="12"/>
      <c r="P3301" s="12">
        <f t="shared" si="843"/>
        <v>110</v>
      </c>
      <c r="Q3301" s="7">
        <f t="shared" si="831"/>
        <v>5401588.1499999994</v>
      </c>
      <c r="R3301" s="44" t="str">
        <f>VLOOKUP(F3301,'Set up'!$A$2:$E$70,5,FALSE)</f>
        <v>Trsf</v>
      </c>
    </row>
    <row r="3302" spans="1:19" ht="15" customHeight="1" x14ac:dyDescent="0.35">
      <c r="A3302" s="4">
        <v>45583</v>
      </c>
      <c r="B3302" s="5">
        <f t="shared" si="835"/>
        <v>10</v>
      </c>
      <c r="C3302" s="5">
        <f t="shared" si="836"/>
        <v>2024</v>
      </c>
      <c r="D3302" s="5" t="s">
        <v>3022</v>
      </c>
      <c r="E3302" s="5" t="str">
        <f>VLOOKUP(F3302,'Set up'!$A$2:$C$70,2,FALSE)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up'!$A$2:$C$70,3,FALSE)</f>
        <v>Cash</v>
      </c>
      <c r="J3302" s="5">
        <f>VLOOKUP(F3302,'Set up'!$A$2:$D$70,4,FALSE)</f>
        <v>0</v>
      </c>
      <c r="K3302" s="4">
        <f t="shared" si="837"/>
        <v>45583</v>
      </c>
      <c r="L3302" s="5">
        <f t="shared" si="838"/>
        <v>10</v>
      </c>
      <c r="M3302" s="5">
        <f t="shared" si="839"/>
        <v>2024</v>
      </c>
      <c r="N3302" s="98">
        <v>390</v>
      </c>
      <c r="O3302" s="12"/>
      <c r="P3302" s="12">
        <f t="shared" si="843"/>
        <v>390</v>
      </c>
      <c r="Q3302" s="7">
        <f t="shared" si="831"/>
        <v>5401978.1499999994</v>
      </c>
      <c r="R3302" s="44" t="str">
        <f>VLOOKUP(F3302,'Set up'!$A$2:$E$70,5,FALSE)</f>
        <v>Trsf</v>
      </c>
    </row>
    <row r="3303" spans="1:19" ht="15" customHeight="1" x14ac:dyDescent="0.35">
      <c r="A3303" s="4">
        <v>45586</v>
      </c>
      <c r="B3303" s="5">
        <f t="shared" si="835"/>
        <v>10</v>
      </c>
      <c r="C3303" s="5">
        <f t="shared" si="836"/>
        <v>2024</v>
      </c>
      <c r="D3303" s="5" t="s">
        <v>3023</v>
      </c>
      <c r="E3303" s="5" t="str">
        <f>VLOOKUP(F3303,'Set up'!$A$2:$C$70,2,FALSE)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up'!$A$2:$C$70,3,FALSE)</f>
        <v>Cash</v>
      </c>
      <c r="J3303" s="5">
        <f>VLOOKUP(F3303,'Set up'!$A$2:$D$70,4,FALSE)</f>
        <v>0</v>
      </c>
      <c r="K3303" s="4">
        <f t="shared" si="837"/>
        <v>45586</v>
      </c>
      <c r="L3303" s="5">
        <f t="shared" si="838"/>
        <v>10</v>
      </c>
      <c r="M3303" s="5">
        <f t="shared" si="839"/>
        <v>2024</v>
      </c>
      <c r="N3303" s="96">
        <v>1694</v>
      </c>
      <c r="O3303" s="6">
        <f t="shared" ref="O3303" si="846">-N3303</f>
        <v>-1694</v>
      </c>
      <c r="P3303" s="12">
        <f t="shared" si="843"/>
        <v>0</v>
      </c>
      <c r="Q3303" s="7">
        <f t="shared" si="831"/>
        <v>5403672.1499999994</v>
      </c>
      <c r="R3303" s="44" t="str">
        <f>VLOOKUP(F3303,'Set up'!$A$2:$E$70,5,FALSE)</f>
        <v>Cash</v>
      </c>
      <c r="S3303" s="1" t="s">
        <v>3054</v>
      </c>
    </row>
    <row r="3304" spans="1:19" ht="15" customHeight="1" x14ac:dyDescent="0.35">
      <c r="A3304" s="4">
        <v>45586</v>
      </c>
      <c r="B3304" s="5">
        <f t="shared" si="835"/>
        <v>10</v>
      </c>
      <c r="C3304" s="5">
        <f t="shared" si="836"/>
        <v>2024</v>
      </c>
      <c r="D3304" s="5" t="s">
        <v>3023</v>
      </c>
      <c r="E3304" s="5" t="str">
        <f>VLOOKUP(F3304,'Set up'!$A$2:$C$70,2,FALSE)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up'!$A$2:$C$70,3,FALSE)</f>
        <v>Cash</v>
      </c>
      <c r="J3304" s="5">
        <f>VLOOKUP(F3304,'Set up'!$A$2:$D$70,4,FALSE)</f>
        <v>0</v>
      </c>
      <c r="K3304" s="4">
        <f t="shared" si="837"/>
        <v>45586</v>
      </c>
      <c r="L3304" s="5">
        <f t="shared" si="838"/>
        <v>10</v>
      </c>
      <c r="M3304" s="5">
        <f t="shared" si="839"/>
        <v>2024</v>
      </c>
      <c r="N3304" s="96">
        <v>432</v>
      </c>
      <c r="O3304" s="12">
        <f>-306-126</f>
        <v>-432</v>
      </c>
      <c r="P3304" s="12">
        <f t="shared" si="843"/>
        <v>0</v>
      </c>
      <c r="Q3304" s="7">
        <f t="shared" si="831"/>
        <v>5404104.1499999994</v>
      </c>
      <c r="R3304" s="44" t="str">
        <f>VLOOKUP(F3304,'Set up'!$A$2:$E$70,5,FALSE)</f>
        <v>Cash</v>
      </c>
      <c r="S3304" s="1" t="s">
        <v>3058</v>
      </c>
    </row>
    <row r="3305" spans="1:19" ht="15" customHeight="1" x14ac:dyDescent="0.35">
      <c r="A3305" s="4">
        <v>45586</v>
      </c>
      <c r="B3305" s="5">
        <f t="shared" si="835"/>
        <v>10</v>
      </c>
      <c r="C3305" s="5">
        <f t="shared" si="836"/>
        <v>2024</v>
      </c>
      <c r="D3305" s="5" t="s">
        <v>3023</v>
      </c>
      <c r="E3305" s="5" t="str">
        <f>VLOOKUP(F3305,'Set up'!$A$2:$C$70,2,FALSE)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up'!$A$2:$C$70,3,FALSE)</f>
        <v>Cash</v>
      </c>
      <c r="J3305" s="5">
        <f>VLOOKUP(F3305,'Set up'!$A$2:$D$70,4,FALSE)</f>
        <v>0</v>
      </c>
      <c r="K3305" s="4">
        <f t="shared" si="837"/>
        <v>45586</v>
      </c>
      <c r="L3305" s="5">
        <f t="shared" si="838"/>
        <v>10</v>
      </c>
      <c r="M3305" s="5">
        <f t="shared" si="839"/>
        <v>2024</v>
      </c>
      <c r="N3305" s="96">
        <v>280</v>
      </c>
      <c r="O3305" s="6">
        <f t="shared" ref="O3305:O3307" si="847">-N3305</f>
        <v>-280</v>
      </c>
      <c r="P3305" s="12">
        <f t="shared" si="843"/>
        <v>0</v>
      </c>
      <c r="Q3305" s="7">
        <f t="shared" si="831"/>
        <v>5404384.1499999994</v>
      </c>
      <c r="R3305" s="44" t="str">
        <f>VLOOKUP(F3305,'Set up'!$A$2:$E$70,5,FALSE)</f>
        <v>Cash</v>
      </c>
      <c r="S3305" s="1" t="s">
        <v>3057</v>
      </c>
    </row>
    <row r="3306" spans="1:19" ht="15" customHeight="1" x14ac:dyDescent="0.35">
      <c r="A3306" s="4">
        <v>45587</v>
      </c>
      <c r="B3306" s="5">
        <f t="shared" si="835"/>
        <v>10</v>
      </c>
      <c r="C3306" s="5">
        <f t="shared" si="836"/>
        <v>2024</v>
      </c>
      <c r="D3306" s="5" t="s">
        <v>3024</v>
      </c>
      <c r="E3306" s="5" t="str">
        <f>VLOOKUP(F3306,'Set up'!$A$2:$C$70,2,FALSE)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up'!$A$2:$C$70,3,FALSE)</f>
        <v>Cash</v>
      </c>
      <c r="J3306" s="5">
        <f>VLOOKUP(F3306,'Set up'!$A$2:$D$70,4,FALSE)</f>
        <v>0</v>
      </c>
      <c r="K3306" s="4">
        <f t="shared" si="837"/>
        <v>45587</v>
      </c>
      <c r="L3306" s="5">
        <f t="shared" si="838"/>
        <v>10</v>
      </c>
      <c r="M3306" s="5">
        <f t="shared" si="839"/>
        <v>2024</v>
      </c>
      <c r="N3306" s="12">
        <v>125</v>
      </c>
      <c r="O3306" s="6">
        <f t="shared" si="847"/>
        <v>-125</v>
      </c>
      <c r="P3306" s="12">
        <f t="shared" si="843"/>
        <v>0</v>
      </c>
      <c r="Q3306" s="7">
        <f t="shared" si="831"/>
        <v>5404509.1499999994</v>
      </c>
      <c r="R3306" s="44" t="str">
        <f>VLOOKUP(F3306,'Set up'!$A$2:$E$70,5,FALSE)</f>
        <v>Trsf</v>
      </c>
      <c r="S3306" s="1" t="s">
        <v>3558</v>
      </c>
    </row>
    <row r="3307" spans="1:19" ht="15" customHeight="1" x14ac:dyDescent="0.35">
      <c r="A3307" s="4">
        <v>45587</v>
      </c>
      <c r="B3307" s="5">
        <f t="shared" si="835"/>
        <v>10</v>
      </c>
      <c r="C3307" s="5">
        <f t="shared" si="836"/>
        <v>2024</v>
      </c>
      <c r="D3307" s="5" t="s">
        <v>3025</v>
      </c>
      <c r="E3307" s="5" t="str">
        <f>VLOOKUP(F3307,'Set up'!$A$2:$C$70,2,FALSE)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up'!$A$2:$C$70,3,FALSE)</f>
        <v>Cash</v>
      </c>
      <c r="J3307" s="5">
        <f>VLOOKUP(F3307,'Set up'!$A$2:$D$70,4,FALSE)</f>
        <v>0</v>
      </c>
      <c r="K3307" s="4">
        <f t="shared" si="837"/>
        <v>45587</v>
      </c>
      <c r="L3307" s="5">
        <f t="shared" si="838"/>
        <v>10</v>
      </c>
      <c r="M3307" s="5">
        <f t="shared" si="839"/>
        <v>2024</v>
      </c>
      <c r="N3307" s="12">
        <v>3212</v>
      </c>
      <c r="O3307" s="6">
        <f t="shared" si="847"/>
        <v>-3212</v>
      </c>
      <c r="P3307" s="12">
        <f t="shared" si="843"/>
        <v>0</v>
      </c>
      <c r="Q3307" s="7">
        <f t="shared" si="831"/>
        <v>5407721.1499999994</v>
      </c>
      <c r="R3307" s="44" t="str">
        <f>VLOOKUP(F3307,'Set up'!$A$2:$E$70,5,FALSE)</f>
        <v>Trsf</v>
      </c>
      <c r="S3307" s="1" t="s">
        <v>3559</v>
      </c>
    </row>
    <row r="3308" spans="1:19" ht="15" customHeight="1" x14ac:dyDescent="0.35">
      <c r="A3308" s="4">
        <v>45587</v>
      </c>
      <c r="B3308" s="5">
        <f t="shared" si="835"/>
        <v>10</v>
      </c>
      <c r="C3308" s="5">
        <f t="shared" si="836"/>
        <v>2024</v>
      </c>
      <c r="D3308" s="5" t="s">
        <v>3025</v>
      </c>
      <c r="E3308" s="5" t="str">
        <f>VLOOKUP(F3308,'Set up'!$A$2:$C$70,2,FALSE)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up'!$A$2:$C$70,3,FALSE)</f>
        <v>Cash</v>
      </c>
      <c r="J3308" s="5">
        <f>VLOOKUP(F3308,'Set up'!$A$2:$D$70,4,FALSE)</f>
        <v>0</v>
      </c>
      <c r="K3308" s="4">
        <f t="shared" si="837"/>
        <v>45587</v>
      </c>
      <c r="L3308" s="5">
        <f t="shared" si="838"/>
        <v>10</v>
      </c>
      <c r="M3308" s="5">
        <f t="shared" si="839"/>
        <v>2024</v>
      </c>
      <c r="N3308" s="12">
        <v>870</v>
      </c>
      <c r="O3308" s="12">
        <f>-540.9-329.1</f>
        <v>-870</v>
      </c>
      <c r="P3308" s="12">
        <f t="shared" si="843"/>
        <v>0</v>
      </c>
      <c r="Q3308" s="7">
        <f t="shared" si="831"/>
        <v>5408591.1499999994</v>
      </c>
      <c r="R3308" s="44" t="str">
        <f>VLOOKUP(F3308,'Set up'!$A$2:$E$70,5,FALSE)</f>
        <v>Trsf</v>
      </c>
      <c r="S3308" s="1" t="s">
        <v>3560</v>
      </c>
    </row>
    <row r="3309" spans="1:19" ht="15" customHeight="1" x14ac:dyDescent="0.35">
      <c r="A3309" s="4">
        <v>45587</v>
      </c>
      <c r="B3309" s="5">
        <f t="shared" si="835"/>
        <v>10</v>
      </c>
      <c r="C3309" s="5">
        <f t="shared" si="836"/>
        <v>2024</v>
      </c>
      <c r="D3309" s="5" t="s">
        <v>3025</v>
      </c>
      <c r="E3309" s="5" t="str">
        <f>VLOOKUP(F3309,'Set up'!$A$2:$C$70,2,FALSE)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up'!$A$2:$C$70,3,FALSE)</f>
        <v>Cash</v>
      </c>
      <c r="J3309" s="5">
        <f>VLOOKUP(F3309,'Set up'!$A$2:$D$70,4,FALSE)</f>
        <v>0</v>
      </c>
      <c r="K3309" s="4">
        <f t="shared" si="837"/>
        <v>45587</v>
      </c>
      <c r="L3309" s="5">
        <f t="shared" si="838"/>
        <v>10</v>
      </c>
      <c r="M3309" s="5">
        <f t="shared" si="839"/>
        <v>2024</v>
      </c>
      <c r="N3309" s="12">
        <v>715.5</v>
      </c>
      <c r="O3309" s="6">
        <f t="shared" ref="O3309:O3311" si="848">-N3309</f>
        <v>-715.5</v>
      </c>
      <c r="P3309" s="12">
        <f t="shared" si="843"/>
        <v>0</v>
      </c>
      <c r="Q3309" s="7">
        <f t="shared" si="831"/>
        <v>5409306.6499999994</v>
      </c>
      <c r="R3309" s="44" t="str">
        <f>VLOOKUP(F3309,'Set up'!$A$2:$E$70,5,FALSE)</f>
        <v>Trsf</v>
      </c>
      <c r="S3309" s="1" t="s">
        <v>3561</v>
      </c>
    </row>
    <row r="3310" spans="1:19" ht="15" customHeight="1" x14ac:dyDescent="0.35">
      <c r="A3310" s="4">
        <v>45587</v>
      </c>
      <c r="B3310" s="5">
        <f t="shared" si="835"/>
        <v>10</v>
      </c>
      <c r="C3310" s="5">
        <f t="shared" si="836"/>
        <v>2024</v>
      </c>
      <c r="D3310" s="5" t="s">
        <v>3025</v>
      </c>
      <c r="E3310" s="5" t="str">
        <f>VLOOKUP(F3310,'Set up'!$A$2:$C$70,2,FALSE)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up'!$A$2:$C$70,3,FALSE)</f>
        <v>Cash</v>
      </c>
      <c r="J3310" s="5">
        <f>VLOOKUP(F3310,'Set up'!$A$2:$D$70,4,FALSE)</f>
        <v>0</v>
      </c>
      <c r="K3310" s="4">
        <f t="shared" si="837"/>
        <v>45587</v>
      </c>
      <c r="L3310" s="5">
        <f t="shared" si="838"/>
        <v>10</v>
      </c>
      <c r="M3310" s="5">
        <f t="shared" si="839"/>
        <v>2024</v>
      </c>
      <c r="N3310" s="12">
        <v>380</v>
      </c>
      <c r="O3310" s="6">
        <f t="shared" si="848"/>
        <v>-380</v>
      </c>
      <c r="P3310" s="12">
        <f t="shared" si="843"/>
        <v>0</v>
      </c>
      <c r="Q3310" s="7">
        <f t="shared" si="831"/>
        <v>5409686.6499999994</v>
      </c>
      <c r="R3310" s="44" t="str">
        <f>VLOOKUP(F3310,'Set up'!$A$2:$E$70,5,FALSE)</f>
        <v>Trsf</v>
      </c>
      <c r="S3310" s="1" t="s">
        <v>3562</v>
      </c>
    </row>
    <row r="3311" spans="1:19" ht="15" customHeight="1" x14ac:dyDescent="0.35">
      <c r="A3311" s="4">
        <v>45587</v>
      </c>
      <c r="B3311" s="5">
        <f t="shared" si="835"/>
        <v>10</v>
      </c>
      <c r="C3311" s="5">
        <f t="shared" si="836"/>
        <v>2024</v>
      </c>
      <c r="D3311" s="5" t="s">
        <v>3025</v>
      </c>
      <c r="E3311" s="5" t="str">
        <f>VLOOKUP(F3311,'Set up'!$A$2:$C$70,2,FALSE)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up'!$A$2:$C$70,3,FALSE)</f>
        <v>Cash</v>
      </c>
      <c r="J3311" s="5">
        <f>VLOOKUP(F3311,'Set up'!$A$2:$D$70,4,FALSE)</f>
        <v>0</v>
      </c>
      <c r="K3311" s="4">
        <f t="shared" si="837"/>
        <v>45587</v>
      </c>
      <c r="L3311" s="5">
        <f t="shared" si="838"/>
        <v>10</v>
      </c>
      <c r="M3311" s="5">
        <f t="shared" si="839"/>
        <v>2024</v>
      </c>
      <c r="N3311" s="12">
        <v>1000</v>
      </c>
      <c r="O3311" s="6">
        <f t="shared" si="848"/>
        <v>-1000</v>
      </c>
      <c r="P3311" s="12">
        <f t="shared" si="843"/>
        <v>0</v>
      </c>
      <c r="Q3311" s="7">
        <f t="shared" si="831"/>
        <v>5410686.6499999994</v>
      </c>
      <c r="R3311" s="44" t="str">
        <f>VLOOKUP(F3311,'Set up'!$A$2:$E$70,5,FALSE)</f>
        <v>Trsf</v>
      </c>
      <c r="S3311" s="1" t="s">
        <v>3563</v>
      </c>
    </row>
    <row r="3312" spans="1:19" ht="15" customHeight="1" x14ac:dyDescent="0.35">
      <c r="A3312" s="4">
        <v>45587</v>
      </c>
      <c r="B3312" s="5">
        <f t="shared" si="835"/>
        <v>10</v>
      </c>
      <c r="C3312" s="5">
        <f t="shared" si="836"/>
        <v>2024</v>
      </c>
      <c r="D3312" s="5" t="s">
        <v>3026</v>
      </c>
      <c r="E3312" s="5" t="str">
        <f>VLOOKUP(F3312,'Set up'!$A$2:$C$70,2,FALSE)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up'!$A$2:$C$70,3,FALSE)</f>
        <v>Cash</v>
      </c>
      <c r="J3312" s="5">
        <f>VLOOKUP(F3312,'Set up'!$A$2:$D$70,4,FALSE)</f>
        <v>0</v>
      </c>
      <c r="K3312" s="4">
        <f t="shared" si="837"/>
        <v>45587</v>
      </c>
      <c r="L3312" s="5">
        <f t="shared" si="838"/>
        <v>10</v>
      </c>
      <c r="M3312" s="5">
        <f t="shared" si="839"/>
        <v>2024</v>
      </c>
      <c r="N3312" s="96">
        <v>231</v>
      </c>
      <c r="O3312" s="6">
        <f t="shared" ref="O3312" si="849">-N3312</f>
        <v>-231</v>
      </c>
      <c r="P3312" s="12">
        <f t="shared" si="843"/>
        <v>0</v>
      </c>
      <c r="Q3312" s="7">
        <f t="shared" ref="Q3312:Q3333" si="850">SUM(Q3289+N3312)</f>
        <v>5395649.5499999998</v>
      </c>
      <c r="R3312" s="44" t="str">
        <f>VLOOKUP(F3312,'Set up'!$A$2:$E$70,5,FALSE)</f>
        <v>Cash</v>
      </c>
      <c r="S3312" s="1" t="s">
        <v>3064</v>
      </c>
    </row>
    <row r="3313" spans="1:19" ht="15" customHeight="1" x14ac:dyDescent="0.35">
      <c r="A3313" s="4">
        <v>45587</v>
      </c>
      <c r="B3313" s="5">
        <f t="shared" si="835"/>
        <v>10</v>
      </c>
      <c r="C3313" s="5">
        <f t="shared" si="836"/>
        <v>2024</v>
      </c>
      <c r="D3313" s="5" t="s">
        <v>3027</v>
      </c>
      <c r="E3313" s="5" t="str">
        <f>VLOOKUP(F3313,'Set up'!$A$2:$C$70,2,FALSE)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up'!$A$2:$C$70,3,FALSE)</f>
        <v>Cash</v>
      </c>
      <c r="J3313" s="5">
        <f>VLOOKUP(F3313,'Set up'!$A$2:$D$70,4,FALSE)</f>
        <v>0</v>
      </c>
      <c r="K3313" s="4">
        <f t="shared" si="837"/>
        <v>45587</v>
      </c>
      <c r="L3313" s="5">
        <f t="shared" si="838"/>
        <v>10</v>
      </c>
      <c r="M3313" s="5">
        <f t="shared" si="839"/>
        <v>2024</v>
      </c>
      <c r="N3313" s="98">
        <v>1738</v>
      </c>
      <c r="O3313" s="12"/>
      <c r="P3313" s="12">
        <f t="shared" si="843"/>
        <v>1738</v>
      </c>
      <c r="Q3313" s="7">
        <f t="shared" si="850"/>
        <v>5397281.5499999998</v>
      </c>
      <c r="R3313" s="44" t="str">
        <f>VLOOKUP(F3313,'Set up'!$A$2:$E$70,5,FALSE)</f>
        <v>Trsf</v>
      </c>
    </row>
    <row r="3314" spans="1:19" ht="15" customHeight="1" x14ac:dyDescent="0.35">
      <c r="A3314" s="4">
        <v>45588</v>
      </c>
      <c r="B3314" s="5">
        <f t="shared" si="835"/>
        <v>10</v>
      </c>
      <c r="C3314" s="5">
        <f t="shared" si="836"/>
        <v>2024</v>
      </c>
      <c r="D3314" s="5" t="s">
        <v>3028</v>
      </c>
      <c r="E3314" s="5" t="str">
        <f>VLOOKUP(F3314,'Set up'!$A$2:$C$70,2,FALSE)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up'!$A$2:$C$70,3,FALSE)</f>
        <v>120</v>
      </c>
      <c r="J3314" s="5">
        <f>VLOOKUP(F3314,'Set up'!$A$2:$D$70,4,FALSE)</f>
        <v>120</v>
      </c>
      <c r="K3314" s="4">
        <f t="shared" si="837"/>
        <v>45708</v>
      </c>
      <c r="L3314" s="5">
        <f t="shared" si="838"/>
        <v>2</v>
      </c>
      <c r="M3314" s="5">
        <f t="shared" si="839"/>
        <v>2025</v>
      </c>
      <c r="N3314" s="12">
        <v>16060</v>
      </c>
      <c r="O3314" s="6">
        <f t="shared" ref="O3314:O3322" si="851">-N3314</f>
        <v>-16060</v>
      </c>
      <c r="P3314" s="12">
        <f t="shared" si="843"/>
        <v>0</v>
      </c>
      <c r="Q3314" s="7">
        <f t="shared" si="850"/>
        <v>5411698.5499999998</v>
      </c>
      <c r="R3314" s="44" t="str">
        <f>VLOOKUP(F3314,'Set up'!$A$2:$E$70,5,FALSE)</f>
        <v>Trsf</v>
      </c>
      <c r="S3314" s="1" t="s">
        <v>3608</v>
      </c>
    </row>
    <row r="3315" spans="1:19" ht="15" customHeight="1" x14ac:dyDescent="0.35">
      <c r="A3315" s="4">
        <v>45588</v>
      </c>
      <c r="B3315" s="5">
        <f t="shared" si="835"/>
        <v>10</v>
      </c>
      <c r="C3315" s="5">
        <f t="shared" si="836"/>
        <v>2024</v>
      </c>
      <c r="D3315" s="5" t="s">
        <v>3028</v>
      </c>
      <c r="E3315" s="5" t="str">
        <f>VLOOKUP(F3315,'Set up'!$A$2:$C$70,2,FALSE)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up'!$A$2:$C$70,3,FALSE)</f>
        <v>120</v>
      </c>
      <c r="J3315" s="5">
        <f>VLOOKUP(F3315,'Set up'!$A$2:$D$70,4,FALSE)</f>
        <v>120</v>
      </c>
      <c r="K3315" s="4">
        <f t="shared" si="837"/>
        <v>45708</v>
      </c>
      <c r="L3315" s="5">
        <f t="shared" si="838"/>
        <v>2</v>
      </c>
      <c r="M3315" s="5">
        <f t="shared" si="839"/>
        <v>2025</v>
      </c>
      <c r="N3315" s="12">
        <v>1740</v>
      </c>
      <c r="O3315" s="6">
        <f t="shared" si="851"/>
        <v>-1740</v>
      </c>
      <c r="P3315" s="12">
        <f t="shared" si="843"/>
        <v>0</v>
      </c>
      <c r="Q3315" s="7">
        <f t="shared" si="850"/>
        <v>5397950.5499999998</v>
      </c>
      <c r="R3315" s="44" t="str">
        <f>VLOOKUP(F3315,'Set up'!$A$2:$E$70,5,FALSE)</f>
        <v>Trsf</v>
      </c>
      <c r="S3315" s="1" t="s">
        <v>3608</v>
      </c>
    </row>
    <row r="3316" spans="1:19" ht="15" customHeight="1" x14ac:dyDescent="0.35">
      <c r="A3316" s="4">
        <v>45588</v>
      </c>
      <c r="B3316" s="5">
        <f t="shared" si="835"/>
        <v>10</v>
      </c>
      <c r="C3316" s="5">
        <f t="shared" si="836"/>
        <v>2024</v>
      </c>
      <c r="D3316" s="5" t="s">
        <v>3028</v>
      </c>
      <c r="E3316" s="5" t="str">
        <f>VLOOKUP(F3316,'Set up'!$A$2:$C$70,2,FALSE)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up'!$A$2:$C$70,3,FALSE)</f>
        <v>120</v>
      </c>
      <c r="J3316" s="5">
        <f>VLOOKUP(F3316,'Set up'!$A$2:$D$70,4,FALSE)</f>
        <v>120</v>
      </c>
      <c r="K3316" s="4">
        <f t="shared" si="837"/>
        <v>45708</v>
      </c>
      <c r="L3316" s="5">
        <f t="shared" si="838"/>
        <v>2</v>
      </c>
      <c r="M3316" s="5">
        <f t="shared" si="839"/>
        <v>2025</v>
      </c>
      <c r="N3316" s="12">
        <v>348</v>
      </c>
      <c r="O3316" s="6">
        <f t="shared" si="851"/>
        <v>-348</v>
      </c>
      <c r="P3316" s="12">
        <f t="shared" si="843"/>
        <v>0</v>
      </c>
      <c r="Q3316" s="7">
        <f t="shared" si="850"/>
        <v>5396948.5499999998</v>
      </c>
      <c r="R3316" s="44" t="str">
        <f>VLOOKUP(F3316,'Set up'!$A$2:$E$70,5,FALSE)</f>
        <v>Trsf</v>
      </c>
      <c r="S3316" s="1" t="s">
        <v>3608</v>
      </c>
    </row>
    <row r="3317" spans="1:19" ht="15" customHeight="1" x14ac:dyDescent="0.35">
      <c r="A3317" s="4">
        <v>45588</v>
      </c>
      <c r="B3317" s="5">
        <f t="shared" si="835"/>
        <v>10</v>
      </c>
      <c r="C3317" s="5">
        <f t="shared" si="836"/>
        <v>2024</v>
      </c>
      <c r="D3317" s="5" t="s">
        <v>3028</v>
      </c>
      <c r="E3317" s="5" t="str">
        <f>VLOOKUP(F3317,'Set up'!$A$2:$C$70,2,FALSE)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up'!$A$2:$C$70,3,FALSE)</f>
        <v>120</v>
      </c>
      <c r="J3317" s="5">
        <f>VLOOKUP(F3317,'Set up'!$A$2:$D$70,4,FALSE)</f>
        <v>120</v>
      </c>
      <c r="K3317" s="4">
        <f t="shared" si="837"/>
        <v>45708</v>
      </c>
      <c r="L3317" s="5">
        <f t="shared" si="838"/>
        <v>2</v>
      </c>
      <c r="M3317" s="5">
        <f t="shared" si="839"/>
        <v>2025</v>
      </c>
      <c r="N3317" s="12">
        <v>862.5</v>
      </c>
      <c r="O3317" s="6">
        <f t="shared" si="851"/>
        <v>-862.5</v>
      </c>
      <c r="P3317" s="12">
        <f t="shared" si="843"/>
        <v>0</v>
      </c>
      <c r="Q3317" s="7">
        <f t="shared" si="850"/>
        <v>5399157.0499999998</v>
      </c>
      <c r="R3317" s="44" t="str">
        <f>VLOOKUP(F3317,'Set up'!$A$2:$E$70,5,FALSE)</f>
        <v>Trsf</v>
      </c>
      <c r="S3317" s="1" t="s">
        <v>3608</v>
      </c>
    </row>
    <row r="3318" spans="1:19" ht="15" customHeight="1" x14ac:dyDescent="0.35">
      <c r="A3318" s="4">
        <v>45588</v>
      </c>
      <c r="B3318" s="5">
        <f t="shared" si="835"/>
        <v>10</v>
      </c>
      <c r="C3318" s="5">
        <f t="shared" si="836"/>
        <v>2024</v>
      </c>
      <c r="D3318" s="5" t="s">
        <v>3028</v>
      </c>
      <c r="E3318" s="5" t="str">
        <f>VLOOKUP(F3318,'Set up'!$A$2:$C$70,2,FALSE)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up'!$A$2:$C$70,3,FALSE)</f>
        <v>120</v>
      </c>
      <c r="J3318" s="5">
        <f>VLOOKUP(F3318,'Set up'!$A$2:$D$70,4,FALSE)</f>
        <v>120</v>
      </c>
      <c r="K3318" s="4">
        <f t="shared" si="837"/>
        <v>45708</v>
      </c>
      <c r="L3318" s="5">
        <f t="shared" si="838"/>
        <v>2</v>
      </c>
      <c r="M3318" s="5">
        <f t="shared" si="839"/>
        <v>2025</v>
      </c>
      <c r="N3318" s="12">
        <v>440</v>
      </c>
      <c r="O3318" s="6">
        <f t="shared" si="851"/>
        <v>-440</v>
      </c>
      <c r="P3318" s="12">
        <f t="shared" si="843"/>
        <v>0</v>
      </c>
      <c r="Q3318" s="7">
        <f t="shared" si="850"/>
        <v>5399005.1499999994</v>
      </c>
      <c r="R3318" s="44" t="str">
        <f>VLOOKUP(F3318,'Set up'!$A$2:$E$70,5,FALSE)</f>
        <v>Trsf</v>
      </c>
      <c r="S3318" s="1" t="s">
        <v>3608</v>
      </c>
    </row>
    <row r="3319" spans="1:19" ht="15" customHeight="1" x14ac:dyDescent="0.35">
      <c r="A3319" s="4">
        <v>45588</v>
      </c>
      <c r="B3319" s="5">
        <f t="shared" si="835"/>
        <v>10</v>
      </c>
      <c r="C3319" s="5">
        <f t="shared" si="836"/>
        <v>2024</v>
      </c>
      <c r="D3319" s="5" t="s">
        <v>3028</v>
      </c>
      <c r="E3319" s="5" t="str">
        <f>VLOOKUP(F3319,'Set up'!$A$2:$C$70,2,FALSE)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up'!$A$2:$C$70,3,FALSE)</f>
        <v>120</v>
      </c>
      <c r="J3319" s="5">
        <f>VLOOKUP(F3319,'Set up'!$A$2:$D$70,4,FALSE)</f>
        <v>120</v>
      </c>
      <c r="K3319" s="4">
        <f t="shared" si="837"/>
        <v>45708</v>
      </c>
      <c r="L3319" s="5">
        <f t="shared" si="838"/>
        <v>2</v>
      </c>
      <c r="M3319" s="5">
        <f t="shared" si="839"/>
        <v>2025</v>
      </c>
      <c r="N3319" s="12">
        <v>395</v>
      </c>
      <c r="O3319" s="6">
        <f t="shared" si="851"/>
        <v>-395</v>
      </c>
      <c r="P3319" s="12">
        <f t="shared" si="843"/>
        <v>0</v>
      </c>
      <c r="Q3319" s="7">
        <f t="shared" si="850"/>
        <v>5400698.1499999994</v>
      </c>
      <c r="R3319" s="44" t="str">
        <f>VLOOKUP(F3319,'Set up'!$A$2:$E$70,5,FALSE)</f>
        <v>Trsf</v>
      </c>
      <c r="S3319" s="1" t="s">
        <v>3608</v>
      </c>
    </row>
    <row r="3320" spans="1:19" ht="15" customHeight="1" x14ac:dyDescent="0.35">
      <c r="A3320" s="4">
        <v>45588</v>
      </c>
      <c r="B3320" s="5">
        <f t="shared" si="835"/>
        <v>10</v>
      </c>
      <c r="C3320" s="5">
        <f t="shared" si="836"/>
        <v>2024</v>
      </c>
      <c r="D3320" s="5" t="s">
        <v>3028</v>
      </c>
      <c r="E3320" s="5" t="str">
        <f>VLOOKUP(F3320,'Set up'!$A$2:$C$70,2,FALSE)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up'!$A$2:$C$70,3,FALSE)</f>
        <v>120</v>
      </c>
      <c r="J3320" s="5">
        <f>VLOOKUP(F3320,'Set up'!$A$2:$D$70,4,FALSE)</f>
        <v>120</v>
      </c>
      <c r="K3320" s="4">
        <f t="shared" si="837"/>
        <v>45708</v>
      </c>
      <c r="L3320" s="5">
        <f t="shared" si="838"/>
        <v>2</v>
      </c>
      <c r="M3320" s="5">
        <f t="shared" si="839"/>
        <v>2025</v>
      </c>
      <c r="N3320" s="12">
        <v>420</v>
      </c>
      <c r="O3320" s="6">
        <f t="shared" si="851"/>
        <v>-420</v>
      </c>
      <c r="P3320" s="12">
        <f t="shared" si="843"/>
        <v>0</v>
      </c>
      <c r="Q3320" s="7">
        <f t="shared" si="850"/>
        <v>5401278.1499999994</v>
      </c>
      <c r="R3320" s="44" t="str">
        <f>VLOOKUP(F3320,'Set up'!$A$2:$E$70,5,FALSE)</f>
        <v>Trsf</v>
      </c>
      <c r="S3320" s="1" t="s">
        <v>3608</v>
      </c>
    </row>
    <row r="3321" spans="1:19" ht="15" customHeight="1" x14ac:dyDescent="0.35">
      <c r="A3321" s="4">
        <v>45588</v>
      </c>
      <c r="B3321" s="5">
        <f t="shared" si="835"/>
        <v>10</v>
      </c>
      <c r="C3321" s="5">
        <f t="shared" si="836"/>
        <v>2024</v>
      </c>
      <c r="D3321" s="5" t="s">
        <v>3028</v>
      </c>
      <c r="E3321" s="5" t="str">
        <f>VLOOKUP(F3321,'Set up'!$A$2:$C$70,2,FALSE)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up'!$A$2:$C$70,3,FALSE)</f>
        <v>120</v>
      </c>
      <c r="J3321" s="5">
        <f>VLOOKUP(F3321,'Set up'!$A$2:$D$70,4,FALSE)</f>
        <v>120</v>
      </c>
      <c r="K3321" s="4">
        <f t="shared" si="837"/>
        <v>45708</v>
      </c>
      <c r="L3321" s="5">
        <f t="shared" si="838"/>
        <v>2</v>
      </c>
      <c r="M3321" s="5">
        <f t="shared" si="839"/>
        <v>2025</v>
      </c>
      <c r="N3321" s="12">
        <v>230.4</v>
      </c>
      <c r="O3321" s="6">
        <f t="shared" si="851"/>
        <v>-230.4</v>
      </c>
      <c r="P3321" s="12">
        <f t="shared" si="843"/>
        <v>0</v>
      </c>
      <c r="Q3321" s="7">
        <f t="shared" si="850"/>
        <v>5401183.5499999998</v>
      </c>
      <c r="R3321" s="44" t="str">
        <f>VLOOKUP(F3321,'Set up'!$A$2:$E$70,5,FALSE)</f>
        <v>Trsf</v>
      </c>
      <c r="S3321" s="1" t="s">
        <v>3608</v>
      </c>
    </row>
    <row r="3322" spans="1:19" ht="15" customHeight="1" x14ac:dyDescent="0.35">
      <c r="A3322" s="4">
        <v>45588</v>
      </c>
      <c r="B3322" s="5">
        <f t="shared" si="835"/>
        <v>10</v>
      </c>
      <c r="C3322" s="5">
        <f t="shared" si="836"/>
        <v>2024</v>
      </c>
      <c r="D3322" s="5" t="s">
        <v>3028</v>
      </c>
      <c r="E3322" s="5" t="str">
        <f>VLOOKUP(F3322,'Set up'!$A$2:$C$70,2,FALSE)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up'!$A$2:$C$70,3,FALSE)</f>
        <v>120</v>
      </c>
      <c r="J3322" s="5">
        <f>VLOOKUP(F3322,'Set up'!$A$2:$D$70,4,FALSE)</f>
        <v>120</v>
      </c>
      <c r="K3322" s="4">
        <f t="shared" si="837"/>
        <v>45708</v>
      </c>
      <c r="L3322" s="5">
        <f t="shared" si="838"/>
        <v>2</v>
      </c>
      <c r="M3322" s="5">
        <f t="shared" si="839"/>
        <v>2025</v>
      </c>
      <c r="N3322" s="12">
        <v>220.8</v>
      </c>
      <c r="O3322" s="6">
        <f t="shared" si="851"/>
        <v>-220.8</v>
      </c>
      <c r="P3322" s="12">
        <f t="shared" si="843"/>
        <v>0</v>
      </c>
      <c r="Q3322" s="7">
        <f t="shared" si="850"/>
        <v>5401473.9499999993</v>
      </c>
      <c r="R3322" s="44" t="str">
        <f>VLOOKUP(F3322,'Set up'!$A$2:$E$70,5,FALSE)</f>
        <v>Trsf</v>
      </c>
      <c r="S3322" s="1" t="s">
        <v>3608</v>
      </c>
    </row>
    <row r="3323" spans="1:19" ht="15" customHeight="1" x14ac:dyDescent="0.35">
      <c r="A3323" s="4">
        <v>45591</v>
      </c>
      <c r="B3323" s="5">
        <f t="shared" si="835"/>
        <v>10</v>
      </c>
      <c r="C3323" s="5">
        <f t="shared" si="836"/>
        <v>2024</v>
      </c>
      <c r="D3323" s="5" t="s">
        <v>3029</v>
      </c>
      <c r="E3323" s="5" t="str">
        <f>VLOOKUP(F3323,'Set up'!$A$2:$C$70,2,FALSE)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up'!$A$2:$C$70,3,FALSE)</f>
        <v>Cash</v>
      </c>
      <c r="J3323" s="5">
        <f>VLOOKUP(F3323,'Set up'!$A$2:$D$70,4,FALSE)</f>
        <v>0</v>
      </c>
      <c r="K3323" s="4">
        <f t="shared" si="837"/>
        <v>45591</v>
      </c>
      <c r="L3323" s="5">
        <f t="shared" si="838"/>
        <v>10</v>
      </c>
      <c r="M3323" s="5">
        <f t="shared" si="839"/>
        <v>2024</v>
      </c>
      <c r="N3323" s="12">
        <v>625</v>
      </c>
      <c r="O3323" s="6">
        <f t="shared" ref="O3323" si="852">-N3323</f>
        <v>-625</v>
      </c>
      <c r="P3323" s="12">
        <f t="shared" si="843"/>
        <v>0</v>
      </c>
      <c r="Q3323" s="7">
        <f t="shared" si="850"/>
        <v>5402103.1499999994</v>
      </c>
      <c r="R3323" s="44" t="str">
        <f>VLOOKUP(F3323,'Set up'!$A$2:$E$70,5,FALSE)</f>
        <v>Trsf</v>
      </c>
      <c r="S3323" s="1" t="s">
        <v>3564</v>
      </c>
    </row>
    <row r="3324" spans="1:19" ht="15" customHeight="1" x14ac:dyDescent="0.35">
      <c r="A3324" s="4">
        <v>45591</v>
      </c>
      <c r="B3324" s="5">
        <f t="shared" si="835"/>
        <v>10</v>
      </c>
      <c r="C3324" s="5">
        <f t="shared" si="836"/>
        <v>2024</v>
      </c>
      <c r="D3324" s="5" t="s">
        <v>3030</v>
      </c>
      <c r="E3324" s="5" t="str">
        <f>VLOOKUP(F3324,'Set up'!$A$2:$C$70,2,FALSE)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up'!$A$2:$C$70,3,FALSE)</f>
        <v>Cash</v>
      </c>
      <c r="J3324" s="5">
        <f>VLOOKUP(F3324,'Set up'!$A$2:$D$70,4,FALSE)</f>
        <v>0</v>
      </c>
      <c r="K3324" s="4">
        <f t="shared" si="837"/>
        <v>45591</v>
      </c>
      <c r="L3324" s="5">
        <f t="shared" si="838"/>
        <v>10</v>
      </c>
      <c r="M3324" s="5">
        <f t="shared" si="839"/>
        <v>2024</v>
      </c>
      <c r="N3324" s="12">
        <v>16060</v>
      </c>
      <c r="O3324" s="12">
        <f>-11950.4-4109.6</f>
        <v>-16060</v>
      </c>
      <c r="P3324" s="12">
        <f t="shared" si="843"/>
        <v>0</v>
      </c>
      <c r="Q3324" s="7">
        <f t="shared" si="850"/>
        <v>5417648.1499999994</v>
      </c>
      <c r="R3324" s="44" t="str">
        <f>VLOOKUP(F3324,'Set up'!$A$2:$E$70,5,FALSE)</f>
        <v>Trsf</v>
      </c>
      <c r="S3324" s="1" t="s">
        <v>3565</v>
      </c>
    </row>
    <row r="3325" spans="1:19" ht="15" customHeight="1" x14ac:dyDescent="0.35">
      <c r="A3325" s="4">
        <v>45591</v>
      </c>
      <c r="B3325" s="5">
        <f t="shared" si="835"/>
        <v>10</v>
      </c>
      <c r="C3325" s="5">
        <f t="shared" si="836"/>
        <v>2024</v>
      </c>
      <c r="D3325" s="5" t="s">
        <v>3030</v>
      </c>
      <c r="E3325" s="5" t="str">
        <f>VLOOKUP(F3325,'Set up'!$A$2:$C$70,2,FALSE)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up'!$A$2:$C$70,3,FALSE)</f>
        <v>Cash</v>
      </c>
      <c r="J3325" s="5">
        <f>VLOOKUP(F3325,'Set up'!$A$2:$D$70,4,FALSE)</f>
        <v>0</v>
      </c>
      <c r="K3325" s="4">
        <f t="shared" si="837"/>
        <v>45591</v>
      </c>
      <c r="L3325" s="5">
        <f t="shared" si="838"/>
        <v>10</v>
      </c>
      <c r="M3325" s="5">
        <f t="shared" si="839"/>
        <v>2024</v>
      </c>
      <c r="N3325" s="12">
        <v>6438</v>
      </c>
      <c r="O3325" s="12">
        <f>-890.4-5547.6</f>
        <v>-6438</v>
      </c>
      <c r="P3325" s="12">
        <f t="shared" si="843"/>
        <v>0</v>
      </c>
      <c r="Q3325" s="7">
        <f t="shared" si="850"/>
        <v>5408416.1499999994</v>
      </c>
      <c r="R3325" s="44" t="str">
        <f>VLOOKUP(F3325,'Set up'!$A$2:$E$70,5,FALSE)</f>
        <v>Trsf</v>
      </c>
      <c r="S3325" s="1" t="s">
        <v>3566</v>
      </c>
    </row>
    <row r="3326" spans="1:19" ht="15" customHeight="1" x14ac:dyDescent="0.35">
      <c r="A3326" s="4">
        <v>45591</v>
      </c>
      <c r="B3326" s="5">
        <f t="shared" si="835"/>
        <v>10</v>
      </c>
      <c r="C3326" s="5">
        <f t="shared" si="836"/>
        <v>2024</v>
      </c>
      <c r="D3326" s="5" t="s">
        <v>3030</v>
      </c>
      <c r="E3326" s="5" t="str">
        <f>VLOOKUP(F3326,'Set up'!$A$2:$C$70,2,FALSE)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up'!$A$2:$C$70,3,FALSE)</f>
        <v>Cash</v>
      </c>
      <c r="J3326" s="5">
        <f>VLOOKUP(F3326,'Set up'!$A$2:$D$70,4,FALSE)</f>
        <v>0</v>
      </c>
      <c r="K3326" s="4">
        <f t="shared" si="837"/>
        <v>45591</v>
      </c>
      <c r="L3326" s="5">
        <f t="shared" si="838"/>
        <v>10</v>
      </c>
      <c r="M3326" s="5">
        <f t="shared" si="839"/>
        <v>2024</v>
      </c>
      <c r="N3326" s="12">
        <v>3577.5</v>
      </c>
      <c r="O3326" s="6">
        <f t="shared" ref="O3326:O3327" si="853">-N3326</f>
        <v>-3577.5</v>
      </c>
      <c r="P3326" s="12">
        <f t="shared" si="843"/>
        <v>0</v>
      </c>
      <c r="Q3326" s="7">
        <f t="shared" si="850"/>
        <v>5407249.6499999994</v>
      </c>
      <c r="R3326" s="44" t="str">
        <f>VLOOKUP(F3326,'Set up'!$A$2:$E$70,5,FALSE)</f>
        <v>Trsf</v>
      </c>
      <c r="S3326" s="1" t="s">
        <v>3567</v>
      </c>
    </row>
    <row r="3327" spans="1:19" ht="15" customHeight="1" x14ac:dyDescent="0.35">
      <c r="A3327" s="4">
        <v>45591</v>
      </c>
      <c r="B3327" s="5">
        <f t="shared" si="835"/>
        <v>10</v>
      </c>
      <c r="C3327" s="5">
        <f t="shared" si="836"/>
        <v>2024</v>
      </c>
      <c r="D3327" s="5" t="s">
        <v>3030</v>
      </c>
      <c r="E3327" s="5" t="str">
        <f>VLOOKUP(F3327,'Set up'!$A$2:$C$70,2,FALSE)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up'!$A$2:$C$70,3,FALSE)</f>
        <v>Cash</v>
      </c>
      <c r="J3327" s="5">
        <f>VLOOKUP(F3327,'Set up'!$A$2:$D$70,4,FALSE)</f>
        <v>0</v>
      </c>
      <c r="K3327" s="4">
        <f t="shared" si="837"/>
        <v>45591</v>
      </c>
      <c r="L3327" s="5">
        <f t="shared" si="838"/>
        <v>10</v>
      </c>
      <c r="M3327" s="5">
        <f t="shared" si="839"/>
        <v>2024</v>
      </c>
      <c r="N3327" s="12">
        <v>380</v>
      </c>
      <c r="O3327" s="6">
        <f t="shared" si="853"/>
        <v>-380</v>
      </c>
      <c r="P3327" s="12">
        <f t="shared" si="843"/>
        <v>0</v>
      </c>
      <c r="Q3327" s="7">
        <f t="shared" si="850"/>
        <v>5404484.1499999994</v>
      </c>
      <c r="R3327" s="44" t="str">
        <f>VLOOKUP(F3327,'Set up'!$A$2:$E$70,5,FALSE)</f>
        <v>Trsf</v>
      </c>
      <c r="S3327" s="1" t="s">
        <v>3568</v>
      </c>
    </row>
    <row r="3328" spans="1:19" ht="15" customHeight="1" x14ac:dyDescent="0.35">
      <c r="A3328" s="4">
        <v>45591</v>
      </c>
      <c r="B3328" s="5">
        <f t="shared" si="835"/>
        <v>10</v>
      </c>
      <c r="C3328" s="5">
        <f t="shared" si="836"/>
        <v>2024</v>
      </c>
      <c r="D3328" s="5" t="s">
        <v>3030</v>
      </c>
      <c r="E3328" s="5" t="str">
        <f>VLOOKUP(F3328,'Set up'!$A$2:$C$70,2,FALSE)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up'!$A$2:$C$70,3,FALSE)</f>
        <v>Cash</v>
      </c>
      <c r="J3328" s="5">
        <f>VLOOKUP(F3328,'Set up'!$A$2:$D$70,4,FALSE)</f>
        <v>0</v>
      </c>
      <c r="K3328" s="4">
        <f t="shared" si="837"/>
        <v>45591</v>
      </c>
      <c r="L3328" s="5">
        <f t="shared" si="838"/>
        <v>10</v>
      </c>
      <c r="M3328" s="5">
        <f t="shared" si="839"/>
        <v>2024</v>
      </c>
      <c r="N3328" s="12">
        <v>1000</v>
      </c>
      <c r="O3328" s="12">
        <f>-494.9-505.1</f>
        <v>-1000</v>
      </c>
      <c r="P3328" s="12">
        <f t="shared" si="843"/>
        <v>0</v>
      </c>
      <c r="Q3328" s="7">
        <f t="shared" si="850"/>
        <v>5405384.1499999994</v>
      </c>
      <c r="R3328" s="44" t="str">
        <f>VLOOKUP(F3328,'Set up'!$A$2:$E$70,5,FALSE)</f>
        <v>Trsf</v>
      </c>
      <c r="S3328" s="1" t="s">
        <v>3569</v>
      </c>
    </row>
    <row r="3329" spans="1:19" ht="15" customHeight="1" x14ac:dyDescent="0.35">
      <c r="A3329" s="4">
        <v>45594</v>
      </c>
      <c r="B3329" s="5">
        <f t="shared" si="835"/>
        <v>10</v>
      </c>
      <c r="C3329" s="5">
        <f t="shared" si="836"/>
        <v>2024</v>
      </c>
      <c r="D3329" s="5" t="s">
        <v>3031</v>
      </c>
      <c r="E3329" s="5" t="str">
        <f>VLOOKUP(F3329,'Set up'!$A$2:$C$70,2,FALSE)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up'!$A$2:$C$70,3,FALSE)</f>
        <v>Cash</v>
      </c>
      <c r="J3329" s="5">
        <f>VLOOKUP(F3329,'Set up'!$A$2:$D$70,4,FALSE)</f>
        <v>0</v>
      </c>
      <c r="K3329" s="4">
        <f t="shared" si="837"/>
        <v>45594</v>
      </c>
      <c r="L3329" s="5">
        <f t="shared" si="838"/>
        <v>10</v>
      </c>
      <c r="M3329" s="5">
        <f t="shared" si="839"/>
        <v>2024</v>
      </c>
      <c r="N3329" s="12">
        <v>1694</v>
      </c>
      <c r="O3329" s="6">
        <f t="shared" ref="O3329:O3332" si="854">-N3329</f>
        <v>-1694</v>
      </c>
      <c r="P3329" s="12">
        <f t="shared" si="843"/>
        <v>0</v>
      </c>
      <c r="Q3329" s="7">
        <f t="shared" si="850"/>
        <v>5406203.1499999994</v>
      </c>
      <c r="R3329" s="44" t="str">
        <f>VLOOKUP(F3329,'Set up'!$A$2:$E$70,5,FALSE)</f>
        <v>Cash</v>
      </c>
      <c r="S3329" s="1" t="s">
        <v>3060</v>
      </c>
    </row>
    <row r="3330" spans="1:19" ht="15" customHeight="1" x14ac:dyDescent="0.35">
      <c r="A3330" s="4">
        <v>45594</v>
      </c>
      <c r="B3330" s="5">
        <f t="shared" si="835"/>
        <v>10</v>
      </c>
      <c r="C3330" s="5">
        <f t="shared" si="836"/>
        <v>2024</v>
      </c>
      <c r="D3330" s="5" t="s">
        <v>3031</v>
      </c>
      <c r="E3330" s="5" t="str">
        <f>VLOOKUP(F3330,'Set up'!$A$2:$C$70,2,FALSE)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up'!$A$2:$C$70,3,FALSE)</f>
        <v>Cash</v>
      </c>
      <c r="J3330" s="5">
        <f>VLOOKUP(F3330,'Set up'!$A$2:$D$70,4,FALSE)</f>
        <v>0</v>
      </c>
      <c r="K3330" s="4">
        <f t="shared" si="837"/>
        <v>45594</v>
      </c>
      <c r="L3330" s="5">
        <f t="shared" si="838"/>
        <v>10</v>
      </c>
      <c r="M3330" s="5">
        <f t="shared" si="839"/>
        <v>2024</v>
      </c>
      <c r="N3330" s="12">
        <v>432</v>
      </c>
      <c r="O3330" s="6">
        <f t="shared" si="854"/>
        <v>-432</v>
      </c>
      <c r="P3330" s="12">
        <f t="shared" si="843"/>
        <v>0</v>
      </c>
      <c r="Q3330" s="7">
        <f t="shared" si="850"/>
        <v>5408153.1499999994</v>
      </c>
      <c r="R3330" s="44" t="str">
        <f>VLOOKUP(F3330,'Set up'!$A$2:$E$70,5,FALSE)</f>
        <v>Cash</v>
      </c>
      <c r="S3330" s="1" t="s">
        <v>3060</v>
      </c>
    </row>
    <row r="3331" spans="1:19" ht="15" customHeight="1" x14ac:dyDescent="0.35">
      <c r="A3331" s="4">
        <v>45594</v>
      </c>
      <c r="B3331" s="5">
        <f t="shared" ref="B3331:B3394" si="855">MONTH(A3331)</f>
        <v>10</v>
      </c>
      <c r="C3331" s="5">
        <f t="shared" ref="C3331:C3394" si="856">YEAR(A3331)</f>
        <v>2024</v>
      </c>
      <c r="D3331" s="5" t="s">
        <v>3031</v>
      </c>
      <c r="E3331" s="5" t="str">
        <f>VLOOKUP(F3331,'Set up'!$A$2:$C$70,2,FALSE)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up'!$A$2:$C$70,3,FALSE)</f>
        <v>Cash</v>
      </c>
      <c r="J3331" s="5">
        <f>VLOOKUP(F3331,'Set up'!$A$2:$D$70,4,FALSE)</f>
        <v>0</v>
      </c>
      <c r="K3331" s="4">
        <f t="shared" ref="K3331:K3394" si="857">A3331+J3331</f>
        <v>45594</v>
      </c>
      <c r="L3331" s="5">
        <f t="shared" ref="L3331:L3394" si="858">MONTH(K3331)</f>
        <v>10</v>
      </c>
      <c r="M3331" s="5">
        <f t="shared" ref="M3331:M3394" si="859">YEAR(K3331)</f>
        <v>2024</v>
      </c>
      <c r="N3331" s="12">
        <v>534</v>
      </c>
      <c r="O3331" s="6">
        <f t="shared" si="854"/>
        <v>-534</v>
      </c>
      <c r="P3331" s="12">
        <f t="shared" si="843"/>
        <v>0</v>
      </c>
      <c r="Q3331" s="7">
        <f t="shared" si="850"/>
        <v>5409125.1499999994</v>
      </c>
      <c r="R3331" s="44" t="str">
        <f>VLOOKUP(F3331,'Set up'!$A$2:$E$70,5,FALSE)</f>
        <v>Cash</v>
      </c>
      <c r="S3331" s="1" t="s">
        <v>3060</v>
      </c>
    </row>
    <row r="3332" spans="1:19" ht="15" customHeight="1" x14ac:dyDescent="0.35">
      <c r="A3332" s="4">
        <v>45594</v>
      </c>
      <c r="B3332" s="5">
        <f t="shared" si="855"/>
        <v>10</v>
      </c>
      <c r="C3332" s="5">
        <f t="shared" si="856"/>
        <v>2024</v>
      </c>
      <c r="D3332" s="5" t="s">
        <v>3031</v>
      </c>
      <c r="E3332" s="5" t="str">
        <f>VLOOKUP(F3332,'Set up'!$A$2:$C$70,2,FALSE)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up'!$A$2:$C$70,3,FALSE)</f>
        <v>Cash</v>
      </c>
      <c r="J3332" s="5">
        <f>VLOOKUP(F3332,'Set up'!$A$2:$D$70,4,FALSE)</f>
        <v>0</v>
      </c>
      <c r="K3332" s="4">
        <f t="shared" si="857"/>
        <v>45594</v>
      </c>
      <c r="L3332" s="5">
        <f t="shared" si="858"/>
        <v>10</v>
      </c>
      <c r="M3332" s="5">
        <f t="shared" si="859"/>
        <v>2024</v>
      </c>
      <c r="N3332" s="12">
        <v>110</v>
      </c>
      <c r="O3332" s="6">
        <f t="shared" si="854"/>
        <v>-110</v>
      </c>
      <c r="P3332" s="12">
        <f t="shared" si="843"/>
        <v>0</v>
      </c>
      <c r="Q3332" s="7">
        <f t="shared" si="850"/>
        <v>5409416.6499999994</v>
      </c>
      <c r="R3332" s="44" t="str">
        <f>VLOOKUP(F3332,'Set up'!$A$2:$E$70,5,FALSE)</f>
        <v>Cash</v>
      </c>
      <c r="S3332" s="1" t="s">
        <v>3060</v>
      </c>
    </row>
    <row r="3333" spans="1:19" ht="15" customHeight="1" x14ac:dyDescent="0.35">
      <c r="A3333" s="4">
        <v>45594</v>
      </c>
      <c r="B3333" s="5">
        <f t="shared" si="855"/>
        <v>10</v>
      </c>
      <c r="C3333" s="5">
        <f t="shared" si="856"/>
        <v>2024</v>
      </c>
      <c r="D3333" s="5" t="s">
        <v>3032</v>
      </c>
      <c r="E3333" s="5" t="str">
        <f>VLOOKUP(F3333,'Set up'!$A$2:$C$70,2,FALSE)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up'!$A$2:$C$70,3,FALSE)</f>
        <v>Cash</v>
      </c>
      <c r="J3333" s="5">
        <f>VLOOKUP(F3333,'Set up'!$A$2:$D$70,4,FALSE)</f>
        <v>0</v>
      </c>
      <c r="K3333" s="4">
        <f t="shared" si="857"/>
        <v>45594</v>
      </c>
      <c r="L3333" s="5">
        <f t="shared" si="858"/>
        <v>10</v>
      </c>
      <c r="M3333" s="5">
        <f t="shared" si="859"/>
        <v>2024</v>
      </c>
      <c r="N3333" s="12">
        <v>405</v>
      </c>
      <c r="O3333" s="12"/>
      <c r="P3333" s="12">
        <f t="shared" si="843"/>
        <v>405</v>
      </c>
      <c r="Q3333" s="7">
        <f t="shared" si="850"/>
        <v>5410091.6499999994</v>
      </c>
      <c r="R3333" s="44" t="str">
        <f>VLOOKUP(F3333,'Set up'!$A$2:$E$70,5,FALSE)</f>
        <v>Trsf</v>
      </c>
    </row>
    <row r="3334" spans="1:19" ht="15" customHeight="1" x14ac:dyDescent="0.35">
      <c r="A3334" s="4">
        <v>45594</v>
      </c>
      <c r="B3334" s="5">
        <f t="shared" si="855"/>
        <v>10</v>
      </c>
      <c r="C3334" s="5">
        <f t="shared" si="856"/>
        <v>2024</v>
      </c>
      <c r="D3334" s="5" t="s">
        <v>3033</v>
      </c>
      <c r="E3334" s="5" t="str">
        <f>VLOOKUP(F3334,'Set up'!$A$2:$C$70,2,FALSE)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up'!$A$2:$C$70,3,FALSE)</f>
        <v>Cash</v>
      </c>
      <c r="J3334" s="5">
        <f>VLOOKUP(F3334,'Set up'!$A$2:$D$70,4,FALSE)</f>
        <v>0</v>
      </c>
      <c r="K3334" s="4">
        <f t="shared" si="857"/>
        <v>45594</v>
      </c>
      <c r="L3334" s="5">
        <f t="shared" si="858"/>
        <v>10</v>
      </c>
      <c r="M3334" s="5">
        <f t="shared" si="859"/>
        <v>2024</v>
      </c>
      <c r="N3334" s="12">
        <v>356</v>
      </c>
      <c r="O3334" s="6">
        <f t="shared" ref="O3334:O3335" si="860">-N3334</f>
        <v>-356</v>
      </c>
      <c r="P3334" s="12">
        <f t="shared" si="843"/>
        <v>0</v>
      </c>
      <c r="Q3334" s="7">
        <f>SUM(Q3311+N3334)</f>
        <v>5411042.6499999994</v>
      </c>
      <c r="R3334" s="44" t="str">
        <f>VLOOKUP(F3334,'Set up'!$A$2:$E$70,5,FALSE)</f>
        <v>Cash</v>
      </c>
      <c r="S3334" s="1" t="s">
        <v>3059</v>
      </c>
    </row>
    <row r="3335" spans="1:19" ht="15" customHeight="1" x14ac:dyDescent="0.35">
      <c r="A3335" s="4">
        <v>45594</v>
      </c>
      <c r="B3335" s="5">
        <f t="shared" si="855"/>
        <v>10</v>
      </c>
      <c r="C3335" s="5">
        <f t="shared" si="856"/>
        <v>2024</v>
      </c>
      <c r="D3335" s="5" t="s">
        <v>3034</v>
      </c>
      <c r="E3335" s="5" t="str">
        <f>VLOOKUP(F3335,'Set up'!$A$2:$C$70,2,FALSE)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up'!$A$2:$C$70,3,FALSE)</f>
        <v>Cash</v>
      </c>
      <c r="J3335" s="5">
        <f>VLOOKUP(F3335,'Set up'!$A$2:$D$70,4,FALSE)</f>
        <v>0</v>
      </c>
      <c r="K3335" s="4">
        <f t="shared" si="857"/>
        <v>45594</v>
      </c>
      <c r="L3335" s="5">
        <f t="shared" si="858"/>
        <v>10</v>
      </c>
      <c r="M3335" s="5">
        <f t="shared" si="859"/>
        <v>2024</v>
      </c>
      <c r="N3335" s="12">
        <v>60</v>
      </c>
      <c r="O3335" s="6">
        <f t="shared" si="860"/>
        <v>-60</v>
      </c>
      <c r="P3335" s="12">
        <f t="shared" si="843"/>
        <v>0</v>
      </c>
      <c r="Q3335" s="7">
        <f t="shared" ref="Q3335" si="861">SUM(Q3312+N3335)</f>
        <v>5395709.5499999998</v>
      </c>
      <c r="R3335" s="44" t="str">
        <f>VLOOKUP(F3335,'Set up'!$A$2:$E$70,5,FALSE)</f>
        <v>Cash</v>
      </c>
      <c r="S3335" s="1" t="s">
        <v>3056</v>
      </c>
    </row>
    <row r="3336" spans="1:19" ht="15" customHeight="1" x14ac:dyDescent="0.35">
      <c r="A3336" s="4">
        <v>45597</v>
      </c>
      <c r="B3336" s="5">
        <f t="shared" si="855"/>
        <v>11</v>
      </c>
      <c r="C3336" s="5">
        <f t="shared" si="856"/>
        <v>2024</v>
      </c>
      <c r="D3336" s="5" t="s">
        <v>3099</v>
      </c>
      <c r="E3336" s="5" t="e">
        <f>VLOOKUP(F3336,'Set up'!$A$2:$C$70,2,FALSE)</f>
        <v>#N/A</v>
      </c>
      <c r="F3336" s="1" t="s">
        <v>3100</v>
      </c>
      <c r="G3336" s="123"/>
      <c r="H3336" s="5">
        <v>1</v>
      </c>
      <c r="I3336" s="5" t="e">
        <f>VLOOKUP(F3336,'Set up'!$A$2:$C$70,3,FALSE)</f>
        <v>#N/A</v>
      </c>
      <c r="J3336" s="5" t="e">
        <f>VLOOKUP(F3336,'Set up'!$A$2:$D$70,4,FALSE)</f>
        <v>#N/A</v>
      </c>
      <c r="K3336" s="4" t="e">
        <f t="shared" si="857"/>
        <v>#N/A</v>
      </c>
      <c r="L3336" s="5" t="e">
        <f t="shared" si="858"/>
        <v>#N/A</v>
      </c>
      <c r="M3336" s="5" t="e">
        <f t="shared" si="859"/>
        <v>#N/A</v>
      </c>
      <c r="N3336" s="12">
        <v>0</v>
      </c>
      <c r="O3336" s="12"/>
      <c r="P3336" s="12">
        <f t="shared" si="843"/>
        <v>0</v>
      </c>
      <c r="Q3336" s="7">
        <f t="shared" ref="Q3336:Q3399" si="862">SUM(Q3335+N3336)</f>
        <v>5395709.5499999998</v>
      </c>
      <c r="R3336" s="44" t="e">
        <f>VLOOKUP(F3336,'Set up'!$A$2:$E$70,5,FALSE)</f>
        <v>#N/A</v>
      </c>
    </row>
    <row r="3337" spans="1:19" ht="15" customHeight="1" x14ac:dyDescent="0.35">
      <c r="A3337" s="4">
        <v>45597</v>
      </c>
      <c r="B3337" s="5">
        <f t="shared" si="855"/>
        <v>11</v>
      </c>
      <c r="C3337" s="5">
        <f t="shared" si="856"/>
        <v>2024</v>
      </c>
      <c r="D3337" s="5" t="s">
        <v>3099</v>
      </c>
      <c r="E3337" s="5" t="e">
        <f>VLOOKUP(F3337,'Set up'!$A$2:$C$70,2,FALSE)</f>
        <v>#N/A</v>
      </c>
      <c r="F3337" s="1" t="s">
        <v>3100</v>
      </c>
      <c r="G3337" s="120"/>
      <c r="H3337" s="5">
        <v>1</v>
      </c>
      <c r="I3337" s="5" t="e">
        <f>VLOOKUP(F3337,'Set up'!$A$2:$C$70,3,FALSE)</f>
        <v>#N/A</v>
      </c>
      <c r="J3337" s="5" t="e">
        <f>VLOOKUP(F3337,'Set up'!$A$2:$D$70,4,FALSE)</f>
        <v>#N/A</v>
      </c>
      <c r="K3337" s="4" t="e">
        <f t="shared" si="857"/>
        <v>#N/A</v>
      </c>
      <c r="L3337" s="5" t="e">
        <f t="shared" si="858"/>
        <v>#N/A</v>
      </c>
      <c r="M3337" s="5" t="e">
        <f t="shared" si="859"/>
        <v>#N/A</v>
      </c>
      <c r="N3337" s="12">
        <v>0</v>
      </c>
      <c r="O3337" s="12"/>
      <c r="P3337" s="12">
        <f t="shared" si="843"/>
        <v>0</v>
      </c>
      <c r="Q3337" s="7">
        <f t="shared" si="862"/>
        <v>5395709.5499999998</v>
      </c>
      <c r="R3337" s="44" t="e">
        <f>VLOOKUP(F3337,'Set up'!$A$2:$E$70,5,FALSE)</f>
        <v>#N/A</v>
      </c>
    </row>
    <row r="3338" spans="1:19" ht="15" customHeight="1" x14ac:dyDescent="0.35">
      <c r="A3338" s="4">
        <v>45597</v>
      </c>
      <c r="B3338" s="5">
        <f t="shared" si="855"/>
        <v>11</v>
      </c>
      <c r="C3338" s="5">
        <f t="shared" si="856"/>
        <v>2024</v>
      </c>
      <c r="D3338" s="5" t="s">
        <v>3101</v>
      </c>
      <c r="E3338" s="5" t="str">
        <f>VLOOKUP(F3338,'Set up'!$A$2:$C$70,2,FALSE)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up'!$A$2:$C$70,3,FALSE)</f>
        <v>Cash</v>
      </c>
      <c r="J3338" s="5">
        <f>VLOOKUP(F3338,'Set up'!$A$2:$D$70,4,FALSE)</f>
        <v>0</v>
      </c>
      <c r="K3338" s="4">
        <f t="shared" si="857"/>
        <v>45597</v>
      </c>
      <c r="L3338" s="5">
        <f t="shared" si="858"/>
        <v>11</v>
      </c>
      <c r="M3338" s="5">
        <f t="shared" si="859"/>
        <v>2024</v>
      </c>
      <c r="N3338" s="98">
        <v>1738</v>
      </c>
      <c r="O3338" s="12"/>
      <c r="P3338" s="12">
        <f t="shared" si="843"/>
        <v>1738</v>
      </c>
      <c r="Q3338" s="7">
        <f t="shared" si="862"/>
        <v>5397447.5499999998</v>
      </c>
      <c r="R3338" s="44" t="str">
        <f>VLOOKUP(F3338,'Set up'!$A$2:$E$70,5,FALSE)</f>
        <v>Trsf</v>
      </c>
    </row>
    <row r="3339" spans="1:19" ht="15" customHeight="1" x14ac:dyDescent="0.35">
      <c r="A3339" s="4">
        <v>45597</v>
      </c>
      <c r="B3339" s="5">
        <f t="shared" si="855"/>
        <v>11</v>
      </c>
      <c r="C3339" s="5">
        <f t="shared" si="856"/>
        <v>2024</v>
      </c>
      <c r="D3339" s="5" t="s">
        <v>3101</v>
      </c>
      <c r="E3339" s="5" t="str">
        <f>VLOOKUP(F3339,'Set up'!$A$2:$C$70,2,FALSE)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up'!$A$2:$C$70,3,FALSE)</f>
        <v>Cash</v>
      </c>
      <c r="J3339" s="5">
        <f>VLOOKUP(F3339,'Set up'!$A$2:$D$70,4,FALSE)</f>
        <v>0</v>
      </c>
      <c r="K3339" s="4">
        <f t="shared" si="857"/>
        <v>45597</v>
      </c>
      <c r="L3339" s="5">
        <f t="shared" si="858"/>
        <v>11</v>
      </c>
      <c r="M3339" s="5">
        <f t="shared" si="859"/>
        <v>2024</v>
      </c>
      <c r="N3339" s="98">
        <v>420</v>
      </c>
      <c r="O3339" s="12"/>
      <c r="P3339" s="12">
        <f t="shared" si="843"/>
        <v>420</v>
      </c>
      <c r="Q3339" s="7">
        <f t="shared" si="862"/>
        <v>5397867.5499999998</v>
      </c>
      <c r="R3339" s="44" t="str">
        <f>VLOOKUP(F3339,'Set up'!$A$2:$E$70,5,FALSE)</f>
        <v>Trsf</v>
      </c>
    </row>
    <row r="3340" spans="1:19" ht="15" customHeight="1" x14ac:dyDescent="0.35">
      <c r="A3340" s="4">
        <v>45597</v>
      </c>
      <c r="B3340" s="5">
        <f t="shared" si="855"/>
        <v>11</v>
      </c>
      <c r="C3340" s="5">
        <f t="shared" si="856"/>
        <v>2024</v>
      </c>
      <c r="D3340" s="5" t="s">
        <v>3102</v>
      </c>
      <c r="E3340" s="5" t="str">
        <f>VLOOKUP(F3340,'Set up'!$A$2:$C$70,2,FALSE)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up'!$A$2:$C$70,3,FALSE)</f>
        <v>Cash</v>
      </c>
      <c r="J3340" s="5">
        <f>VLOOKUP(F3340,'Set up'!$A$2:$D$70,4,FALSE)</f>
        <v>0</v>
      </c>
      <c r="K3340" s="4">
        <f t="shared" si="857"/>
        <v>45597</v>
      </c>
      <c r="L3340" s="5">
        <f t="shared" si="858"/>
        <v>11</v>
      </c>
      <c r="M3340" s="5">
        <f t="shared" si="859"/>
        <v>2024</v>
      </c>
      <c r="N3340" s="98">
        <v>1738</v>
      </c>
      <c r="O3340" s="6">
        <f t="shared" ref="O3340:O3343" si="863">-N3340</f>
        <v>-1738</v>
      </c>
      <c r="P3340" s="12">
        <f t="shared" si="843"/>
        <v>0</v>
      </c>
      <c r="Q3340" s="7">
        <f t="shared" si="862"/>
        <v>5399605.5499999998</v>
      </c>
      <c r="R3340" s="44" t="str">
        <f>VLOOKUP(F3340,'Set up'!$A$2:$E$70,5,FALSE)</f>
        <v>Cash</v>
      </c>
      <c r="S3340" s="1" t="s">
        <v>3192</v>
      </c>
    </row>
    <row r="3341" spans="1:19" ht="15" customHeight="1" x14ac:dyDescent="0.35">
      <c r="A3341" s="4">
        <v>45597</v>
      </c>
      <c r="B3341" s="5">
        <f t="shared" si="855"/>
        <v>11</v>
      </c>
      <c r="C3341" s="5">
        <f t="shared" si="856"/>
        <v>2024</v>
      </c>
      <c r="D3341" s="5" t="s">
        <v>3102</v>
      </c>
      <c r="E3341" s="5" t="str">
        <f>VLOOKUP(F3341,'Set up'!$A$2:$C$70,2,FALSE)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up'!$A$2:$C$70,3,FALSE)</f>
        <v>Cash</v>
      </c>
      <c r="J3341" s="5">
        <f>VLOOKUP(F3341,'Set up'!$A$2:$D$70,4,FALSE)</f>
        <v>0</v>
      </c>
      <c r="K3341" s="4">
        <f t="shared" si="857"/>
        <v>45597</v>
      </c>
      <c r="L3341" s="5">
        <f t="shared" si="858"/>
        <v>11</v>
      </c>
      <c r="M3341" s="5">
        <f t="shared" si="859"/>
        <v>2024</v>
      </c>
      <c r="N3341" s="12">
        <v>555</v>
      </c>
      <c r="O3341" s="6">
        <f t="shared" si="863"/>
        <v>-555</v>
      </c>
      <c r="P3341" s="12">
        <f t="shared" si="843"/>
        <v>0</v>
      </c>
      <c r="Q3341" s="7">
        <f t="shared" si="862"/>
        <v>5400160.5499999998</v>
      </c>
      <c r="R3341" s="44" t="str">
        <f>VLOOKUP(F3341,'Set up'!$A$2:$E$70,5,FALSE)</f>
        <v>Cash</v>
      </c>
      <c r="S3341" s="1" t="s">
        <v>3192</v>
      </c>
    </row>
    <row r="3342" spans="1:19" ht="15" customHeight="1" x14ac:dyDescent="0.35">
      <c r="A3342" s="4">
        <v>45597</v>
      </c>
      <c r="B3342" s="5">
        <f t="shared" si="855"/>
        <v>11</v>
      </c>
      <c r="C3342" s="5">
        <f t="shared" si="856"/>
        <v>2024</v>
      </c>
      <c r="D3342" s="5" t="s">
        <v>3102</v>
      </c>
      <c r="E3342" s="5" t="str">
        <f>VLOOKUP(F3342,'Set up'!$A$2:$C$70,2,FALSE)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up'!$A$2:$C$70,3,FALSE)</f>
        <v>Cash</v>
      </c>
      <c r="J3342" s="5">
        <f>VLOOKUP(F3342,'Set up'!$A$2:$D$70,4,FALSE)</f>
        <v>0</v>
      </c>
      <c r="K3342" s="4">
        <f t="shared" si="857"/>
        <v>45597</v>
      </c>
      <c r="L3342" s="5">
        <f t="shared" si="858"/>
        <v>11</v>
      </c>
      <c r="M3342" s="5">
        <f t="shared" si="859"/>
        <v>2024</v>
      </c>
      <c r="N3342" s="12">
        <v>95</v>
      </c>
      <c r="O3342" s="6">
        <f t="shared" si="863"/>
        <v>-95</v>
      </c>
      <c r="P3342" s="12">
        <f t="shared" si="843"/>
        <v>0</v>
      </c>
      <c r="Q3342" s="7">
        <f t="shared" si="862"/>
        <v>5400255.5499999998</v>
      </c>
      <c r="R3342" s="44" t="str">
        <f>VLOOKUP(F3342,'Set up'!$A$2:$E$70,5,FALSE)</f>
        <v>Cash</v>
      </c>
      <c r="S3342" s="1" t="s">
        <v>3192</v>
      </c>
    </row>
    <row r="3343" spans="1:19" ht="15" customHeight="1" x14ac:dyDescent="0.35">
      <c r="A3343" s="4">
        <v>45598</v>
      </c>
      <c r="B3343" s="5">
        <f t="shared" si="855"/>
        <v>11</v>
      </c>
      <c r="C3343" s="5">
        <f t="shared" si="856"/>
        <v>2024</v>
      </c>
      <c r="D3343" s="5" t="s">
        <v>3103</v>
      </c>
      <c r="E3343" s="5" t="str">
        <f>VLOOKUP(F3343,'Set up'!$A$2:$C$70,2,FALSE)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up'!$A$2:$C$70,3,FALSE)</f>
        <v>Cash</v>
      </c>
      <c r="J3343" s="5">
        <f>VLOOKUP(F3343,'Set up'!$A$2:$D$70,4,FALSE)</f>
        <v>0</v>
      </c>
      <c r="K3343" s="4">
        <f t="shared" si="857"/>
        <v>45598</v>
      </c>
      <c r="L3343" s="5">
        <f t="shared" si="858"/>
        <v>11</v>
      </c>
      <c r="M3343" s="5">
        <f t="shared" si="859"/>
        <v>2024</v>
      </c>
      <c r="N3343" s="12">
        <v>687.5</v>
      </c>
      <c r="O3343" s="6">
        <f t="shared" si="863"/>
        <v>-687.5</v>
      </c>
      <c r="P3343" s="12">
        <f t="shared" si="843"/>
        <v>0</v>
      </c>
      <c r="Q3343" s="7">
        <f t="shared" si="862"/>
        <v>5400943.0499999998</v>
      </c>
      <c r="R3343" s="44" t="str">
        <f>VLOOKUP(F3343,'Set up'!$A$2:$E$70,5,FALSE)</f>
        <v>Trsf</v>
      </c>
      <c r="S3343" s="1" t="s">
        <v>3570</v>
      </c>
    </row>
    <row r="3344" spans="1:19" ht="15" customHeight="1" x14ac:dyDescent="0.35">
      <c r="A3344" s="4">
        <v>45597</v>
      </c>
      <c r="B3344" s="5">
        <f t="shared" si="855"/>
        <v>11</v>
      </c>
      <c r="C3344" s="5">
        <f t="shared" si="856"/>
        <v>2024</v>
      </c>
      <c r="D3344" s="5" t="s">
        <v>3104</v>
      </c>
      <c r="E3344" s="5" t="str">
        <f>VLOOKUP(F3344,'Set up'!$A$2:$C$70,2,FALSE)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up'!$A$2:$C$70,3,FALSE)</f>
        <v>Cash</v>
      </c>
      <c r="J3344" s="5">
        <f>VLOOKUP(F3344,'Set up'!$A$2:$D$70,4,FALSE)</f>
        <v>0</v>
      </c>
      <c r="K3344" s="4">
        <f t="shared" si="857"/>
        <v>45597</v>
      </c>
      <c r="L3344" s="5">
        <f t="shared" si="858"/>
        <v>11</v>
      </c>
      <c r="M3344" s="5">
        <f t="shared" si="859"/>
        <v>2024</v>
      </c>
      <c r="N3344" s="12">
        <v>17666</v>
      </c>
      <c r="O3344" s="12">
        <f>-3807.4-13858.6</f>
        <v>-17666</v>
      </c>
      <c r="P3344" s="12">
        <f t="shared" si="843"/>
        <v>0</v>
      </c>
      <c r="Q3344" s="7">
        <f t="shared" si="862"/>
        <v>5418609.0499999998</v>
      </c>
      <c r="R3344" s="44" t="str">
        <f>VLOOKUP(F3344,'Set up'!$A$2:$E$70,5,FALSE)</f>
        <v>Trsf</v>
      </c>
      <c r="S3344" s="1" t="s">
        <v>3571</v>
      </c>
    </row>
    <row r="3345" spans="1:19" ht="15" customHeight="1" x14ac:dyDescent="0.35">
      <c r="A3345" s="4">
        <v>45597</v>
      </c>
      <c r="B3345" s="5">
        <f t="shared" si="855"/>
        <v>11</v>
      </c>
      <c r="C3345" s="5">
        <f t="shared" si="856"/>
        <v>2024</v>
      </c>
      <c r="D3345" s="5" t="s">
        <v>3104</v>
      </c>
      <c r="E3345" s="5" t="str">
        <f>VLOOKUP(F3345,'Set up'!$A$2:$C$70,2,FALSE)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up'!$A$2:$C$70,3,FALSE)</f>
        <v>Cash</v>
      </c>
      <c r="J3345" s="5">
        <f>VLOOKUP(F3345,'Set up'!$A$2:$D$70,4,FALSE)</f>
        <v>0</v>
      </c>
      <c r="K3345" s="4">
        <f t="shared" si="857"/>
        <v>45597</v>
      </c>
      <c r="L3345" s="5">
        <f t="shared" si="858"/>
        <v>11</v>
      </c>
      <c r="M3345" s="5">
        <f t="shared" si="859"/>
        <v>2024</v>
      </c>
      <c r="N3345" s="12">
        <v>4935.8</v>
      </c>
      <c r="O3345" s="6">
        <f t="shared" ref="O3345:O3348" si="864">-N3345</f>
        <v>-4935.8</v>
      </c>
      <c r="P3345" s="12">
        <f t="shared" si="843"/>
        <v>0</v>
      </c>
      <c r="Q3345" s="7">
        <f t="shared" si="862"/>
        <v>5423544.8499999996</v>
      </c>
      <c r="R3345" s="44" t="str">
        <f>VLOOKUP(F3345,'Set up'!$A$2:$E$70,5,FALSE)</f>
        <v>Trsf</v>
      </c>
      <c r="S3345" s="1" t="s">
        <v>3572</v>
      </c>
    </row>
    <row r="3346" spans="1:19" ht="15" customHeight="1" x14ac:dyDescent="0.35">
      <c r="A3346" s="4">
        <v>45597</v>
      </c>
      <c r="B3346" s="5">
        <f t="shared" si="855"/>
        <v>11</v>
      </c>
      <c r="C3346" s="5">
        <f t="shared" si="856"/>
        <v>2024</v>
      </c>
      <c r="D3346" s="5" t="s">
        <v>3104</v>
      </c>
      <c r="E3346" s="5" t="str">
        <f>VLOOKUP(F3346,'Set up'!$A$2:$C$70,2,FALSE)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up'!$A$2:$C$70,3,FALSE)</f>
        <v>Cash</v>
      </c>
      <c r="J3346" s="5">
        <f>VLOOKUP(F3346,'Set up'!$A$2:$D$70,4,FALSE)</f>
        <v>0</v>
      </c>
      <c r="K3346" s="4">
        <f t="shared" si="857"/>
        <v>45597</v>
      </c>
      <c r="L3346" s="5">
        <f t="shared" si="858"/>
        <v>11</v>
      </c>
      <c r="M3346" s="5">
        <f t="shared" si="859"/>
        <v>2024</v>
      </c>
      <c r="N3346" s="12">
        <v>1908</v>
      </c>
      <c r="O3346" s="6">
        <f t="shared" si="864"/>
        <v>-1908</v>
      </c>
      <c r="P3346" s="12">
        <f t="shared" si="843"/>
        <v>0</v>
      </c>
      <c r="Q3346" s="7">
        <f t="shared" si="862"/>
        <v>5425452.8499999996</v>
      </c>
      <c r="R3346" s="44" t="str">
        <f>VLOOKUP(F3346,'Set up'!$A$2:$E$70,5,FALSE)</f>
        <v>Trsf</v>
      </c>
      <c r="S3346" s="1" t="s">
        <v>3573</v>
      </c>
    </row>
    <row r="3347" spans="1:19" ht="15" customHeight="1" x14ac:dyDescent="0.35">
      <c r="A3347" s="4">
        <v>45597</v>
      </c>
      <c r="B3347" s="5">
        <f t="shared" si="855"/>
        <v>11</v>
      </c>
      <c r="C3347" s="5">
        <f t="shared" si="856"/>
        <v>2024</v>
      </c>
      <c r="D3347" s="5" t="s">
        <v>3104</v>
      </c>
      <c r="E3347" s="5" t="str">
        <f>VLOOKUP(F3347,'Set up'!$A$2:$C$70,2,FALSE)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up'!$A$2:$C$70,3,FALSE)</f>
        <v>Cash</v>
      </c>
      <c r="J3347" s="5">
        <f>VLOOKUP(F3347,'Set up'!$A$2:$D$70,4,FALSE)</f>
        <v>0</v>
      </c>
      <c r="K3347" s="4">
        <f t="shared" si="857"/>
        <v>45597</v>
      </c>
      <c r="L3347" s="5">
        <f t="shared" si="858"/>
        <v>11</v>
      </c>
      <c r="M3347" s="5">
        <f t="shared" si="859"/>
        <v>2024</v>
      </c>
      <c r="N3347" s="12">
        <v>380</v>
      </c>
      <c r="O3347" s="6">
        <f t="shared" si="864"/>
        <v>-380</v>
      </c>
      <c r="P3347" s="12">
        <f t="shared" si="843"/>
        <v>0</v>
      </c>
      <c r="Q3347" s="7">
        <f t="shared" si="862"/>
        <v>5425832.8499999996</v>
      </c>
      <c r="R3347" s="44" t="str">
        <f>VLOOKUP(F3347,'Set up'!$A$2:$E$70,5,FALSE)</f>
        <v>Trsf</v>
      </c>
      <c r="S3347" s="1" t="s">
        <v>3574</v>
      </c>
    </row>
    <row r="3348" spans="1:19" ht="15" customHeight="1" x14ac:dyDescent="0.35">
      <c r="A3348" s="4">
        <v>45597</v>
      </c>
      <c r="B3348" s="5">
        <f t="shared" si="855"/>
        <v>11</v>
      </c>
      <c r="C3348" s="5">
        <f t="shared" si="856"/>
        <v>2024</v>
      </c>
      <c r="D3348" s="5" t="s">
        <v>3104</v>
      </c>
      <c r="E3348" s="5" t="str">
        <f>VLOOKUP(F3348,'Set up'!$A$2:$C$70,2,FALSE)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up'!$A$2:$C$70,3,FALSE)</f>
        <v>Cash</v>
      </c>
      <c r="J3348" s="5">
        <f>VLOOKUP(F3348,'Set up'!$A$2:$D$70,4,FALSE)</f>
        <v>0</v>
      </c>
      <c r="K3348" s="4">
        <f t="shared" si="857"/>
        <v>45597</v>
      </c>
      <c r="L3348" s="5">
        <f t="shared" si="858"/>
        <v>11</v>
      </c>
      <c r="M3348" s="5">
        <f t="shared" si="859"/>
        <v>2024</v>
      </c>
      <c r="N3348" s="12">
        <v>1000</v>
      </c>
      <c r="O3348" s="6">
        <f t="shared" si="864"/>
        <v>-1000</v>
      </c>
      <c r="P3348" s="12">
        <f t="shared" si="843"/>
        <v>0</v>
      </c>
      <c r="Q3348" s="7">
        <f t="shared" si="862"/>
        <v>5426832.8499999996</v>
      </c>
      <c r="R3348" s="44" t="str">
        <f>VLOOKUP(F3348,'Set up'!$A$2:$E$70,5,FALSE)</f>
        <v>Trsf</v>
      </c>
      <c r="S3348" s="1" t="s">
        <v>3575</v>
      </c>
    </row>
    <row r="3349" spans="1:19" ht="15" customHeight="1" x14ac:dyDescent="0.35">
      <c r="A3349" s="4">
        <v>45600</v>
      </c>
      <c r="B3349" s="5">
        <f t="shared" si="855"/>
        <v>11</v>
      </c>
      <c r="C3349" s="5">
        <f t="shared" si="856"/>
        <v>2024</v>
      </c>
      <c r="D3349" s="5" t="s">
        <v>3105</v>
      </c>
      <c r="E3349" s="5" t="str">
        <f>VLOOKUP(F3349,'Set up'!$A$2:$C$70,2,FALSE)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up'!$A$2:$C$70,3,FALSE)</f>
        <v>Cash</v>
      </c>
      <c r="J3349" s="5">
        <f>VLOOKUP(F3349,'Set up'!$A$2:$D$70,4,FALSE)</f>
        <v>0</v>
      </c>
      <c r="K3349" s="4">
        <f>A3349+J3349</f>
        <v>45600</v>
      </c>
      <c r="L3349" s="5">
        <f t="shared" si="858"/>
        <v>11</v>
      </c>
      <c r="M3349" s="5">
        <f t="shared" si="859"/>
        <v>2024</v>
      </c>
      <c r="N3349" s="12">
        <v>475</v>
      </c>
      <c r="O3349" s="6">
        <f t="shared" ref="O3349:O3358" si="865">-N3349</f>
        <v>-475</v>
      </c>
      <c r="P3349" s="12">
        <f t="shared" ref="P3349:P3412" si="866">SUM(N3349+O3349)</f>
        <v>0</v>
      </c>
      <c r="Q3349" s="7">
        <f t="shared" si="862"/>
        <v>5427307.8499999996</v>
      </c>
      <c r="R3349" s="44" t="str">
        <f>VLOOKUP(F3349,'Set up'!$A$2:$E$70,5,FALSE)</f>
        <v>Chq</v>
      </c>
      <c r="S3349" s="1" t="s">
        <v>3187</v>
      </c>
    </row>
    <row r="3350" spans="1:19" ht="15" customHeight="1" x14ac:dyDescent="0.35">
      <c r="A3350" s="4">
        <v>45601</v>
      </c>
      <c r="B3350" s="5">
        <f t="shared" si="855"/>
        <v>11</v>
      </c>
      <c r="C3350" s="5">
        <f t="shared" si="856"/>
        <v>2024</v>
      </c>
      <c r="D3350" s="5" t="s">
        <v>3107</v>
      </c>
      <c r="E3350" s="5" t="str">
        <f>VLOOKUP(F3350,'Set up'!$A$2:$C$70,2,FALSE)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up'!$A$2:$C$70,3,FALSE)</f>
        <v>Cash</v>
      </c>
      <c r="J3350" s="5">
        <f>VLOOKUP(F3350,'Set up'!$A$2:$D$70,4,FALSE)</f>
        <v>0</v>
      </c>
      <c r="K3350" s="4">
        <f>A3350+J3350</f>
        <v>45601</v>
      </c>
      <c r="L3350" s="5">
        <f t="shared" si="858"/>
        <v>11</v>
      </c>
      <c r="M3350" s="5">
        <f t="shared" si="859"/>
        <v>2024</v>
      </c>
      <c r="N3350" s="12">
        <v>115</v>
      </c>
      <c r="O3350" s="6">
        <f t="shared" si="865"/>
        <v>-115</v>
      </c>
      <c r="P3350" s="12">
        <f t="shared" si="866"/>
        <v>0</v>
      </c>
      <c r="Q3350" s="7">
        <f t="shared" si="862"/>
        <v>5427422.8499999996</v>
      </c>
      <c r="R3350" s="44" t="str">
        <f>VLOOKUP(F3350,'Set up'!$A$2:$E$70,5,FALSE)</f>
        <v>Trsf</v>
      </c>
      <c r="S3350" s="1" t="s">
        <v>3189</v>
      </c>
    </row>
    <row r="3351" spans="1:19" ht="15" customHeight="1" x14ac:dyDescent="0.35">
      <c r="A3351" s="4">
        <v>45602</v>
      </c>
      <c r="B3351" s="5">
        <f t="shared" si="855"/>
        <v>11</v>
      </c>
      <c r="C3351" s="5">
        <f t="shared" si="856"/>
        <v>2024</v>
      </c>
      <c r="D3351" s="5" t="s">
        <v>3108</v>
      </c>
      <c r="E3351" s="5" t="str">
        <f>VLOOKUP(F3351,'Set up'!$A$2:$C$70,2,FALSE)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up'!$A$2:$C$70,3,FALSE)</f>
        <v>Cash</v>
      </c>
      <c r="J3351" s="5">
        <f>VLOOKUP(F3351,'Set up'!$A$2:$D$70,4,FALSE)</f>
        <v>0</v>
      </c>
      <c r="K3351" s="4">
        <f t="shared" si="857"/>
        <v>45602</v>
      </c>
      <c r="L3351" s="5">
        <f t="shared" si="858"/>
        <v>11</v>
      </c>
      <c r="M3351" s="5">
        <f t="shared" si="859"/>
        <v>2024</v>
      </c>
      <c r="N3351" s="12">
        <v>1694</v>
      </c>
      <c r="O3351" s="6">
        <f t="shared" si="865"/>
        <v>-1694</v>
      </c>
      <c r="P3351" s="12">
        <f t="shared" si="866"/>
        <v>0</v>
      </c>
      <c r="Q3351" s="7">
        <f t="shared" si="862"/>
        <v>5429116.8499999996</v>
      </c>
      <c r="R3351" s="44" t="str">
        <f>VLOOKUP(F3351,'Set up'!$A$2:$E$70,5,FALSE)</f>
        <v>Cash</v>
      </c>
      <c r="S3351" s="1" t="s">
        <v>3190</v>
      </c>
    </row>
    <row r="3352" spans="1:19" ht="15" customHeight="1" x14ac:dyDescent="0.35">
      <c r="A3352" s="4">
        <v>45602</v>
      </c>
      <c r="B3352" s="5">
        <f t="shared" si="855"/>
        <v>11</v>
      </c>
      <c r="C3352" s="5">
        <f t="shared" si="856"/>
        <v>2024</v>
      </c>
      <c r="D3352" s="5" t="s">
        <v>3108</v>
      </c>
      <c r="E3352" s="5" t="str">
        <f>VLOOKUP(F3352,'Set up'!$A$2:$C$70,2,FALSE)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up'!$A$2:$C$70,3,FALSE)</f>
        <v>Cash</v>
      </c>
      <c r="J3352" s="5">
        <f>VLOOKUP(F3352,'Set up'!$A$2:$D$70,4,FALSE)</f>
        <v>0</v>
      </c>
      <c r="K3352" s="4">
        <f t="shared" si="857"/>
        <v>45602</v>
      </c>
      <c r="L3352" s="5">
        <f t="shared" si="858"/>
        <v>11</v>
      </c>
      <c r="M3352" s="5">
        <f t="shared" si="859"/>
        <v>2024</v>
      </c>
      <c r="N3352" s="12">
        <v>648</v>
      </c>
      <c r="O3352" s="6">
        <f t="shared" si="865"/>
        <v>-648</v>
      </c>
      <c r="P3352" s="12">
        <f t="shared" si="866"/>
        <v>0</v>
      </c>
      <c r="Q3352" s="7">
        <f t="shared" si="862"/>
        <v>5429764.8499999996</v>
      </c>
      <c r="R3352" s="44" t="str">
        <f>VLOOKUP(F3352,'Set up'!$A$2:$E$70,5,FALSE)</f>
        <v>Cash</v>
      </c>
      <c r="S3352" s="1" t="s">
        <v>3190</v>
      </c>
    </row>
    <row r="3353" spans="1:19" ht="15" customHeight="1" x14ac:dyDescent="0.35">
      <c r="A3353" s="4">
        <v>45602</v>
      </c>
      <c r="B3353" s="5">
        <f t="shared" si="855"/>
        <v>11</v>
      </c>
      <c r="C3353" s="5">
        <f t="shared" si="856"/>
        <v>2024</v>
      </c>
      <c r="D3353" s="5" t="s">
        <v>3108</v>
      </c>
      <c r="E3353" s="5" t="str">
        <f>VLOOKUP(F3353,'Set up'!$A$2:$C$70,2,FALSE)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up'!$A$2:$C$70,3,FALSE)</f>
        <v>Cash</v>
      </c>
      <c r="J3353" s="5">
        <f>VLOOKUP(F3353,'Set up'!$A$2:$D$70,4,FALSE)</f>
        <v>0</v>
      </c>
      <c r="K3353" s="4">
        <f t="shared" si="857"/>
        <v>45602</v>
      </c>
      <c r="L3353" s="5">
        <f t="shared" si="858"/>
        <v>11</v>
      </c>
      <c r="M3353" s="5">
        <f t="shared" si="859"/>
        <v>2024</v>
      </c>
      <c r="N3353" s="12">
        <v>325</v>
      </c>
      <c r="O3353" s="6">
        <f t="shared" si="865"/>
        <v>-325</v>
      </c>
      <c r="P3353" s="12">
        <f t="shared" si="866"/>
        <v>0</v>
      </c>
      <c r="Q3353" s="7">
        <f t="shared" si="862"/>
        <v>5430089.8499999996</v>
      </c>
      <c r="R3353" s="44" t="str">
        <f>VLOOKUP(F3353,'Set up'!$A$2:$E$70,5,FALSE)</f>
        <v>Cash</v>
      </c>
      <c r="S3353" s="1" t="s">
        <v>3190</v>
      </c>
    </row>
    <row r="3354" spans="1:19" ht="15" customHeight="1" x14ac:dyDescent="0.35">
      <c r="A3354" s="4">
        <v>45602</v>
      </c>
      <c r="B3354" s="5">
        <f t="shared" si="855"/>
        <v>11</v>
      </c>
      <c r="C3354" s="5">
        <f t="shared" si="856"/>
        <v>2024</v>
      </c>
      <c r="D3354" s="5" t="s">
        <v>3108</v>
      </c>
      <c r="E3354" s="5" t="str">
        <f>VLOOKUP(F3354,'Set up'!$A$2:$C$70,2,FALSE)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up'!$A$2:$C$70,3,FALSE)</f>
        <v>Cash</v>
      </c>
      <c r="J3354" s="5">
        <f>VLOOKUP(F3354,'Set up'!$A$2:$D$70,4,FALSE)</f>
        <v>0</v>
      </c>
      <c r="K3354" s="4">
        <f t="shared" si="857"/>
        <v>45602</v>
      </c>
      <c r="L3354" s="5">
        <f t="shared" si="858"/>
        <v>11</v>
      </c>
      <c r="M3354" s="5">
        <f t="shared" si="859"/>
        <v>2024</v>
      </c>
      <c r="N3354" s="12">
        <v>60</v>
      </c>
      <c r="O3354" s="6">
        <f t="shared" si="865"/>
        <v>-60</v>
      </c>
      <c r="P3354" s="12">
        <f t="shared" si="866"/>
        <v>0</v>
      </c>
      <c r="Q3354" s="7">
        <f t="shared" si="862"/>
        <v>5430149.8499999996</v>
      </c>
      <c r="R3354" s="44" t="str">
        <f>VLOOKUP(F3354,'Set up'!$A$2:$E$70,5,FALSE)</f>
        <v>Cash</v>
      </c>
      <c r="S3354" s="1" t="s">
        <v>3190</v>
      </c>
    </row>
    <row r="3355" spans="1:19" ht="15" customHeight="1" x14ac:dyDescent="0.35">
      <c r="A3355" s="4">
        <v>45602</v>
      </c>
      <c r="B3355" s="5">
        <f t="shared" si="855"/>
        <v>11</v>
      </c>
      <c r="C3355" s="5">
        <f t="shared" si="856"/>
        <v>2024</v>
      </c>
      <c r="D3355" s="5" t="s">
        <v>3108</v>
      </c>
      <c r="E3355" s="5" t="str">
        <f>VLOOKUP(F3355,'Set up'!$A$2:$C$70,2,FALSE)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up'!$A$2:$C$70,3,FALSE)</f>
        <v>Cash</v>
      </c>
      <c r="J3355" s="5">
        <f>VLOOKUP(F3355,'Set up'!$A$2:$D$70,4,FALSE)</f>
        <v>0</v>
      </c>
      <c r="K3355" s="4">
        <f t="shared" si="857"/>
        <v>45602</v>
      </c>
      <c r="L3355" s="5">
        <f t="shared" si="858"/>
        <v>11</v>
      </c>
      <c r="M3355" s="5">
        <f t="shared" si="859"/>
        <v>2024</v>
      </c>
      <c r="N3355" s="12">
        <v>165</v>
      </c>
      <c r="O3355" s="6">
        <f t="shared" si="865"/>
        <v>-165</v>
      </c>
      <c r="P3355" s="12">
        <f t="shared" si="866"/>
        <v>0</v>
      </c>
      <c r="Q3355" s="7">
        <f t="shared" si="862"/>
        <v>5430314.8499999996</v>
      </c>
      <c r="R3355" s="44" t="str">
        <f>VLOOKUP(F3355,'Set up'!$A$2:$E$70,5,FALSE)</f>
        <v>Cash</v>
      </c>
      <c r="S3355" s="1" t="s">
        <v>3190</v>
      </c>
    </row>
    <row r="3356" spans="1:19" ht="15" customHeight="1" x14ac:dyDescent="0.35">
      <c r="A3356" s="4">
        <v>45602</v>
      </c>
      <c r="B3356" s="5">
        <f t="shared" si="855"/>
        <v>11</v>
      </c>
      <c r="C3356" s="5">
        <f t="shared" si="856"/>
        <v>2024</v>
      </c>
      <c r="D3356" s="5" t="s">
        <v>3108</v>
      </c>
      <c r="E3356" s="5" t="str">
        <f>VLOOKUP(F3356,'Set up'!$A$2:$C$70,2,FALSE)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up'!$A$2:$C$70,3,FALSE)</f>
        <v>Cash</v>
      </c>
      <c r="J3356" s="5">
        <f>VLOOKUP(F3356,'Set up'!$A$2:$D$70,4,FALSE)</f>
        <v>0</v>
      </c>
      <c r="K3356" s="4">
        <f t="shared" si="857"/>
        <v>45602</v>
      </c>
      <c r="L3356" s="5">
        <f t="shared" si="858"/>
        <v>11</v>
      </c>
      <c r="M3356" s="5">
        <f t="shared" si="859"/>
        <v>2024</v>
      </c>
      <c r="N3356" s="12">
        <v>240</v>
      </c>
      <c r="O3356" s="6">
        <f t="shared" si="865"/>
        <v>-240</v>
      </c>
      <c r="P3356" s="12">
        <f t="shared" si="866"/>
        <v>0</v>
      </c>
      <c r="Q3356" s="7">
        <f t="shared" si="862"/>
        <v>5430554.8499999996</v>
      </c>
      <c r="R3356" s="44" t="str">
        <f>VLOOKUP(F3356,'Set up'!$A$2:$E$70,5,FALSE)</f>
        <v>Cash</v>
      </c>
      <c r="S3356" s="1" t="s">
        <v>3190</v>
      </c>
    </row>
    <row r="3357" spans="1:19" ht="15" customHeight="1" x14ac:dyDescent="0.35">
      <c r="A3357" s="4">
        <v>45601</v>
      </c>
      <c r="B3357" s="5">
        <f t="shared" si="855"/>
        <v>11</v>
      </c>
      <c r="C3357" s="5">
        <f t="shared" si="856"/>
        <v>2024</v>
      </c>
      <c r="D3357" s="5" t="s">
        <v>3110</v>
      </c>
      <c r="E3357" s="5" t="str">
        <f>VLOOKUP(F3357,'Set up'!$A$2:$C$70,2,FALSE)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up'!$A$2:$C$70,3,FALSE)</f>
        <v>Cash</v>
      </c>
      <c r="J3357" s="5">
        <f>VLOOKUP(F3357,'Set up'!$A$2:$D$70,4,FALSE)</f>
        <v>0</v>
      </c>
      <c r="K3357" s="4">
        <f t="shared" si="857"/>
        <v>45601</v>
      </c>
      <c r="L3357" s="5">
        <f t="shared" si="858"/>
        <v>11</v>
      </c>
      <c r="M3357" s="5">
        <f t="shared" si="859"/>
        <v>2024</v>
      </c>
      <c r="N3357" s="12">
        <v>2000</v>
      </c>
      <c r="O3357" s="6">
        <f t="shared" si="865"/>
        <v>-2000</v>
      </c>
      <c r="P3357" s="12">
        <f t="shared" si="866"/>
        <v>0</v>
      </c>
      <c r="Q3357" s="7">
        <f t="shared" si="862"/>
        <v>5432554.8499999996</v>
      </c>
      <c r="R3357" s="44" t="str">
        <f>VLOOKUP(F3357,'Set up'!$A$2:$E$70,5,FALSE)</f>
        <v>Trsf</v>
      </c>
      <c r="S3357" s="1" t="s">
        <v>3576</v>
      </c>
    </row>
    <row r="3358" spans="1:19" ht="15" customHeight="1" x14ac:dyDescent="0.35">
      <c r="A3358" s="4">
        <v>45603</v>
      </c>
      <c r="B3358" s="5">
        <f t="shared" si="855"/>
        <v>11</v>
      </c>
      <c r="C3358" s="5">
        <f t="shared" si="856"/>
        <v>2024</v>
      </c>
      <c r="D3358" s="5" t="s">
        <v>3111</v>
      </c>
      <c r="E3358" s="5" t="str">
        <f>VLOOKUP(F3358,'Set up'!$A$2:$C$70,2,FALSE)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up'!$A$2:$C$70,3,FALSE)</f>
        <v>Cash</v>
      </c>
      <c r="J3358" s="5">
        <f>VLOOKUP(F3358,'Set up'!$A$2:$D$70,4,FALSE)</f>
        <v>0</v>
      </c>
      <c r="K3358" s="4">
        <f t="shared" si="857"/>
        <v>45603</v>
      </c>
      <c r="L3358" s="5">
        <f t="shared" si="858"/>
        <v>11</v>
      </c>
      <c r="M3358" s="5">
        <f t="shared" si="859"/>
        <v>2024</v>
      </c>
      <c r="N3358" s="12">
        <v>500</v>
      </c>
      <c r="O3358" s="6">
        <f t="shared" si="865"/>
        <v>-500</v>
      </c>
      <c r="P3358" s="12">
        <f t="shared" si="866"/>
        <v>0</v>
      </c>
      <c r="Q3358" s="7">
        <f t="shared" si="862"/>
        <v>5433054.8499999996</v>
      </c>
      <c r="R3358" s="44" t="str">
        <f>VLOOKUP(F3358,'Set up'!$A$2:$E$70,5,FALSE)</f>
        <v>Trsf</v>
      </c>
      <c r="S3358" s="1" t="s">
        <v>3577</v>
      </c>
    </row>
    <row r="3359" spans="1:19" ht="15" customHeight="1" x14ac:dyDescent="0.35">
      <c r="A3359" s="4">
        <v>45603</v>
      </c>
      <c r="B3359" s="5">
        <f t="shared" si="855"/>
        <v>11</v>
      </c>
      <c r="C3359" s="5">
        <f t="shared" si="856"/>
        <v>2024</v>
      </c>
      <c r="D3359" s="5" t="s">
        <v>3112</v>
      </c>
      <c r="E3359" s="5" t="str">
        <f>VLOOKUP(F3359,'Set up'!$A$2:$C$70,2,FALSE)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up'!$A$2:$C$70,3,FALSE)</f>
        <v>Cash</v>
      </c>
      <c r="J3359" s="5">
        <f>VLOOKUP(F3359,'Set up'!$A$2:$D$70,4,FALSE)</f>
        <v>0</v>
      </c>
      <c r="K3359" s="4">
        <f t="shared" si="857"/>
        <v>45603</v>
      </c>
      <c r="L3359" s="5">
        <f t="shared" si="858"/>
        <v>11</v>
      </c>
      <c r="M3359" s="5">
        <f t="shared" si="859"/>
        <v>2024</v>
      </c>
      <c r="N3359" s="12">
        <v>11242</v>
      </c>
      <c r="O3359" s="12">
        <f>-5417.6-5824.4</f>
        <v>-11242</v>
      </c>
      <c r="P3359" s="12">
        <f t="shared" si="866"/>
        <v>0</v>
      </c>
      <c r="Q3359" s="7">
        <f t="shared" si="862"/>
        <v>5444296.8499999996</v>
      </c>
      <c r="R3359" s="44" t="str">
        <f>VLOOKUP(F3359,'Set up'!$A$2:$E$70,5,FALSE)</f>
        <v>Trsf</v>
      </c>
      <c r="S3359" s="1" t="s">
        <v>3586</v>
      </c>
    </row>
    <row r="3360" spans="1:19" ht="15" customHeight="1" x14ac:dyDescent="0.35">
      <c r="A3360" s="4">
        <v>45603</v>
      </c>
      <c r="B3360" s="5">
        <f t="shared" si="855"/>
        <v>11</v>
      </c>
      <c r="C3360" s="5">
        <f t="shared" si="856"/>
        <v>2024</v>
      </c>
      <c r="D3360" s="5" t="s">
        <v>3112</v>
      </c>
      <c r="E3360" s="5" t="str">
        <f>VLOOKUP(F3360,'Set up'!$A$2:$C$70,2,FALSE)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up'!$A$2:$C$70,3,FALSE)</f>
        <v>Cash</v>
      </c>
      <c r="J3360" s="5">
        <f>VLOOKUP(F3360,'Set up'!$A$2:$D$70,4,FALSE)</f>
        <v>0</v>
      </c>
      <c r="K3360" s="4">
        <f t="shared" si="857"/>
        <v>45603</v>
      </c>
      <c r="L3360" s="5">
        <f t="shared" si="858"/>
        <v>11</v>
      </c>
      <c r="M3360" s="5">
        <f t="shared" si="859"/>
        <v>2024</v>
      </c>
      <c r="N3360" s="12">
        <v>1642.5</v>
      </c>
      <c r="O3360" s="6">
        <f t="shared" ref="O3360:O3363" si="867">-N3360</f>
        <v>-1642.5</v>
      </c>
      <c r="P3360" s="12">
        <f t="shared" si="866"/>
        <v>0</v>
      </c>
      <c r="Q3360" s="7">
        <f t="shared" si="862"/>
        <v>5445939.3499999996</v>
      </c>
      <c r="R3360" s="44" t="str">
        <f>VLOOKUP(F3360,'Set up'!$A$2:$E$70,5,FALSE)</f>
        <v>Trsf</v>
      </c>
      <c r="S3360" s="1" t="s">
        <v>3578</v>
      </c>
    </row>
    <row r="3361" spans="1:19" ht="15" customHeight="1" x14ac:dyDescent="0.35">
      <c r="A3361" s="4">
        <v>45603</v>
      </c>
      <c r="B3361" s="5">
        <f t="shared" si="855"/>
        <v>11</v>
      </c>
      <c r="C3361" s="5">
        <f t="shared" si="856"/>
        <v>2024</v>
      </c>
      <c r="D3361" s="5" t="s">
        <v>3112</v>
      </c>
      <c r="E3361" s="5" t="str">
        <f>VLOOKUP(F3361,'Set up'!$A$2:$C$70,2,FALSE)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up'!$A$2:$C$70,3,FALSE)</f>
        <v>Cash</v>
      </c>
      <c r="J3361" s="5">
        <f>VLOOKUP(F3361,'Set up'!$A$2:$D$70,4,FALSE)</f>
        <v>0</v>
      </c>
      <c r="K3361" s="4">
        <f t="shared" si="857"/>
        <v>45603</v>
      </c>
      <c r="L3361" s="5">
        <f t="shared" si="858"/>
        <v>11</v>
      </c>
      <c r="M3361" s="5">
        <f t="shared" si="859"/>
        <v>2024</v>
      </c>
      <c r="N3361" s="12">
        <v>2262</v>
      </c>
      <c r="O3361" s="6">
        <f t="shared" si="867"/>
        <v>-2262</v>
      </c>
      <c r="P3361" s="12">
        <f t="shared" si="866"/>
        <v>0</v>
      </c>
      <c r="Q3361" s="7">
        <f t="shared" si="862"/>
        <v>5448201.3499999996</v>
      </c>
      <c r="R3361" s="44" t="str">
        <f>VLOOKUP(F3361,'Set up'!$A$2:$E$70,5,FALSE)</f>
        <v>Trsf</v>
      </c>
      <c r="S3361" s="1" t="s">
        <v>3579</v>
      </c>
    </row>
    <row r="3362" spans="1:19" ht="15" customHeight="1" x14ac:dyDescent="0.35">
      <c r="A3362" s="4">
        <v>45603</v>
      </c>
      <c r="B3362" s="5">
        <f t="shared" si="855"/>
        <v>11</v>
      </c>
      <c r="C3362" s="5">
        <f t="shared" si="856"/>
        <v>2024</v>
      </c>
      <c r="D3362" s="5" t="s">
        <v>3112</v>
      </c>
      <c r="E3362" s="5" t="str">
        <f>VLOOKUP(F3362,'Set up'!$A$2:$C$70,2,FALSE)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up'!$A$2:$C$70,3,FALSE)</f>
        <v>Cash</v>
      </c>
      <c r="J3362" s="5">
        <f>VLOOKUP(F3362,'Set up'!$A$2:$D$70,4,FALSE)</f>
        <v>0</v>
      </c>
      <c r="K3362" s="4">
        <f t="shared" si="857"/>
        <v>45603</v>
      </c>
      <c r="L3362" s="5">
        <f t="shared" si="858"/>
        <v>11</v>
      </c>
      <c r="M3362" s="5">
        <f t="shared" si="859"/>
        <v>2024</v>
      </c>
      <c r="N3362" s="12">
        <v>1669.5</v>
      </c>
      <c r="O3362" s="6">
        <f t="shared" si="867"/>
        <v>-1669.5</v>
      </c>
      <c r="P3362" s="12">
        <f t="shared" si="866"/>
        <v>0</v>
      </c>
      <c r="Q3362" s="7">
        <f t="shared" si="862"/>
        <v>5449870.8499999996</v>
      </c>
      <c r="R3362" s="44" t="str">
        <f>VLOOKUP(F3362,'Set up'!$A$2:$E$70,5,FALSE)</f>
        <v>Trsf</v>
      </c>
      <c r="S3362" s="1" t="s">
        <v>3580</v>
      </c>
    </row>
    <row r="3363" spans="1:19" ht="15" customHeight="1" x14ac:dyDescent="0.35">
      <c r="A3363" s="4">
        <v>45603</v>
      </c>
      <c r="B3363" s="5">
        <f t="shared" si="855"/>
        <v>11</v>
      </c>
      <c r="C3363" s="5">
        <f t="shared" si="856"/>
        <v>2024</v>
      </c>
      <c r="D3363" s="5" t="s">
        <v>3112</v>
      </c>
      <c r="E3363" s="5" t="str">
        <f>VLOOKUP(F3363,'Set up'!$A$2:$C$70,2,FALSE)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up'!$A$2:$C$70,3,FALSE)</f>
        <v>Cash</v>
      </c>
      <c r="J3363" s="5">
        <f>VLOOKUP(F3363,'Set up'!$A$2:$D$70,4,FALSE)</f>
        <v>0</v>
      </c>
      <c r="K3363" s="4">
        <f t="shared" si="857"/>
        <v>45603</v>
      </c>
      <c r="L3363" s="5">
        <f t="shared" si="858"/>
        <v>11</v>
      </c>
      <c r="M3363" s="5">
        <f t="shared" si="859"/>
        <v>2024</v>
      </c>
      <c r="N3363" s="12">
        <v>380</v>
      </c>
      <c r="O3363" s="6">
        <f t="shared" si="867"/>
        <v>-380</v>
      </c>
      <c r="P3363" s="12">
        <f t="shared" si="866"/>
        <v>0</v>
      </c>
      <c r="Q3363" s="7">
        <f t="shared" si="862"/>
        <v>5450250.8499999996</v>
      </c>
      <c r="R3363" s="44" t="str">
        <f>VLOOKUP(F3363,'Set up'!$A$2:$E$70,5,FALSE)</f>
        <v>Trsf</v>
      </c>
      <c r="S3363" s="1" t="s">
        <v>3581</v>
      </c>
    </row>
    <row r="3364" spans="1:19" ht="15" customHeight="1" x14ac:dyDescent="0.35">
      <c r="A3364" s="4">
        <v>45604</v>
      </c>
      <c r="B3364" s="5">
        <f t="shared" si="855"/>
        <v>11</v>
      </c>
      <c r="C3364" s="5">
        <f t="shared" si="856"/>
        <v>2024</v>
      </c>
      <c r="D3364" s="5" t="s">
        <v>3114</v>
      </c>
      <c r="E3364" s="5" t="str">
        <f>VLOOKUP(F3364,'Set up'!$A$2:$C$70,2,FALSE)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up'!$A$2:$C$70,3,FALSE)</f>
        <v>Cash</v>
      </c>
      <c r="J3364" s="5">
        <f>VLOOKUP(F3364,'Set up'!$A$2:$D$70,4,FALSE)</f>
        <v>0</v>
      </c>
      <c r="K3364" s="4">
        <f t="shared" si="857"/>
        <v>45604</v>
      </c>
      <c r="L3364" s="5">
        <f t="shared" si="858"/>
        <v>11</v>
      </c>
      <c r="M3364" s="5">
        <f t="shared" si="859"/>
        <v>2024</v>
      </c>
      <c r="N3364" s="12">
        <v>1738</v>
      </c>
      <c r="O3364" s="6">
        <f t="shared" ref="O3364:O3367" si="868">-N3364</f>
        <v>-1738</v>
      </c>
      <c r="P3364" s="12">
        <f t="shared" si="866"/>
        <v>0</v>
      </c>
      <c r="Q3364" s="7">
        <f t="shared" si="862"/>
        <v>5451988.8499999996</v>
      </c>
      <c r="R3364" s="44" t="str">
        <f>VLOOKUP(F3364,'Set up'!$A$2:$E$70,5,FALSE)</f>
        <v>Cash</v>
      </c>
      <c r="S3364" s="1" t="s">
        <v>3197</v>
      </c>
    </row>
    <row r="3365" spans="1:19" ht="15" customHeight="1" x14ac:dyDescent="0.35">
      <c r="A3365" s="4">
        <v>45604</v>
      </c>
      <c r="B3365" s="5">
        <f t="shared" si="855"/>
        <v>11</v>
      </c>
      <c r="C3365" s="5">
        <f t="shared" si="856"/>
        <v>2024</v>
      </c>
      <c r="D3365" s="5" t="s">
        <v>3114</v>
      </c>
      <c r="E3365" s="5" t="str">
        <f>VLOOKUP(F3365,'Set up'!$A$2:$C$70,2,FALSE)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up'!$A$2:$C$70,3,FALSE)</f>
        <v>Cash</v>
      </c>
      <c r="J3365" s="5">
        <f>VLOOKUP(F3365,'Set up'!$A$2:$D$70,4,FALSE)</f>
        <v>0</v>
      </c>
      <c r="K3365" s="4">
        <f t="shared" si="857"/>
        <v>45604</v>
      </c>
      <c r="L3365" s="5">
        <f t="shared" si="858"/>
        <v>11</v>
      </c>
      <c r="M3365" s="5">
        <f t="shared" si="859"/>
        <v>2024</v>
      </c>
      <c r="N3365" s="12">
        <v>555</v>
      </c>
      <c r="O3365" s="6">
        <f t="shared" si="868"/>
        <v>-555</v>
      </c>
      <c r="P3365" s="12">
        <f t="shared" si="866"/>
        <v>0</v>
      </c>
      <c r="Q3365" s="7">
        <f t="shared" si="862"/>
        <v>5452543.8499999996</v>
      </c>
      <c r="R3365" s="44" t="str">
        <f>VLOOKUP(F3365,'Set up'!$A$2:$E$70,5,FALSE)</f>
        <v>Cash</v>
      </c>
      <c r="S3365" s="1" t="s">
        <v>3197</v>
      </c>
    </row>
    <row r="3366" spans="1:19" ht="15" customHeight="1" x14ac:dyDescent="0.35">
      <c r="A3366" s="4">
        <v>45604</v>
      </c>
      <c r="B3366" s="5">
        <f t="shared" si="855"/>
        <v>11</v>
      </c>
      <c r="C3366" s="5">
        <f t="shared" si="856"/>
        <v>2024</v>
      </c>
      <c r="D3366" s="5" t="s">
        <v>3114</v>
      </c>
      <c r="E3366" s="5" t="str">
        <f>VLOOKUP(F3366,'Set up'!$A$2:$C$70,2,FALSE)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up'!$A$2:$C$70,3,FALSE)</f>
        <v>Cash</v>
      </c>
      <c r="J3366" s="5">
        <f>VLOOKUP(F3366,'Set up'!$A$2:$D$70,4,FALSE)</f>
        <v>0</v>
      </c>
      <c r="K3366" s="4">
        <f t="shared" si="857"/>
        <v>45604</v>
      </c>
      <c r="L3366" s="5">
        <f t="shared" si="858"/>
        <v>11</v>
      </c>
      <c r="M3366" s="5">
        <f t="shared" si="859"/>
        <v>2024</v>
      </c>
      <c r="N3366" s="12">
        <v>95</v>
      </c>
      <c r="O3366" s="6">
        <f t="shared" si="868"/>
        <v>-95</v>
      </c>
      <c r="P3366" s="12">
        <f t="shared" si="866"/>
        <v>0</v>
      </c>
      <c r="Q3366" s="7">
        <f t="shared" si="862"/>
        <v>5452638.8499999996</v>
      </c>
      <c r="R3366" s="44" t="str">
        <f>VLOOKUP(F3366,'Set up'!$A$2:$E$70,5,FALSE)</f>
        <v>Cash</v>
      </c>
      <c r="S3366" s="1" t="s">
        <v>3197</v>
      </c>
    </row>
    <row r="3367" spans="1:19" ht="15" customHeight="1" x14ac:dyDescent="0.35">
      <c r="A3367" s="4">
        <v>45604</v>
      </c>
      <c r="B3367" s="5">
        <f t="shared" si="855"/>
        <v>11</v>
      </c>
      <c r="C3367" s="5">
        <f t="shared" si="856"/>
        <v>2024</v>
      </c>
      <c r="D3367" s="5" t="s">
        <v>3114</v>
      </c>
      <c r="E3367" s="5" t="str">
        <f>VLOOKUP(F3367,'Set up'!$A$2:$C$70,2,FALSE)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up'!$A$2:$C$70,3,FALSE)</f>
        <v>Cash</v>
      </c>
      <c r="J3367" s="5">
        <f>VLOOKUP(F3367,'Set up'!$A$2:$D$70,4,FALSE)</f>
        <v>0</v>
      </c>
      <c r="K3367" s="4">
        <f t="shared" si="857"/>
        <v>45604</v>
      </c>
      <c r="L3367" s="5">
        <f t="shared" si="858"/>
        <v>11</v>
      </c>
      <c r="M3367" s="5">
        <f t="shared" si="859"/>
        <v>2024</v>
      </c>
      <c r="N3367" s="12">
        <v>312.5</v>
      </c>
      <c r="O3367" s="6">
        <f t="shared" si="868"/>
        <v>-312.5</v>
      </c>
      <c r="P3367" s="12">
        <f t="shared" si="866"/>
        <v>0</v>
      </c>
      <c r="Q3367" s="7">
        <f t="shared" si="862"/>
        <v>5452951.3499999996</v>
      </c>
      <c r="R3367" s="44" t="str">
        <f>VLOOKUP(F3367,'Set up'!$A$2:$E$70,5,FALSE)</f>
        <v>Cash</v>
      </c>
      <c r="S3367" s="1" t="s">
        <v>3197</v>
      </c>
    </row>
    <row r="3368" spans="1:19" ht="15" customHeight="1" x14ac:dyDescent="0.35">
      <c r="A3368" s="4">
        <v>45605</v>
      </c>
      <c r="B3368" s="5">
        <f t="shared" si="855"/>
        <v>11</v>
      </c>
      <c r="C3368" s="5">
        <f t="shared" si="856"/>
        <v>2024</v>
      </c>
      <c r="D3368" s="5" t="s">
        <v>3117</v>
      </c>
      <c r="E3368" s="5" t="str">
        <f>VLOOKUP(F3368,'Set up'!$A$2:$C$70,2,FALSE)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up'!$A$2:$C$70,3,FALSE)</f>
        <v>Cash</v>
      </c>
      <c r="J3368" s="5">
        <f>VLOOKUP(F3368,'Set up'!$A$2:$D$70,4,FALSE)</f>
        <v>0</v>
      </c>
      <c r="K3368" s="4">
        <f t="shared" si="857"/>
        <v>45605</v>
      </c>
      <c r="L3368" s="5">
        <f t="shared" si="858"/>
        <v>11</v>
      </c>
      <c r="M3368" s="5">
        <f t="shared" si="859"/>
        <v>2024</v>
      </c>
      <c r="N3368" s="12">
        <v>110</v>
      </c>
      <c r="O3368" s="12"/>
      <c r="P3368" s="12">
        <f t="shared" si="866"/>
        <v>110</v>
      </c>
      <c r="Q3368" s="7">
        <f t="shared" si="862"/>
        <v>5453061.3499999996</v>
      </c>
      <c r="R3368" s="44" t="str">
        <f>VLOOKUP(F3368,'Set up'!$A$2:$E$70,5,FALSE)</f>
        <v>Trsf</v>
      </c>
    </row>
    <row r="3369" spans="1:19" ht="15" customHeight="1" x14ac:dyDescent="0.35">
      <c r="A3369" s="4">
        <v>45605</v>
      </c>
      <c r="B3369" s="5">
        <f t="shared" si="855"/>
        <v>11</v>
      </c>
      <c r="C3369" s="5">
        <f t="shared" si="856"/>
        <v>2024</v>
      </c>
      <c r="D3369" s="5" t="s">
        <v>3117</v>
      </c>
      <c r="E3369" s="5" t="str">
        <f>VLOOKUP(F3369,'Set up'!$A$2:$C$70,2,FALSE)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up'!$A$2:$C$70,3,FALSE)</f>
        <v>Cash</v>
      </c>
      <c r="J3369" s="5">
        <f>VLOOKUP(F3369,'Set up'!$A$2:$D$70,4,FALSE)</f>
        <v>0</v>
      </c>
      <c r="K3369" s="4">
        <f t="shared" si="857"/>
        <v>45605</v>
      </c>
      <c r="L3369" s="5">
        <f t="shared" si="858"/>
        <v>11</v>
      </c>
      <c r="M3369" s="5">
        <f t="shared" si="859"/>
        <v>2024</v>
      </c>
      <c r="N3369" s="12">
        <v>390</v>
      </c>
      <c r="O3369" s="12"/>
      <c r="P3369" s="12">
        <f t="shared" si="866"/>
        <v>390</v>
      </c>
      <c r="Q3369" s="7">
        <f t="shared" si="862"/>
        <v>5453451.3499999996</v>
      </c>
      <c r="R3369" s="44" t="str">
        <f>VLOOKUP(F3369,'Set up'!$A$2:$E$70,5,FALSE)</f>
        <v>Trsf</v>
      </c>
    </row>
    <row r="3370" spans="1:19" ht="15" customHeight="1" x14ac:dyDescent="0.35">
      <c r="A3370" s="4">
        <v>45605</v>
      </c>
      <c r="B3370" s="5">
        <f t="shared" si="855"/>
        <v>11</v>
      </c>
      <c r="C3370" s="5">
        <f t="shared" si="856"/>
        <v>2024</v>
      </c>
      <c r="D3370" s="5" t="s">
        <v>3117</v>
      </c>
      <c r="E3370" s="5" t="str">
        <f>VLOOKUP(F3370,'Set up'!$A$2:$C$70,2,FALSE)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up'!$A$2:$C$70,3,FALSE)</f>
        <v>Cash</v>
      </c>
      <c r="J3370" s="5">
        <f>VLOOKUP(F3370,'Set up'!$A$2:$D$70,4,FALSE)</f>
        <v>0</v>
      </c>
      <c r="K3370" s="4">
        <f t="shared" si="857"/>
        <v>45605</v>
      </c>
      <c r="L3370" s="5">
        <f t="shared" si="858"/>
        <v>11</v>
      </c>
      <c r="M3370" s="5">
        <f t="shared" si="859"/>
        <v>2024</v>
      </c>
      <c r="N3370" s="12">
        <v>312.5</v>
      </c>
      <c r="O3370" s="12"/>
      <c r="P3370" s="12">
        <f t="shared" si="866"/>
        <v>312.5</v>
      </c>
      <c r="Q3370" s="7">
        <f t="shared" si="862"/>
        <v>5453763.8499999996</v>
      </c>
      <c r="R3370" s="44" t="str">
        <f>VLOOKUP(F3370,'Set up'!$A$2:$E$70,5,FALSE)</f>
        <v>Trsf</v>
      </c>
    </row>
    <row r="3371" spans="1:19" ht="15" customHeight="1" x14ac:dyDescent="0.35">
      <c r="A3371" s="4">
        <v>45605</v>
      </c>
      <c r="B3371" s="5">
        <f t="shared" si="855"/>
        <v>11</v>
      </c>
      <c r="C3371" s="5">
        <f t="shared" si="856"/>
        <v>2024</v>
      </c>
      <c r="D3371" s="5" t="s">
        <v>3117</v>
      </c>
      <c r="E3371" s="5" t="str">
        <f>VLOOKUP(F3371,'Set up'!$A$2:$C$70,2,FALSE)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up'!$A$2:$C$70,3,FALSE)</f>
        <v>Cash</v>
      </c>
      <c r="J3371" s="5">
        <f>VLOOKUP(F3371,'Set up'!$A$2:$D$70,4,FALSE)</f>
        <v>0</v>
      </c>
      <c r="K3371" s="4">
        <f t="shared" si="857"/>
        <v>45605</v>
      </c>
      <c r="L3371" s="5">
        <f t="shared" si="858"/>
        <v>11</v>
      </c>
      <c r="M3371" s="5">
        <f t="shared" si="859"/>
        <v>2024</v>
      </c>
      <c r="N3371" s="12">
        <v>160</v>
      </c>
      <c r="O3371" s="12"/>
      <c r="P3371" s="12">
        <f t="shared" si="866"/>
        <v>160</v>
      </c>
      <c r="Q3371" s="7">
        <f t="shared" si="862"/>
        <v>5453923.8499999996</v>
      </c>
      <c r="R3371" s="44" t="str">
        <f>VLOOKUP(F3371,'Set up'!$A$2:$E$70,5,FALSE)</f>
        <v>Trsf</v>
      </c>
    </row>
    <row r="3372" spans="1:19" ht="15" customHeight="1" x14ac:dyDescent="0.35">
      <c r="A3372" s="4">
        <v>45605</v>
      </c>
      <c r="B3372" s="5">
        <f t="shared" si="855"/>
        <v>11</v>
      </c>
      <c r="C3372" s="5">
        <f t="shared" si="856"/>
        <v>2024</v>
      </c>
      <c r="D3372" s="5" t="s">
        <v>3117</v>
      </c>
      <c r="E3372" s="5" t="str">
        <f>VLOOKUP(F3372,'Set up'!$A$2:$C$70,2,FALSE)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up'!$A$2:$C$70,3,FALSE)</f>
        <v>Cash</v>
      </c>
      <c r="J3372" s="5">
        <f>VLOOKUP(F3372,'Set up'!$A$2:$D$70,4,FALSE)</f>
        <v>0</v>
      </c>
      <c r="K3372" s="4">
        <f t="shared" si="857"/>
        <v>45605</v>
      </c>
      <c r="L3372" s="5">
        <f t="shared" si="858"/>
        <v>11</v>
      </c>
      <c r="M3372" s="5">
        <f t="shared" si="859"/>
        <v>2024</v>
      </c>
      <c r="N3372" s="12">
        <v>150</v>
      </c>
      <c r="O3372" s="12"/>
      <c r="P3372" s="12">
        <f t="shared" si="866"/>
        <v>150</v>
      </c>
      <c r="Q3372" s="7">
        <f t="shared" si="862"/>
        <v>5454073.8499999996</v>
      </c>
      <c r="R3372" s="44" t="str">
        <f>VLOOKUP(F3372,'Set up'!$A$2:$E$70,5,FALSE)</f>
        <v>Trsf</v>
      </c>
    </row>
    <row r="3373" spans="1:19" ht="15" customHeight="1" x14ac:dyDescent="0.35">
      <c r="A3373" s="4">
        <v>45605</v>
      </c>
      <c r="B3373" s="5">
        <f t="shared" si="855"/>
        <v>11</v>
      </c>
      <c r="C3373" s="5">
        <f t="shared" si="856"/>
        <v>2024</v>
      </c>
      <c r="D3373" s="5" t="s">
        <v>3117</v>
      </c>
      <c r="E3373" s="5" t="str">
        <f>VLOOKUP(F3373,'Set up'!$A$2:$C$70,2,FALSE)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up'!$A$2:$C$70,3,FALSE)</f>
        <v>Cash</v>
      </c>
      <c r="J3373" s="5">
        <f>VLOOKUP(F3373,'Set up'!$A$2:$D$70,4,FALSE)</f>
        <v>0</v>
      </c>
      <c r="K3373" s="4">
        <f t="shared" si="857"/>
        <v>45605</v>
      </c>
      <c r="L3373" s="5">
        <f t="shared" si="858"/>
        <v>11</v>
      </c>
      <c r="M3373" s="5">
        <f t="shared" si="859"/>
        <v>2024</v>
      </c>
      <c r="N3373" s="12">
        <v>283.8</v>
      </c>
      <c r="O3373" s="12"/>
      <c r="P3373" s="12">
        <f t="shared" si="866"/>
        <v>283.8</v>
      </c>
      <c r="Q3373" s="7">
        <f t="shared" si="862"/>
        <v>5454357.6499999994</v>
      </c>
      <c r="R3373" s="44" t="str">
        <f>VLOOKUP(F3373,'Set up'!$A$2:$E$70,5,FALSE)</f>
        <v>Trsf</v>
      </c>
    </row>
    <row r="3374" spans="1:19" ht="15" customHeight="1" x14ac:dyDescent="0.35">
      <c r="A3374" s="4">
        <v>45607</v>
      </c>
      <c r="B3374" s="5">
        <f t="shared" si="855"/>
        <v>11</v>
      </c>
      <c r="C3374" s="5">
        <f t="shared" si="856"/>
        <v>2024</v>
      </c>
      <c r="D3374" s="5" t="s">
        <v>3118</v>
      </c>
      <c r="E3374" s="5" t="str">
        <f>VLOOKUP(F3374,'Set up'!$A$2:$C$70,2,FALSE)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up'!$A$2:$C$70,3,FALSE)</f>
        <v>120</v>
      </c>
      <c r="J3374" s="5">
        <f>VLOOKUP(F3374,'Set up'!$A$2:$D$70,4,FALSE)</f>
        <v>120</v>
      </c>
      <c r="K3374" s="4">
        <f t="shared" si="857"/>
        <v>45727</v>
      </c>
      <c r="L3374" s="5">
        <f t="shared" si="858"/>
        <v>3</v>
      </c>
      <c r="M3374" s="5">
        <f t="shared" si="859"/>
        <v>2025</v>
      </c>
      <c r="N3374" s="12">
        <v>12848</v>
      </c>
      <c r="O3374" s="6">
        <f t="shared" ref="O3374:O3381" si="869">-N3374</f>
        <v>-12848</v>
      </c>
      <c r="P3374" s="12">
        <f t="shared" si="866"/>
        <v>0</v>
      </c>
      <c r="Q3374" s="7">
        <f t="shared" si="862"/>
        <v>5467205.6499999994</v>
      </c>
      <c r="R3374" s="44" t="str">
        <f>VLOOKUP(F3374,'Set up'!$A$2:$E$70,5,FALSE)</f>
        <v>Trsf</v>
      </c>
      <c r="S3374" s="1" t="s">
        <v>3692</v>
      </c>
    </row>
    <row r="3375" spans="1:19" ht="15" customHeight="1" x14ac:dyDescent="0.35">
      <c r="A3375" s="4">
        <v>45607</v>
      </c>
      <c r="B3375" s="5">
        <f t="shared" si="855"/>
        <v>11</v>
      </c>
      <c r="C3375" s="5">
        <f t="shared" si="856"/>
        <v>2024</v>
      </c>
      <c r="D3375" s="5" t="s">
        <v>3118</v>
      </c>
      <c r="E3375" s="5" t="str">
        <f>VLOOKUP(F3375,'Set up'!$A$2:$C$70,2,FALSE)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up'!$A$2:$C$70,3,FALSE)</f>
        <v>120</v>
      </c>
      <c r="J3375" s="5">
        <f>VLOOKUP(F3375,'Set up'!$A$2:$D$70,4,FALSE)</f>
        <v>120</v>
      </c>
      <c r="K3375" s="4">
        <f t="shared" si="857"/>
        <v>45727</v>
      </c>
      <c r="L3375" s="5">
        <f t="shared" si="858"/>
        <v>3</v>
      </c>
      <c r="M3375" s="5">
        <f t="shared" si="859"/>
        <v>2025</v>
      </c>
      <c r="N3375" s="12">
        <v>3240</v>
      </c>
      <c r="O3375" s="6">
        <f t="shared" si="869"/>
        <v>-3240</v>
      </c>
      <c r="P3375" s="12">
        <f t="shared" si="866"/>
        <v>0</v>
      </c>
      <c r="Q3375" s="7">
        <f t="shared" si="862"/>
        <v>5470445.6499999994</v>
      </c>
      <c r="R3375" s="44" t="str">
        <f>VLOOKUP(F3375,'Set up'!$A$2:$E$70,5,FALSE)</f>
        <v>Trsf</v>
      </c>
      <c r="S3375" s="1" t="s">
        <v>3692</v>
      </c>
    </row>
    <row r="3376" spans="1:19" ht="15" customHeight="1" x14ac:dyDescent="0.35">
      <c r="A3376" s="4">
        <v>45607</v>
      </c>
      <c r="B3376" s="5">
        <f t="shared" si="855"/>
        <v>11</v>
      </c>
      <c r="C3376" s="5">
        <f t="shared" si="856"/>
        <v>2024</v>
      </c>
      <c r="D3376" s="5" t="s">
        <v>3118</v>
      </c>
      <c r="E3376" s="5" t="str">
        <f>VLOOKUP(F3376,'Set up'!$A$2:$C$70,2,FALSE)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up'!$A$2:$C$70,3,FALSE)</f>
        <v>120</v>
      </c>
      <c r="J3376" s="5">
        <f>VLOOKUP(F3376,'Set up'!$A$2:$D$70,4,FALSE)</f>
        <v>120</v>
      </c>
      <c r="K3376" s="4">
        <f t="shared" si="857"/>
        <v>45727</v>
      </c>
      <c r="L3376" s="5">
        <f t="shared" si="858"/>
        <v>3</v>
      </c>
      <c r="M3376" s="5">
        <f t="shared" si="859"/>
        <v>2025</v>
      </c>
      <c r="N3376" s="12">
        <v>2610</v>
      </c>
      <c r="O3376" s="6">
        <f t="shared" si="869"/>
        <v>-2610</v>
      </c>
      <c r="P3376" s="12">
        <f t="shared" si="866"/>
        <v>0</v>
      </c>
      <c r="Q3376" s="7">
        <f t="shared" si="862"/>
        <v>5473055.6499999994</v>
      </c>
      <c r="R3376" s="44" t="str">
        <f>VLOOKUP(F3376,'Set up'!$A$2:$E$70,5,FALSE)</f>
        <v>Trsf</v>
      </c>
      <c r="S3376" s="1" t="s">
        <v>3692</v>
      </c>
    </row>
    <row r="3377" spans="1:21" ht="15" customHeight="1" x14ac:dyDescent="0.35">
      <c r="A3377" s="4">
        <v>45607</v>
      </c>
      <c r="B3377" s="5">
        <f t="shared" si="855"/>
        <v>11</v>
      </c>
      <c r="C3377" s="5">
        <f t="shared" si="856"/>
        <v>2024</v>
      </c>
      <c r="D3377" s="5" t="s">
        <v>3118</v>
      </c>
      <c r="E3377" s="5" t="str">
        <f>VLOOKUP(F3377,'Set up'!$A$2:$C$70,2,FALSE)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up'!$A$2:$C$70,3,FALSE)</f>
        <v>120</v>
      </c>
      <c r="J3377" s="5">
        <f>VLOOKUP(F3377,'Set up'!$A$2:$D$70,4,FALSE)</f>
        <v>120</v>
      </c>
      <c r="K3377" s="4">
        <f t="shared" si="857"/>
        <v>45727</v>
      </c>
      <c r="L3377" s="5">
        <f t="shared" si="858"/>
        <v>3</v>
      </c>
      <c r="M3377" s="5">
        <f t="shared" si="859"/>
        <v>2025</v>
      </c>
      <c r="N3377" s="12">
        <v>1725</v>
      </c>
      <c r="O3377" s="6">
        <f t="shared" si="869"/>
        <v>-1725</v>
      </c>
      <c r="P3377" s="12">
        <f t="shared" si="866"/>
        <v>0</v>
      </c>
      <c r="Q3377" s="7">
        <f t="shared" si="862"/>
        <v>5474780.6499999994</v>
      </c>
      <c r="R3377" s="44" t="str">
        <f>VLOOKUP(F3377,'Set up'!$A$2:$E$70,5,FALSE)</f>
        <v>Trsf</v>
      </c>
      <c r="S3377" s="1" t="s">
        <v>3692</v>
      </c>
    </row>
    <row r="3378" spans="1:21" ht="15" customHeight="1" x14ac:dyDescent="0.35">
      <c r="A3378" s="4">
        <v>45607</v>
      </c>
      <c r="B3378" s="5">
        <f t="shared" si="855"/>
        <v>11</v>
      </c>
      <c r="C3378" s="5">
        <f t="shared" si="856"/>
        <v>2024</v>
      </c>
      <c r="D3378" s="5" t="s">
        <v>3118</v>
      </c>
      <c r="E3378" s="5" t="str">
        <f>VLOOKUP(F3378,'Set up'!$A$2:$C$70,2,FALSE)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up'!$A$2:$C$70,3,FALSE)</f>
        <v>120</v>
      </c>
      <c r="J3378" s="5">
        <f>VLOOKUP(F3378,'Set up'!$A$2:$D$70,4,FALSE)</f>
        <v>120</v>
      </c>
      <c r="K3378" s="4">
        <f t="shared" si="857"/>
        <v>45727</v>
      </c>
      <c r="L3378" s="5">
        <f t="shared" si="858"/>
        <v>3</v>
      </c>
      <c r="M3378" s="5">
        <f t="shared" si="859"/>
        <v>2025</v>
      </c>
      <c r="N3378" s="12">
        <v>1320</v>
      </c>
      <c r="O3378" s="6">
        <f t="shared" si="869"/>
        <v>-1320</v>
      </c>
      <c r="P3378" s="12">
        <f t="shared" si="866"/>
        <v>0</v>
      </c>
      <c r="Q3378" s="7">
        <f t="shared" si="862"/>
        <v>5476100.6499999994</v>
      </c>
      <c r="R3378" s="44" t="str">
        <f>VLOOKUP(F3378,'Set up'!$A$2:$E$70,5,FALSE)</f>
        <v>Trsf</v>
      </c>
      <c r="S3378" s="1" t="s">
        <v>3692</v>
      </c>
    </row>
    <row r="3379" spans="1:21" ht="15" customHeight="1" x14ac:dyDescent="0.35">
      <c r="A3379" s="4">
        <v>45607</v>
      </c>
      <c r="B3379" s="5">
        <f t="shared" si="855"/>
        <v>11</v>
      </c>
      <c r="C3379" s="5">
        <f t="shared" si="856"/>
        <v>2024</v>
      </c>
      <c r="D3379" s="5" t="s">
        <v>3118</v>
      </c>
      <c r="E3379" s="5" t="str">
        <f>VLOOKUP(F3379,'Set up'!$A$2:$C$70,2,FALSE)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up'!$A$2:$C$70,3,FALSE)</f>
        <v>120</v>
      </c>
      <c r="J3379" s="5">
        <f>VLOOKUP(F3379,'Set up'!$A$2:$D$70,4,FALSE)</f>
        <v>120</v>
      </c>
      <c r="K3379" s="4">
        <f t="shared" si="857"/>
        <v>45727</v>
      </c>
      <c r="L3379" s="5">
        <f t="shared" si="858"/>
        <v>3</v>
      </c>
      <c r="M3379" s="5">
        <f t="shared" si="859"/>
        <v>2025</v>
      </c>
      <c r="N3379" s="12">
        <v>230.4</v>
      </c>
      <c r="O3379" s="6">
        <f t="shared" si="869"/>
        <v>-230.4</v>
      </c>
      <c r="P3379" s="12">
        <f t="shared" si="866"/>
        <v>0</v>
      </c>
      <c r="Q3379" s="7">
        <f t="shared" si="862"/>
        <v>5476331.0499999998</v>
      </c>
      <c r="R3379" s="44" t="str">
        <f>VLOOKUP(F3379,'Set up'!$A$2:$E$70,5,FALSE)</f>
        <v>Trsf</v>
      </c>
      <c r="S3379" s="1" t="s">
        <v>3692</v>
      </c>
    </row>
    <row r="3380" spans="1:21" ht="15" customHeight="1" x14ac:dyDescent="0.35">
      <c r="A3380" s="4">
        <v>45607</v>
      </c>
      <c r="B3380" s="5">
        <f t="shared" si="855"/>
        <v>11</v>
      </c>
      <c r="C3380" s="5">
        <f t="shared" si="856"/>
        <v>2024</v>
      </c>
      <c r="D3380" s="5" t="s">
        <v>3118</v>
      </c>
      <c r="E3380" s="5" t="str">
        <f>VLOOKUP(F3380,'Set up'!$A$2:$C$70,2,FALSE)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up'!$A$2:$C$70,3,FALSE)</f>
        <v>120</v>
      </c>
      <c r="J3380" s="5">
        <f>VLOOKUP(F3380,'Set up'!$A$2:$D$70,4,FALSE)</f>
        <v>120</v>
      </c>
      <c r="K3380" s="4">
        <f t="shared" si="857"/>
        <v>45727</v>
      </c>
      <c r="L3380" s="5">
        <f t="shared" si="858"/>
        <v>3</v>
      </c>
      <c r="M3380" s="5">
        <f t="shared" si="859"/>
        <v>2025</v>
      </c>
      <c r="N3380" s="12">
        <v>395</v>
      </c>
      <c r="O3380" s="6">
        <f t="shared" si="869"/>
        <v>-395</v>
      </c>
      <c r="P3380" s="12">
        <f t="shared" si="866"/>
        <v>0</v>
      </c>
      <c r="Q3380" s="7">
        <f t="shared" si="862"/>
        <v>5476726.0499999998</v>
      </c>
      <c r="R3380" s="44" t="str">
        <f>VLOOKUP(F3380,'Set up'!$A$2:$E$70,5,FALSE)</f>
        <v>Trsf</v>
      </c>
      <c r="S3380" s="1" t="s">
        <v>3692</v>
      </c>
    </row>
    <row r="3381" spans="1:21" ht="15" customHeight="1" x14ac:dyDescent="0.35">
      <c r="A3381" s="4">
        <v>45607</v>
      </c>
      <c r="B3381" s="5">
        <f t="shared" si="855"/>
        <v>11</v>
      </c>
      <c r="C3381" s="5">
        <f t="shared" si="856"/>
        <v>2024</v>
      </c>
      <c r="D3381" s="5" t="s">
        <v>3118</v>
      </c>
      <c r="E3381" s="5" t="str">
        <f>VLOOKUP(F3381,'Set up'!$A$2:$C$70,2,FALSE)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up'!$A$2:$C$70,3,FALSE)</f>
        <v>120</v>
      </c>
      <c r="J3381" s="5">
        <f>VLOOKUP(F3381,'Set up'!$A$2:$D$70,4,FALSE)</f>
        <v>120</v>
      </c>
      <c r="K3381" s="4">
        <f t="shared" si="857"/>
        <v>45727</v>
      </c>
      <c r="L3381" s="5">
        <f t="shared" si="858"/>
        <v>3</v>
      </c>
      <c r="M3381" s="5">
        <f t="shared" si="859"/>
        <v>2025</v>
      </c>
      <c r="N3381" s="12">
        <v>420</v>
      </c>
      <c r="O3381" s="6">
        <f t="shared" si="869"/>
        <v>-420</v>
      </c>
      <c r="P3381" s="12">
        <f t="shared" si="866"/>
        <v>0</v>
      </c>
      <c r="Q3381" s="7">
        <f t="shared" si="862"/>
        <v>5477146.0499999998</v>
      </c>
      <c r="R3381" s="44" t="str">
        <f>VLOOKUP(F3381,'Set up'!$A$2:$E$70,5,FALSE)</f>
        <v>Trsf</v>
      </c>
      <c r="S3381" s="1" t="s">
        <v>3692</v>
      </c>
    </row>
    <row r="3382" spans="1:21" ht="15" customHeight="1" x14ac:dyDescent="0.35">
      <c r="A3382" s="4">
        <v>45608</v>
      </c>
      <c r="B3382" s="5">
        <f t="shared" si="855"/>
        <v>11</v>
      </c>
      <c r="C3382" s="5">
        <f t="shared" si="856"/>
        <v>2024</v>
      </c>
      <c r="D3382" s="5" t="s">
        <v>3120</v>
      </c>
      <c r="E3382" s="5" t="str">
        <f>VLOOKUP(F3382,'Set up'!$A$2:$C$70,2,FALSE)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up'!$A$2:$C$70,3,FALSE)</f>
        <v>Cash</v>
      </c>
      <c r="J3382" s="5">
        <f>VLOOKUP(F3382,'Set up'!$A$2:$D$70,4,FALSE)</f>
        <v>0</v>
      </c>
      <c r="K3382" s="4">
        <f t="shared" si="857"/>
        <v>45608</v>
      </c>
      <c r="L3382" s="5">
        <f t="shared" si="858"/>
        <v>11</v>
      </c>
      <c r="M3382" s="5">
        <f t="shared" si="859"/>
        <v>2024</v>
      </c>
      <c r="N3382" s="98">
        <v>1738</v>
      </c>
      <c r="O3382" s="12"/>
      <c r="P3382" s="12">
        <f t="shared" si="866"/>
        <v>1738</v>
      </c>
      <c r="Q3382" s="7">
        <f t="shared" si="862"/>
        <v>5478884.0499999998</v>
      </c>
      <c r="R3382" s="44" t="str">
        <f>VLOOKUP(F3382,'Set up'!$A$2:$E$70,5,FALSE)</f>
        <v>Trsf</v>
      </c>
    </row>
    <row r="3383" spans="1:21" ht="15" customHeight="1" x14ac:dyDescent="0.35">
      <c r="A3383" s="4">
        <v>45608</v>
      </c>
      <c r="B3383" s="5">
        <f t="shared" si="855"/>
        <v>11</v>
      </c>
      <c r="C3383" s="5">
        <f t="shared" si="856"/>
        <v>2024</v>
      </c>
      <c r="D3383" s="5" t="s">
        <v>3120</v>
      </c>
      <c r="E3383" s="5" t="str">
        <f>VLOOKUP(F3383,'Set up'!$A$2:$C$70,2,FALSE)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up'!$A$2:$C$70,3,FALSE)</f>
        <v>Cash</v>
      </c>
      <c r="J3383" s="5">
        <f>VLOOKUP(F3383,'Set up'!$A$2:$D$70,4,FALSE)</f>
        <v>0</v>
      </c>
      <c r="K3383" s="4">
        <f t="shared" si="857"/>
        <v>45608</v>
      </c>
      <c r="L3383" s="5">
        <f t="shared" si="858"/>
        <v>11</v>
      </c>
      <c r="M3383" s="5">
        <f t="shared" si="859"/>
        <v>2024</v>
      </c>
      <c r="N3383" s="98">
        <v>405</v>
      </c>
      <c r="O3383" s="12"/>
      <c r="P3383" s="12">
        <f t="shared" si="866"/>
        <v>405</v>
      </c>
      <c r="Q3383" s="7">
        <f t="shared" si="862"/>
        <v>5479289.0499999998</v>
      </c>
      <c r="R3383" s="44" t="str">
        <f>VLOOKUP(F3383,'Set up'!$A$2:$E$70,5,FALSE)</f>
        <v>Trsf</v>
      </c>
    </row>
    <row r="3384" spans="1:21" ht="15" customHeight="1" x14ac:dyDescent="0.35">
      <c r="A3384" s="4">
        <v>45610</v>
      </c>
      <c r="B3384" s="5">
        <f t="shared" si="855"/>
        <v>11</v>
      </c>
      <c r="C3384" s="5">
        <f t="shared" si="856"/>
        <v>2024</v>
      </c>
      <c r="D3384" s="5" t="s">
        <v>3121</v>
      </c>
      <c r="E3384" s="5" t="str">
        <f>VLOOKUP(F3384,'Set up'!$A$2:$C$70,2,FALSE)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up'!$A$2:$C$70,3,FALSE)</f>
        <v>Cash</v>
      </c>
      <c r="J3384" s="5">
        <f>VLOOKUP(F3384,'Set up'!$A$2:$D$70,4,FALSE)</f>
        <v>0</v>
      </c>
      <c r="K3384" s="4">
        <f t="shared" si="857"/>
        <v>45610</v>
      </c>
      <c r="L3384" s="5">
        <f t="shared" si="858"/>
        <v>11</v>
      </c>
      <c r="M3384" s="5">
        <f t="shared" si="859"/>
        <v>2024</v>
      </c>
      <c r="N3384" s="12">
        <v>1755</v>
      </c>
      <c r="O3384" s="6">
        <f t="shared" ref="O3384:O3387" si="870">-N3384</f>
        <v>-1755</v>
      </c>
      <c r="P3384" s="12">
        <f t="shared" si="866"/>
        <v>0</v>
      </c>
      <c r="Q3384" s="7">
        <f t="shared" si="862"/>
        <v>5481044.0499999998</v>
      </c>
      <c r="R3384" s="44" t="str">
        <f>VLOOKUP(F3384,'Set up'!$A$2:$E$70,5,FALSE)</f>
        <v>Cash</v>
      </c>
      <c r="S3384" s="1" t="s">
        <v>3201</v>
      </c>
    </row>
    <row r="3385" spans="1:21" ht="15" customHeight="1" x14ac:dyDescent="0.35">
      <c r="A3385" s="4">
        <v>45610</v>
      </c>
      <c r="B3385" s="5">
        <f t="shared" si="855"/>
        <v>11</v>
      </c>
      <c r="C3385" s="5">
        <f t="shared" si="856"/>
        <v>2024</v>
      </c>
      <c r="D3385" s="5" t="s">
        <v>3121</v>
      </c>
      <c r="E3385" s="5" t="str">
        <f>VLOOKUP(F3385,'Set up'!$A$2:$C$70,2,FALSE)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up'!$A$2:$C$70,3,FALSE)</f>
        <v>Cash</v>
      </c>
      <c r="J3385" s="5">
        <f>VLOOKUP(F3385,'Set up'!$A$2:$D$70,4,FALSE)</f>
        <v>0</v>
      </c>
      <c r="K3385" s="4">
        <f t="shared" si="857"/>
        <v>45610</v>
      </c>
      <c r="L3385" s="5">
        <f t="shared" si="858"/>
        <v>11</v>
      </c>
      <c r="M3385" s="5">
        <f t="shared" si="859"/>
        <v>2024</v>
      </c>
      <c r="N3385" s="12">
        <v>555</v>
      </c>
      <c r="O3385" s="6">
        <f t="shared" si="870"/>
        <v>-555</v>
      </c>
      <c r="P3385" s="12">
        <f t="shared" si="866"/>
        <v>0</v>
      </c>
      <c r="Q3385" s="7">
        <f t="shared" si="862"/>
        <v>5481599.0499999998</v>
      </c>
      <c r="R3385" s="44" t="str">
        <f>VLOOKUP(F3385,'Set up'!$A$2:$E$70,5,FALSE)</f>
        <v>Cash</v>
      </c>
      <c r="S3385" s="1" t="s">
        <v>3201</v>
      </c>
    </row>
    <row r="3386" spans="1:21" ht="15" customHeight="1" x14ac:dyDescent="0.35">
      <c r="A3386" s="4">
        <v>45610</v>
      </c>
      <c r="B3386" s="5">
        <f t="shared" si="855"/>
        <v>11</v>
      </c>
      <c r="C3386" s="5">
        <f t="shared" si="856"/>
        <v>2024</v>
      </c>
      <c r="D3386" s="5" t="s">
        <v>3121</v>
      </c>
      <c r="E3386" s="5" t="str">
        <f>VLOOKUP(F3386,'Set up'!$A$2:$C$70,2,FALSE)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up'!$A$2:$C$70,3,FALSE)</f>
        <v>Cash</v>
      </c>
      <c r="J3386" s="5">
        <f>VLOOKUP(F3386,'Set up'!$A$2:$D$70,4,FALSE)</f>
        <v>0</v>
      </c>
      <c r="K3386" s="4">
        <f t="shared" si="857"/>
        <v>45610</v>
      </c>
      <c r="L3386" s="5">
        <f t="shared" si="858"/>
        <v>11</v>
      </c>
      <c r="M3386" s="5">
        <f t="shared" si="859"/>
        <v>2024</v>
      </c>
      <c r="N3386" s="12">
        <v>95</v>
      </c>
      <c r="O3386" s="6">
        <f t="shared" si="870"/>
        <v>-95</v>
      </c>
      <c r="P3386" s="12">
        <f t="shared" si="866"/>
        <v>0</v>
      </c>
      <c r="Q3386" s="7">
        <f t="shared" si="862"/>
        <v>5481694.0499999998</v>
      </c>
      <c r="R3386" s="44" t="str">
        <f>VLOOKUP(F3386,'Set up'!$A$2:$E$70,5,FALSE)</f>
        <v>Cash</v>
      </c>
      <c r="S3386" s="1" t="s">
        <v>3201</v>
      </c>
    </row>
    <row r="3387" spans="1:21" ht="15" customHeight="1" x14ac:dyDescent="0.35">
      <c r="A3387" s="4">
        <v>45610</v>
      </c>
      <c r="B3387" s="5">
        <f t="shared" si="855"/>
        <v>11</v>
      </c>
      <c r="C3387" s="5">
        <f t="shared" si="856"/>
        <v>2024</v>
      </c>
      <c r="D3387" s="5" t="s">
        <v>3121</v>
      </c>
      <c r="E3387" s="5" t="str">
        <f>VLOOKUP(F3387,'Set up'!$A$2:$C$70,2,FALSE)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up'!$A$2:$C$70,3,FALSE)</f>
        <v>Cash</v>
      </c>
      <c r="J3387" s="5">
        <f>VLOOKUP(F3387,'Set up'!$A$2:$D$70,4,FALSE)</f>
        <v>0</v>
      </c>
      <c r="K3387" s="4">
        <f t="shared" si="857"/>
        <v>45610</v>
      </c>
      <c r="L3387" s="5">
        <f t="shared" si="858"/>
        <v>11</v>
      </c>
      <c r="M3387" s="5">
        <f t="shared" si="859"/>
        <v>2024</v>
      </c>
      <c r="N3387" s="12">
        <v>625</v>
      </c>
      <c r="O3387" s="6">
        <f t="shared" si="870"/>
        <v>-625</v>
      </c>
      <c r="P3387" s="12">
        <f t="shared" si="866"/>
        <v>0</v>
      </c>
      <c r="Q3387" s="7">
        <f t="shared" si="862"/>
        <v>5482319.0499999998</v>
      </c>
      <c r="R3387" s="44" t="str">
        <f>VLOOKUP(F3387,'Set up'!$A$2:$E$70,5,FALSE)</f>
        <v>Cash</v>
      </c>
      <c r="S3387" s="1" t="s">
        <v>3201</v>
      </c>
    </row>
    <row r="3388" spans="1:21" ht="15" customHeight="1" x14ac:dyDescent="0.35">
      <c r="A3388" s="4">
        <v>45612</v>
      </c>
      <c r="B3388" s="5">
        <f t="shared" si="855"/>
        <v>11</v>
      </c>
      <c r="C3388" s="5">
        <f t="shared" si="856"/>
        <v>2024</v>
      </c>
      <c r="D3388" s="5" t="s">
        <v>3123</v>
      </c>
      <c r="E3388" s="5" t="str">
        <f>VLOOKUP(F3388,'Set up'!$A$2:$C$70,2,FALSE)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up'!$A$2:$C$70,3,FALSE)</f>
        <v>45</v>
      </c>
      <c r="J3388" s="5">
        <f>VLOOKUP(F3388,'Set up'!$A$2:$D$70,4,FALSE)</f>
        <v>45</v>
      </c>
      <c r="K3388" s="4">
        <f t="shared" si="857"/>
        <v>45657</v>
      </c>
      <c r="L3388" s="5">
        <f t="shared" si="858"/>
        <v>12</v>
      </c>
      <c r="M3388" s="5">
        <f t="shared" si="859"/>
        <v>2024</v>
      </c>
      <c r="N3388" s="12">
        <v>1738</v>
      </c>
      <c r="O3388" s="12">
        <f>-1500-238</f>
        <v>-1738</v>
      </c>
      <c r="P3388" s="12">
        <f t="shared" si="866"/>
        <v>0</v>
      </c>
      <c r="Q3388" s="7">
        <f t="shared" si="862"/>
        <v>5484057.0499999998</v>
      </c>
      <c r="R3388" s="44" t="str">
        <f>VLOOKUP(F3388,'Set up'!$A$2:$E$70,5,FALSE)</f>
        <v>PD Chq</v>
      </c>
      <c r="S3388" s="1" t="s">
        <v>3424</v>
      </c>
      <c r="U3388" s="1" t="s">
        <v>3603</v>
      </c>
    </row>
    <row r="3389" spans="1:21" ht="15" customHeight="1" x14ac:dyDescent="0.35">
      <c r="A3389" s="4">
        <v>45612</v>
      </c>
      <c r="B3389" s="5">
        <f t="shared" si="855"/>
        <v>11</v>
      </c>
      <c r="C3389" s="5">
        <f t="shared" si="856"/>
        <v>2024</v>
      </c>
      <c r="D3389" s="5" t="s">
        <v>3123</v>
      </c>
      <c r="E3389" s="5" t="str">
        <f>VLOOKUP(F3389,'Set up'!$A$2:$C$70,2,FALSE)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up'!$A$2:$C$70,3,FALSE)</f>
        <v>45</v>
      </c>
      <c r="J3389" s="5">
        <f>VLOOKUP(F3389,'Set up'!$A$2:$D$70,4,FALSE)</f>
        <v>45</v>
      </c>
      <c r="K3389" s="4">
        <f t="shared" si="857"/>
        <v>45657</v>
      </c>
      <c r="L3389" s="5">
        <f t="shared" si="858"/>
        <v>12</v>
      </c>
      <c r="M3389" s="5">
        <f t="shared" si="859"/>
        <v>2024</v>
      </c>
      <c r="N3389" s="12">
        <v>220</v>
      </c>
      <c r="O3389" s="6">
        <f>-N3389</f>
        <v>-220</v>
      </c>
      <c r="P3389" s="12">
        <f t="shared" si="866"/>
        <v>0</v>
      </c>
      <c r="Q3389" s="7">
        <f t="shared" si="862"/>
        <v>5484277.0499999998</v>
      </c>
      <c r="R3389" s="44" t="str">
        <f>VLOOKUP(F3389,'Set up'!$A$2:$E$70,5,FALSE)</f>
        <v>PD Chq</v>
      </c>
      <c r="S3389" s="1" t="s">
        <v>3425</v>
      </c>
      <c r="U3389" s="1" t="s">
        <v>3603</v>
      </c>
    </row>
    <row r="3390" spans="1:21" ht="15" customHeight="1" x14ac:dyDescent="0.35">
      <c r="A3390" s="4">
        <v>45612</v>
      </c>
      <c r="B3390" s="5">
        <f t="shared" si="855"/>
        <v>11</v>
      </c>
      <c r="C3390" s="5">
        <f t="shared" si="856"/>
        <v>2024</v>
      </c>
      <c r="D3390" s="5" t="s">
        <v>3123</v>
      </c>
      <c r="E3390" s="5" t="str">
        <f>VLOOKUP(F3390,'Set up'!$A$2:$C$70,2,FALSE)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up'!$A$2:$C$70,3,FALSE)</f>
        <v>45</v>
      </c>
      <c r="J3390" s="5">
        <f>VLOOKUP(F3390,'Set up'!$A$2:$D$70,4,FALSE)</f>
        <v>45</v>
      </c>
      <c r="K3390" s="4">
        <f t="shared" si="857"/>
        <v>45657</v>
      </c>
      <c r="L3390" s="5">
        <f t="shared" si="858"/>
        <v>12</v>
      </c>
      <c r="M3390" s="5">
        <f t="shared" si="859"/>
        <v>2024</v>
      </c>
      <c r="N3390" s="12">
        <v>130</v>
      </c>
      <c r="O3390" s="6">
        <f>-N3390</f>
        <v>-130</v>
      </c>
      <c r="P3390" s="12">
        <f t="shared" si="866"/>
        <v>0</v>
      </c>
      <c r="Q3390" s="7">
        <f t="shared" si="862"/>
        <v>5484407.0499999998</v>
      </c>
      <c r="R3390" s="44" t="str">
        <f>VLOOKUP(F3390,'Set up'!$A$2:$E$70,5,FALSE)</f>
        <v>PD Chq</v>
      </c>
      <c r="S3390" s="1" t="s">
        <v>3426</v>
      </c>
      <c r="U3390" s="1" t="s">
        <v>3603</v>
      </c>
    </row>
    <row r="3391" spans="1:21" ht="15" customHeight="1" x14ac:dyDescent="0.35">
      <c r="A3391" s="4">
        <v>45612</v>
      </c>
      <c r="B3391" s="5">
        <f t="shared" si="855"/>
        <v>11</v>
      </c>
      <c r="C3391" s="5">
        <f t="shared" si="856"/>
        <v>2024</v>
      </c>
      <c r="D3391" s="5" t="s">
        <v>3123</v>
      </c>
      <c r="E3391" s="5" t="str">
        <f>VLOOKUP(F3391,'Set up'!$A$2:$C$70,2,FALSE)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up'!$A$2:$C$70,3,FALSE)</f>
        <v>45</v>
      </c>
      <c r="J3391" s="5">
        <f>VLOOKUP(F3391,'Set up'!$A$2:$D$70,4,FALSE)</f>
        <v>45</v>
      </c>
      <c r="K3391" s="4">
        <f t="shared" si="857"/>
        <v>45657</v>
      </c>
      <c r="L3391" s="5">
        <f t="shared" si="858"/>
        <v>12</v>
      </c>
      <c r="M3391" s="5">
        <f t="shared" si="859"/>
        <v>2024</v>
      </c>
      <c r="N3391" s="12">
        <v>1450</v>
      </c>
      <c r="O3391" s="12">
        <f>-450-1000</f>
        <v>-1450</v>
      </c>
      <c r="P3391" s="12">
        <f t="shared" si="866"/>
        <v>0</v>
      </c>
      <c r="Q3391" s="7">
        <f t="shared" si="862"/>
        <v>5485857.0499999998</v>
      </c>
      <c r="R3391" s="44" t="str">
        <f>VLOOKUP(F3391,'Set up'!$A$2:$E$70,5,FALSE)</f>
        <v>PD Chq</v>
      </c>
      <c r="S3391" s="1" t="s">
        <v>3430</v>
      </c>
      <c r="U3391" s="1" t="s">
        <v>3603</v>
      </c>
    </row>
    <row r="3392" spans="1:21" ht="15" customHeight="1" x14ac:dyDescent="0.35">
      <c r="A3392" s="4">
        <v>45612</v>
      </c>
      <c r="B3392" s="5">
        <f t="shared" si="855"/>
        <v>11</v>
      </c>
      <c r="C3392" s="5">
        <f t="shared" si="856"/>
        <v>2024</v>
      </c>
      <c r="D3392" s="5" t="s">
        <v>3123</v>
      </c>
      <c r="E3392" s="5" t="str">
        <f>VLOOKUP(F3392,'Set up'!$A$2:$C$70,2,FALSE)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up'!$A$2:$C$70,3,FALSE)</f>
        <v>45</v>
      </c>
      <c r="J3392" s="5">
        <f>VLOOKUP(F3392,'Set up'!$A$2:$D$70,4,FALSE)</f>
        <v>45</v>
      </c>
      <c r="K3392" s="4">
        <f t="shared" si="857"/>
        <v>45657</v>
      </c>
      <c r="L3392" s="5">
        <f t="shared" si="858"/>
        <v>12</v>
      </c>
      <c r="M3392" s="5">
        <f t="shared" si="859"/>
        <v>2024</v>
      </c>
      <c r="N3392" s="12">
        <v>0</v>
      </c>
      <c r="O3392" s="12"/>
      <c r="P3392" s="12">
        <f t="shared" si="866"/>
        <v>0</v>
      </c>
      <c r="Q3392" s="7">
        <f t="shared" si="862"/>
        <v>5485857.0499999998</v>
      </c>
      <c r="R3392" s="44" t="str">
        <f>VLOOKUP(F3392,'Set up'!$A$2:$E$70,5,FALSE)</f>
        <v>PD Chq</v>
      </c>
      <c r="U3392" s="1" t="s">
        <v>3603</v>
      </c>
    </row>
    <row r="3393" spans="1:21" ht="15" customHeight="1" x14ac:dyDescent="0.35">
      <c r="A3393" s="4">
        <v>45612</v>
      </c>
      <c r="B3393" s="5">
        <f t="shared" si="855"/>
        <v>11</v>
      </c>
      <c r="C3393" s="5">
        <f t="shared" si="856"/>
        <v>2024</v>
      </c>
      <c r="D3393" s="5" t="s">
        <v>3123</v>
      </c>
      <c r="E3393" s="5" t="str">
        <f>VLOOKUP(F3393,'Set up'!$A$2:$C$70,2,FALSE)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up'!$A$2:$C$70,3,FALSE)</f>
        <v>45</v>
      </c>
      <c r="J3393" s="5">
        <f>VLOOKUP(F3393,'Set up'!$A$2:$D$70,4,FALSE)</f>
        <v>45</v>
      </c>
      <c r="K3393" s="4">
        <f t="shared" si="857"/>
        <v>45657</v>
      </c>
      <c r="L3393" s="5">
        <f t="shared" si="858"/>
        <v>12</v>
      </c>
      <c r="M3393" s="5">
        <f t="shared" si="859"/>
        <v>2024</v>
      </c>
      <c r="N3393" s="12">
        <v>0</v>
      </c>
      <c r="O3393" s="12"/>
      <c r="P3393" s="12">
        <f t="shared" si="866"/>
        <v>0</v>
      </c>
      <c r="Q3393" s="7">
        <f t="shared" si="862"/>
        <v>5485857.0499999998</v>
      </c>
      <c r="R3393" s="44" t="str">
        <f>VLOOKUP(F3393,'Set up'!$A$2:$E$70,5,FALSE)</f>
        <v>PD Chq</v>
      </c>
      <c r="U3393" s="1" t="s">
        <v>3603</v>
      </c>
    </row>
    <row r="3394" spans="1:21" ht="15" customHeight="1" x14ac:dyDescent="0.35">
      <c r="A3394" s="4">
        <v>45612</v>
      </c>
      <c r="B3394" s="5">
        <f t="shared" si="855"/>
        <v>11</v>
      </c>
      <c r="C3394" s="5">
        <f t="shared" si="856"/>
        <v>2024</v>
      </c>
      <c r="D3394" s="5" t="s">
        <v>3127</v>
      </c>
      <c r="E3394" s="5" t="str">
        <f>VLOOKUP(F3394,'Set up'!$A$2:$C$70,2,FALSE)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up'!$A$2:$C$70,3,FALSE)</f>
        <v>Cash</v>
      </c>
      <c r="J3394" s="5">
        <f>VLOOKUP(F3394,'Set up'!$A$2:$D$70,4,FALSE)</f>
        <v>0</v>
      </c>
      <c r="K3394" s="4">
        <f t="shared" si="857"/>
        <v>45612</v>
      </c>
      <c r="L3394" s="5">
        <f t="shared" si="858"/>
        <v>11</v>
      </c>
      <c r="M3394" s="5">
        <f t="shared" si="859"/>
        <v>2024</v>
      </c>
      <c r="N3394" s="12">
        <v>625</v>
      </c>
      <c r="O3394" s="6">
        <f t="shared" ref="O3394:O3400" si="871">-N3394</f>
        <v>-625</v>
      </c>
      <c r="P3394" s="12">
        <f t="shared" si="866"/>
        <v>0</v>
      </c>
      <c r="Q3394" s="7">
        <f t="shared" si="862"/>
        <v>5486482.0499999998</v>
      </c>
      <c r="R3394" s="44" t="str">
        <f>VLOOKUP(F3394,'Set up'!$A$2:$E$70,5,FALSE)</f>
        <v>Trsf</v>
      </c>
      <c r="S3394" s="1" t="s">
        <v>3582</v>
      </c>
    </row>
    <row r="3395" spans="1:21" ht="15" customHeight="1" x14ac:dyDescent="0.35">
      <c r="A3395" s="4">
        <v>45612</v>
      </c>
      <c r="B3395" s="5">
        <f t="shared" ref="B3395:B3458" si="872">MONTH(A3395)</f>
        <v>11</v>
      </c>
      <c r="C3395" s="5">
        <f t="shared" ref="C3395:C3458" si="873">YEAR(A3395)</f>
        <v>2024</v>
      </c>
      <c r="D3395" s="5" t="s">
        <v>3128</v>
      </c>
      <c r="E3395" s="5" t="str">
        <f>VLOOKUP(F3395,'Set up'!$A$2:$C$70,2,FALSE)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up'!$A$2:$C$70,3,FALSE)</f>
        <v>Cash</v>
      </c>
      <c r="J3395" s="5">
        <f>VLOOKUP(F3395,'Set up'!$A$2:$D$70,4,FALSE)</f>
        <v>0</v>
      </c>
      <c r="K3395" s="4">
        <f t="shared" ref="K3395:K3433" si="874">A3395+J3395</f>
        <v>45612</v>
      </c>
      <c r="L3395" s="5">
        <f t="shared" ref="L3395:L3438" si="875">MONTH(K3395)</f>
        <v>11</v>
      </c>
      <c r="M3395" s="5">
        <f t="shared" ref="M3395:M3438" si="876">YEAR(K3395)</f>
        <v>2024</v>
      </c>
      <c r="N3395" s="12">
        <v>9636</v>
      </c>
      <c r="O3395" s="6">
        <f t="shared" si="871"/>
        <v>-9636</v>
      </c>
      <c r="P3395" s="12">
        <f t="shared" si="866"/>
        <v>0</v>
      </c>
      <c r="Q3395" s="7">
        <f t="shared" si="862"/>
        <v>5496118.0499999998</v>
      </c>
      <c r="R3395" s="44" t="str">
        <f>VLOOKUP(F3395,'Set up'!$A$2:$E$70,5,FALSE)</f>
        <v>Trsf</v>
      </c>
      <c r="S3395" s="1" t="s">
        <v>3583</v>
      </c>
    </row>
    <row r="3396" spans="1:21" ht="15" customHeight="1" x14ac:dyDescent="0.35">
      <c r="A3396" s="4">
        <v>45612</v>
      </c>
      <c r="B3396" s="5">
        <f t="shared" si="872"/>
        <v>11</v>
      </c>
      <c r="C3396" s="5">
        <f t="shared" si="873"/>
        <v>2024</v>
      </c>
      <c r="D3396" s="5" t="s">
        <v>3128</v>
      </c>
      <c r="E3396" s="5" t="str">
        <f>VLOOKUP(F3396,'Set up'!$A$2:$C$70,2,FALSE)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up'!$A$2:$C$70,3,FALSE)</f>
        <v>Cash</v>
      </c>
      <c r="J3396" s="5">
        <f>VLOOKUP(F3396,'Set up'!$A$2:$D$70,4,FALSE)</f>
        <v>0</v>
      </c>
      <c r="K3396" s="4">
        <f t="shared" si="874"/>
        <v>45612</v>
      </c>
      <c r="L3396" s="5">
        <f t="shared" si="875"/>
        <v>11</v>
      </c>
      <c r="M3396" s="5">
        <f t="shared" si="876"/>
        <v>2024</v>
      </c>
      <c r="N3396" s="12">
        <v>6480</v>
      </c>
      <c r="O3396" s="6">
        <f t="shared" si="871"/>
        <v>-6480</v>
      </c>
      <c r="P3396" s="12">
        <f t="shared" si="866"/>
        <v>0</v>
      </c>
      <c r="Q3396" s="7">
        <f t="shared" si="862"/>
        <v>5502598.0499999998</v>
      </c>
      <c r="R3396" s="44" t="str">
        <f>VLOOKUP(F3396,'Set up'!$A$2:$E$70,5,FALSE)</f>
        <v>Trsf</v>
      </c>
      <c r="S3396" s="1" t="s">
        <v>3584</v>
      </c>
    </row>
    <row r="3397" spans="1:21" ht="15" customHeight="1" x14ac:dyDescent="0.35">
      <c r="A3397" s="4">
        <v>45612</v>
      </c>
      <c r="B3397" s="5">
        <f t="shared" si="872"/>
        <v>11</v>
      </c>
      <c r="C3397" s="5">
        <f t="shared" si="873"/>
        <v>2024</v>
      </c>
      <c r="D3397" s="5" t="s">
        <v>3128</v>
      </c>
      <c r="E3397" s="5" t="str">
        <f>VLOOKUP(F3397,'Set up'!$A$2:$C$70,2,FALSE)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up'!$A$2:$C$70,3,FALSE)</f>
        <v>Cash</v>
      </c>
      <c r="J3397" s="5">
        <f>VLOOKUP(F3397,'Set up'!$A$2:$D$70,4,FALSE)</f>
        <v>0</v>
      </c>
      <c r="K3397" s="4">
        <f t="shared" si="874"/>
        <v>45612</v>
      </c>
      <c r="L3397" s="5">
        <f t="shared" si="875"/>
        <v>11</v>
      </c>
      <c r="M3397" s="5">
        <f t="shared" si="876"/>
        <v>2024</v>
      </c>
      <c r="N3397" s="12">
        <v>6438</v>
      </c>
      <c r="O3397" s="6">
        <f t="shared" si="871"/>
        <v>-6438</v>
      </c>
      <c r="P3397" s="12">
        <f t="shared" si="866"/>
        <v>0</v>
      </c>
      <c r="Q3397" s="7">
        <f t="shared" si="862"/>
        <v>5509036.0499999998</v>
      </c>
      <c r="R3397" s="44" t="str">
        <f>VLOOKUP(F3397,'Set up'!$A$2:$E$70,5,FALSE)</f>
        <v>Trsf</v>
      </c>
      <c r="S3397" s="1" t="s">
        <v>3585</v>
      </c>
    </row>
    <row r="3398" spans="1:21" ht="15" customHeight="1" x14ac:dyDescent="0.35">
      <c r="A3398" s="4">
        <v>45612</v>
      </c>
      <c r="B3398" s="5">
        <f t="shared" si="872"/>
        <v>11</v>
      </c>
      <c r="C3398" s="5">
        <f t="shared" si="873"/>
        <v>2024</v>
      </c>
      <c r="D3398" s="5" t="s">
        <v>3128</v>
      </c>
      <c r="E3398" s="5" t="str">
        <f>VLOOKUP(F3398,'Set up'!$A$2:$C$70,2,FALSE)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up'!$A$2:$C$70,3,FALSE)</f>
        <v>Cash</v>
      </c>
      <c r="J3398" s="5">
        <f>VLOOKUP(F3398,'Set up'!$A$2:$D$70,4,FALSE)</f>
        <v>0</v>
      </c>
      <c r="K3398" s="4">
        <f t="shared" si="874"/>
        <v>45612</v>
      </c>
      <c r="L3398" s="5">
        <f t="shared" si="875"/>
        <v>11</v>
      </c>
      <c r="M3398" s="5">
        <f t="shared" si="876"/>
        <v>2024</v>
      </c>
      <c r="N3398" s="12">
        <v>3577.5</v>
      </c>
      <c r="O3398" s="12">
        <f>-42.6-3534.9</f>
        <v>-3577.5</v>
      </c>
      <c r="P3398" s="12">
        <f t="shared" si="866"/>
        <v>0</v>
      </c>
      <c r="Q3398" s="7">
        <f t="shared" si="862"/>
        <v>5512613.5499999998</v>
      </c>
      <c r="R3398" s="44" t="str">
        <f>VLOOKUP(F3398,'Set up'!$A$2:$E$70,5,FALSE)</f>
        <v>Trsf</v>
      </c>
      <c r="S3398" s="1" t="s">
        <v>3694</v>
      </c>
    </row>
    <row r="3399" spans="1:21" ht="15" customHeight="1" x14ac:dyDescent="0.35">
      <c r="A3399" s="4">
        <v>45612</v>
      </c>
      <c r="B3399" s="5">
        <f t="shared" si="872"/>
        <v>11</v>
      </c>
      <c r="C3399" s="5">
        <f t="shared" si="873"/>
        <v>2024</v>
      </c>
      <c r="D3399" s="5" t="s">
        <v>3128</v>
      </c>
      <c r="E3399" s="5" t="str">
        <f>VLOOKUP(F3399,'Set up'!$A$2:$C$70,2,FALSE)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up'!$A$2:$C$70,3,FALSE)</f>
        <v>Cash</v>
      </c>
      <c r="J3399" s="5">
        <f>VLOOKUP(F3399,'Set up'!$A$2:$D$70,4,FALSE)</f>
        <v>0</v>
      </c>
      <c r="K3399" s="4">
        <f t="shared" si="874"/>
        <v>45612</v>
      </c>
      <c r="L3399" s="5">
        <f t="shared" si="875"/>
        <v>11</v>
      </c>
      <c r="M3399" s="5">
        <f t="shared" si="876"/>
        <v>2024</v>
      </c>
      <c r="N3399" s="12">
        <v>380</v>
      </c>
      <c r="O3399" s="6">
        <f t="shared" si="871"/>
        <v>-380</v>
      </c>
      <c r="P3399" s="12">
        <f t="shared" si="866"/>
        <v>0</v>
      </c>
      <c r="Q3399" s="7">
        <f t="shared" si="862"/>
        <v>5512993.5499999998</v>
      </c>
      <c r="R3399" s="44" t="str">
        <f>VLOOKUP(F3399,'Set up'!$A$2:$E$70,5,FALSE)</f>
        <v>Trsf</v>
      </c>
      <c r="S3399" s="1" t="s">
        <v>3695</v>
      </c>
    </row>
    <row r="3400" spans="1:21" ht="15" customHeight="1" x14ac:dyDescent="0.35">
      <c r="A3400" s="4">
        <v>45612</v>
      </c>
      <c r="B3400" s="5">
        <f t="shared" si="872"/>
        <v>11</v>
      </c>
      <c r="C3400" s="5">
        <f t="shared" si="873"/>
        <v>2024</v>
      </c>
      <c r="D3400" s="5" t="s">
        <v>3128</v>
      </c>
      <c r="E3400" s="5" t="str">
        <f>VLOOKUP(F3400,'Set up'!$A$2:$C$70,2,FALSE)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up'!$A$2:$C$70,3,FALSE)</f>
        <v>Cash</v>
      </c>
      <c r="J3400" s="5">
        <f>VLOOKUP(F3400,'Set up'!$A$2:$D$70,4,FALSE)</f>
        <v>0</v>
      </c>
      <c r="K3400" s="4">
        <f t="shared" si="874"/>
        <v>45612</v>
      </c>
      <c r="L3400" s="5">
        <f t="shared" si="875"/>
        <v>11</v>
      </c>
      <c r="M3400" s="5">
        <f t="shared" si="876"/>
        <v>2024</v>
      </c>
      <c r="N3400" s="12">
        <v>2000</v>
      </c>
      <c r="O3400" s="6">
        <f t="shared" si="871"/>
        <v>-2000</v>
      </c>
      <c r="P3400" s="12">
        <f t="shared" si="866"/>
        <v>0</v>
      </c>
      <c r="Q3400" s="7">
        <f t="shared" ref="Q3400:Q3438" si="877">SUM(Q3399+N3400)</f>
        <v>5514993.5499999998</v>
      </c>
      <c r="R3400" s="44" t="str">
        <f>VLOOKUP(F3400,'Set up'!$A$2:$E$70,5,FALSE)</f>
        <v>Trsf</v>
      </c>
      <c r="S3400" s="1" t="s">
        <v>3696</v>
      </c>
    </row>
    <row r="3401" spans="1:21" ht="15" customHeight="1" x14ac:dyDescent="0.35">
      <c r="A3401" s="4">
        <v>45615</v>
      </c>
      <c r="B3401" s="5">
        <f t="shared" si="872"/>
        <v>11</v>
      </c>
      <c r="C3401" s="5">
        <f t="shared" si="873"/>
        <v>2024</v>
      </c>
      <c r="D3401" s="5" t="s">
        <v>3129</v>
      </c>
      <c r="E3401" s="5" t="str">
        <f>VLOOKUP(F3401,'Set up'!$A$2:$C$70,2,FALSE)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up'!$A$2:$C$70,3,FALSE)</f>
        <v>Cash</v>
      </c>
      <c r="J3401" s="5">
        <f>VLOOKUP(F3401,'Set up'!$A$2:$D$70,4,FALSE)</f>
        <v>0</v>
      </c>
      <c r="K3401" s="4">
        <f t="shared" si="874"/>
        <v>45615</v>
      </c>
      <c r="L3401" s="5">
        <f t="shared" si="875"/>
        <v>11</v>
      </c>
      <c r="M3401" s="5">
        <f t="shared" si="876"/>
        <v>2024</v>
      </c>
      <c r="N3401" s="96">
        <v>180</v>
      </c>
      <c r="O3401" s="12"/>
      <c r="P3401" s="12">
        <f t="shared" si="866"/>
        <v>180</v>
      </c>
      <c r="Q3401" s="7">
        <f t="shared" si="877"/>
        <v>5515173.5499999998</v>
      </c>
      <c r="R3401" s="44" t="str">
        <f>VLOOKUP(F3401,'Set up'!$A$2:$E$70,5,FALSE)</f>
        <v>Cash</v>
      </c>
    </row>
    <row r="3402" spans="1:21" ht="15" customHeight="1" x14ac:dyDescent="0.35">
      <c r="A3402" s="4">
        <v>45615</v>
      </c>
      <c r="B3402" s="5">
        <f t="shared" si="872"/>
        <v>11</v>
      </c>
      <c r="C3402" s="5">
        <f t="shared" si="873"/>
        <v>2024</v>
      </c>
      <c r="D3402" s="5" t="s">
        <v>3129</v>
      </c>
      <c r="E3402" s="5" t="str">
        <f>VLOOKUP(F3402,'Set up'!$A$2:$C$70,2,FALSE)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up'!$A$2:$C$70,3,FALSE)</f>
        <v>Cash</v>
      </c>
      <c r="J3402" s="5">
        <f>VLOOKUP(F3402,'Set up'!$A$2:$D$70,4,FALSE)</f>
        <v>0</v>
      </c>
      <c r="K3402" s="4">
        <f t="shared" si="874"/>
        <v>45615</v>
      </c>
      <c r="L3402" s="5">
        <f t="shared" si="875"/>
        <v>11</v>
      </c>
      <c r="M3402" s="5">
        <f t="shared" si="876"/>
        <v>2024</v>
      </c>
      <c r="N3402" s="98">
        <v>115</v>
      </c>
      <c r="O3402" s="12"/>
      <c r="P3402" s="12">
        <f t="shared" si="866"/>
        <v>115</v>
      </c>
      <c r="Q3402" s="7">
        <f t="shared" si="877"/>
        <v>5515288.5499999998</v>
      </c>
      <c r="R3402" s="44" t="str">
        <f>VLOOKUP(F3402,'Set up'!$A$2:$E$70,5,FALSE)</f>
        <v>Cash</v>
      </c>
    </row>
    <row r="3403" spans="1:21" ht="15" customHeight="1" x14ac:dyDescent="0.35">
      <c r="A3403" s="4">
        <v>45616</v>
      </c>
      <c r="B3403" s="5">
        <f t="shared" si="872"/>
        <v>11</v>
      </c>
      <c r="C3403" s="5">
        <f t="shared" si="873"/>
        <v>2024</v>
      </c>
      <c r="D3403" s="5" t="s">
        <v>3130</v>
      </c>
      <c r="E3403" s="5" t="str">
        <f>VLOOKUP(F3403,'Set up'!$A$2:$C$70,2,FALSE)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up'!$A$2:$C$70,3,FALSE)</f>
        <v>Cash</v>
      </c>
      <c r="J3403" s="5">
        <f>VLOOKUP(F3403,'Set up'!$A$2:$D$70,4,FALSE)</f>
        <v>0</v>
      </c>
      <c r="K3403" s="4">
        <f t="shared" si="874"/>
        <v>45616</v>
      </c>
      <c r="L3403" s="5">
        <f t="shared" si="875"/>
        <v>11</v>
      </c>
      <c r="M3403" s="5">
        <f t="shared" si="876"/>
        <v>2024</v>
      </c>
      <c r="N3403" s="12">
        <v>625</v>
      </c>
      <c r="O3403" s="6">
        <f t="shared" ref="O3403:O3408" si="878">-N3403</f>
        <v>-625</v>
      </c>
      <c r="P3403" s="12">
        <f t="shared" si="866"/>
        <v>0</v>
      </c>
      <c r="Q3403" s="7">
        <f t="shared" si="877"/>
        <v>5515913.5499999998</v>
      </c>
      <c r="R3403" s="44" t="str">
        <f>VLOOKUP(F3403,'Set up'!$A$2:$E$70,5,FALSE)</f>
        <v>Trsf</v>
      </c>
      <c r="S3403" s="1" t="s">
        <v>3697</v>
      </c>
    </row>
    <row r="3404" spans="1:21" ht="15" customHeight="1" x14ac:dyDescent="0.35">
      <c r="A3404" s="4">
        <v>45616</v>
      </c>
      <c r="B3404" s="5">
        <f t="shared" si="872"/>
        <v>11</v>
      </c>
      <c r="C3404" s="5">
        <f t="shared" si="873"/>
        <v>2024</v>
      </c>
      <c r="D3404" s="5" t="s">
        <v>3131</v>
      </c>
      <c r="E3404" s="5" t="str">
        <f>VLOOKUP(F3404,'Set up'!$A$2:$C$70,2,FALSE)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up'!$A$2:$C$70,3,FALSE)</f>
        <v>Cash</v>
      </c>
      <c r="J3404" s="5">
        <f>VLOOKUP(F3404,'Set up'!$A$2:$D$70,4,FALSE)</f>
        <v>0</v>
      </c>
      <c r="K3404" s="4">
        <f t="shared" si="874"/>
        <v>45616</v>
      </c>
      <c r="L3404" s="5">
        <f t="shared" si="875"/>
        <v>11</v>
      </c>
      <c r="M3404" s="5">
        <f t="shared" si="876"/>
        <v>2024</v>
      </c>
      <c r="N3404" s="12">
        <v>16200</v>
      </c>
      <c r="O3404" s="6">
        <f>-11460.1-4739.9</f>
        <v>-16200</v>
      </c>
      <c r="P3404" s="12">
        <f t="shared" si="866"/>
        <v>0</v>
      </c>
      <c r="Q3404" s="7">
        <f t="shared" si="877"/>
        <v>5532113.5499999998</v>
      </c>
      <c r="R3404" s="44" t="str">
        <f>VLOOKUP(F3404,'Set up'!$A$2:$E$70,5,FALSE)</f>
        <v>Trsf</v>
      </c>
      <c r="S3404" s="1" t="s">
        <v>3698</v>
      </c>
    </row>
    <row r="3405" spans="1:21" ht="15" customHeight="1" x14ac:dyDescent="0.35">
      <c r="A3405" s="4">
        <v>45616</v>
      </c>
      <c r="B3405" s="5">
        <f t="shared" si="872"/>
        <v>11</v>
      </c>
      <c r="C3405" s="5">
        <f t="shared" si="873"/>
        <v>2024</v>
      </c>
      <c r="D3405" s="5" t="s">
        <v>3131</v>
      </c>
      <c r="E3405" s="5" t="str">
        <f>VLOOKUP(F3405,'Set up'!$A$2:$C$70,2,FALSE)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up'!$A$2:$C$70,3,FALSE)</f>
        <v>Cash</v>
      </c>
      <c r="J3405" s="5">
        <f>VLOOKUP(F3405,'Set up'!$A$2:$D$70,4,FALSE)</f>
        <v>0</v>
      </c>
      <c r="K3405" s="4">
        <f t="shared" si="874"/>
        <v>45616</v>
      </c>
      <c r="L3405" s="5">
        <f t="shared" si="875"/>
        <v>11</v>
      </c>
      <c r="M3405" s="5">
        <f t="shared" si="876"/>
        <v>2024</v>
      </c>
      <c r="N3405" s="12">
        <v>6438</v>
      </c>
      <c r="O3405" s="6">
        <f>-5260.1-1177.9</f>
        <v>-6438</v>
      </c>
      <c r="P3405" s="12">
        <f t="shared" si="866"/>
        <v>0</v>
      </c>
      <c r="Q3405" s="7">
        <f t="shared" si="877"/>
        <v>5538551.5499999998</v>
      </c>
      <c r="R3405" s="44" t="str">
        <f>VLOOKUP(F3405,'Set up'!$A$2:$E$70,5,FALSE)</f>
        <v>Trsf</v>
      </c>
      <c r="S3405" s="1" t="s">
        <v>3699</v>
      </c>
    </row>
    <row r="3406" spans="1:21" ht="15" customHeight="1" x14ac:dyDescent="0.35">
      <c r="A3406" s="4">
        <v>45616</v>
      </c>
      <c r="B3406" s="5">
        <f t="shared" si="872"/>
        <v>11</v>
      </c>
      <c r="C3406" s="5">
        <f t="shared" si="873"/>
        <v>2024</v>
      </c>
      <c r="D3406" s="5" t="s">
        <v>3131</v>
      </c>
      <c r="E3406" s="5" t="str">
        <f>VLOOKUP(F3406,'Set up'!$A$2:$C$70,2,FALSE)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up'!$A$2:$C$70,3,FALSE)</f>
        <v>Cash</v>
      </c>
      <c r="J3406" s="5">
        <f>VLOOKUP(F3406,'Set up'!$A$2:$D$70,4,FALSE)</f>
        <v>0</v>
      </c>
      <c r="K3406" s="4">
        <f t="shared" si="874"/>
        <v>45616</v>
      </c>
      <c r="L3406" s="5">
        <f t="shared" si="875"/>
        <v>11</v>
      </c>
      <c r="M3406" s="5">
        <f t="shared" si="876"/>
        <v>2024</v>
      </c>
      <c r="N3406" s="12">
        <v>3577.5</v>
      </c>
      <c r="O3406" s="6">
        <f t="shared" si="878"/>
        <v>-3577.5</v>
      </c>
      <c r="P3406" s="12">
        <f t="shared" si="866"/>
        <v>0</v>
      </c>
      <c r="Q3406" s="7">
        <f t="shared" si="877"/>
        <v>5542129.0499999998</v>
      </c>
      <c r="R3406" s="44" t="str">
        <f>VLOOKUP(F3406,'Set up'!$A$2:$E$70,5,FALSE)</f>
        <v>Trsf</v>
      </c>
      <c r="S3406" s="1" t="s">
        <v>3759</v>
      </c>
    </row>
    <row r="3407" spans="1:21" ht="15" customHeight="1" x14ac:dyDescent="0.35">
      <c r="A3407" s="4">
        <v>45616</v>
      </c>
      <c r="B3407" s="5">
        <f t="shared" si="872"/>
        <v>11</v>
      </c>
      <c r="C3407" s="5">
        <f t="shared" si="873"/>
        <v>2024</v>
      </c>
      <c r="D3407" s="5" t="s">
        <v>3131</v>
      </c>
      <c r="E3407" s="5" t="str">
        <f>VLOOKUP(F3407,'Set up'!$A$2:$C$70,2,FALSE)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up'!$A$2:$C$70,3,FALSE)</f>
        <v>Cash</v>
      </c>
      <c r="J3407" s="5">
        <f>VLOOKUP(F3407,'Set up'!$A$2:$D$70,4,FALSE)</f>
        <v>0</v>
      </c>
      <c r="K3407" s="4">
        <f t="shared" si="874"/>
        <v>45616</v>
      </c>
      <c r="L3407" s="5">
        <f t="shared" si="875"/>
        <v>11</v>
      </c>
      <c r="M3407" s="5">
        <f t="shared" si="876"/>
        <v>2024</v>
      </c>
      <c r="N3407" s="12">
        <v>380</v>
      </c>
      <c r="O3407" s="6">
        <f t="shared" si="878"/>
        <v>-380</v>
      </c>
      <c r="P3407" s="12">
        <f t="shared" si="866"/>
        <v>0</v>
      </c>
      <c r="Q3407" s="7">
        <f t="shared" si="877"/>
        <v>5542509.0499999998</v>
      </c>
      <c r="R3407" s="44" t="str">
        <f>VLOOKUP(F3407,'Set up'!$A$2:$E$70,5,FALSE)</f>
        <v>Trsf</v>
      </c>
      <c r="S3407" s="1" t="s">
        <v>3760</v>
      </c>
    </row>
    <row r="3408" spans="1:21" ht="15" customHeight="1" x14ac:dyDescent="0.35">
      <c r="A3408" s="4">
        <v>45616</v>
      </c>
      <c r="B3408" s="5">
        <f t="shared" si="872"/>
        <v>11</v>
      </c>
      <c r="C3408" s="5">
        <f t="shared" si="873"/>
        <v>2024</v>
      </c>
      <c r="D3408" s="5" t="s">
        <v>3131</v>
      </c>
      <c r="E3408" s="5" t="str">
        <f>VLOOKUP(F3408,'Set up'!$A$2:$C$70,2,FALSE)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up'!$A$2:$C$70,3,FALSE)</f>
        <v>Cash</v>
      </c>
      <c r="J3408" s="5">
        <f>VLOOKUP(F3408,'Set up'!$A$2:$D$70,4,FALSE)</f>
        <v>0</v>
      </c>
      <c r="K3408" s="4">
        <f t="shared" si="874"/>
        <v>45616</v>
      </c>
      <c r="L3408" s="5">
        <f t="shared" si="875"/>
        <v>11</v>
      </c>
      <c r="M3408" s="5">
        <f t="shared" si="876"/>
        <v>2024</v>
      </c>
      <c r="N3408" s="12">
        <v>2000</v>
      </c>
      <c r="O3408" s="6">
        <f t="shared" si="878"/>
        <v>-2000</v>
      </c>
      <c r="P3408" s="12">
        <f t="shared" si="866"/>
        <v>0</v>
      </c>
      <c r="Q3408" s="7">
        <f t="shared" si="877"/>
        <v>5544509.0499999998</v>
      </c>
      <c r="R3408" s="44" t="str">
        <f>VLOOKUP(F3408,'Set up'!$A$2:$E$70,5,FALSE)</f>
        <v>Trsf</v>
      </c>
      <c r="S3408" s="1" t="s">
        <v>3761</v>
      </c>
    </row>
    <row r="3409" spans="1:19" ht="15" customHeight="1" x14ac:dyDescent="0.35">
      <c r="A3409" s="4">
        <v>45619</v>
      </c>
      <c r="B3409" s="5">
        <f t="shared" si="872"/>
        <v>11</v>
      </c>
      <c r="C3409" s="5">
        <f t="shared" si="873"/>
        <v>2024</v>
      </c>
      <c r="D3409" s="5" t="s">
        <v>3133</v>
      </c>
      <c r="E3409" s="5" t="str">
        <f>VLOOKUP(F3409,'Set up'!$A$2:$C$70,2,FALSE)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up'!$A$2:$C$70,3,FALSE)</f>
        <v>Cash</v>
      </c>
      <c r="J3409" s="5">
        <f>VLOOKUP(F3409,'Set up'!$A$2:$D$70,4,FALSE)</f>
        <v>0</v>
      </c>
      <c r="K3409" s="4">
        <f t="shared" si="874"/>
        <v>45619</v>
      </c>
      <c r="L3409" s="5">
        <f t="shared" si="875"/>
        <v>11</v>
      </c>
      <c r="M3409" s="5">
        <f t="shared" si="876"/>
        <v>2024</v>
      </c>
      <c r="N3409" s="12">
        <v>1732.5</v>
      </c>
      <c r="O3409" s="6">
        <f t="shared" ref="O3409:O3418" si="879">-N3409</f>
        <v>-1732.5</v>
      </c>
      <c r="P3409" s="12">
        <f t="shared" si="866"/>
        <v>0</v>
      </c>
      <c r="Q3409" s="7">
        <f t="shared" si="877"/>
        <v>5546241.5499999998</v>
      </c>
      <c r="R3409" s="44" t="str">
        <f>VLOOKUP(F3409,'Set up'!$A$2:$E$70,5,FALSE)</f>
        <v>Cash</v>
      </c>
      <c r="S3409" s="1" t="s">
        <v>3204</v>
      </c>
    </row>
    <row r="3410" spans="1:19" ht="15" customHeight="1" x14ac:dyDescent="0.35">
      <c r="A3410" s="4">
        <v>45619</v>
      </c>
      <c r="B3410" s="5">
        <f t="shared" si="872"/>
        <v>11</v>
      </c>
      <c r="C3410" s="5">
        <f t="shared" si="873"/>
        <v>2024</v>
      </c>
      <c r="D3410" s="5" t="s">
        <v>3133</v>
      </c>
      <c r="E3410" s="5" t="str">
        <f>VLOOKUP(F3410,'Set up'!$A$2:$C$70,2,FALSE)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up'!$A$2:$C$70,3,FALSE)</f>
        <v>Cash</v>
      </c>
      <c r="J3410" s="5">
        <f>VLOOKUP(F3410,'Set up'!$A$2:$D$70,4,FALSE)</f>
        <v>0</v>
      </c>
      <c r="K3410" s="4">
        <f t="shared" si="874"/>
        <v>45619</v>
      </c>
      <c r="L3410" s="5">
        <f t="shared" si="875"/>
        <v>11</v>
      </c>
      <c r="M3410" s="5">
        <f t="shared" si="876"/>
        <v>2024</v>
      </c>
      <c r="N3410" s="12">
        <v>648</v>
      </c>
      <c r="O3410" s="6">
        <f t="shared" si="879"/>
        <v>-648</v>
      </c>
      <c r="P3410" s="12">
        <f t="shared" si="866"/>
        <v>0</v>
      </c>
      <c r="Q3410" s="7">
        <f t="shared" si="877"/>
        <v>5546889.5499999998</v>
      </c>
      <c r="R3410" s="44" t="str">
        <f>VLOOKUP(F3410,'Set up'!$A$2:$E$70,5,FALSE)</f>
        <v>Cash</v>
      </c>
      <c r="S3410" s="1" t="s">
        <v>3204</v>
      </c>
    </row>
    <row r="3411" spans="1:19" ht="15" customHeight="1" x14ac:dyDescent="0.35">
      <c r="A3411" s="4">
        <v>45619</v>
      </c>
      <c r="B3411" s="5">
        <f t="shared" si="872"/>
        <v>11</v>
      </c>
      <c r="C3411" s="5">
        <f t="shared" si="873"/>
        <v>2024</v>
      </c>
      <c r="D3411" s="5" t="s">
        <v>3133</v>
      </c>
      <c r="E3411" s="5" t="str">
        <f>VLOOKUP(F3411,'Set up'!$A$2:$C$70,2,FALSE)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up'!$A$2:$C$70,3,FALSE)</f>
        <v>Cash</v>
      </c>
      <c r="J3411" s="5">
        <f>VLOOKUP(F3411,'Set up'!$A$2:$D$70,4,FALSE)</f>
        <v>0</v>
      </c>
      <c r="K3411" s="4">
        <f t="shared" si="874"/>
        <v>45619</v>
      </c>
      <c r="L3411" s="5">
        <f t="shared" si="875"/>
        <v>11</v>
      </c>
      <c r="M3411" s="5">
        <f t="shared" si="876"/>
        <v>2024</v>
      </c>
      <c r="N3411" s="12">
        <v>890</v>
      </c>
      <c r="O3411" s="6">
        <f t="shared" si="879"/>
        <v>-890</v>
      </c>
      <c r="P3411" s="12">
        <f t="shared" si="866"/>
        <v>0</v>
      </c>
      <c r="Q3411" s="7">
        <f t="shared" si="877"/>
        <v>5547779.5499999998</v>
      </c>
      <c r="R3411" s="44" t="str">
        <f>VLOOKUP(F3411,'Set up'!$A$2:$E$70,5,FALSE)</f>
        <v>Cash</v>
      </c>
      <c r="S3411" s="1" t="s">
        <v>3204</v>
      </c>
    </row>
    <row r="3412" spans="1:19" ht="15" customHeight="1" x14ac:dyDescent="0.35">
      <c r="A3412" s="4">
        <v>45619</v>
      </c>
      <c r="B3412" s="5">
        <f t="shared" si="872"/>
        <v>11</v>
      </c>
      <c r="C3412" s="5">
        <f t="shared" si="873"/>
        <v>2024</v>
      </c>
      <c r="D3412" s="5" t="s">
        <v>3133</v>
      </c>
      <c r="E3412" s="5" t="str">
        <f>VLOOKUP(F3412,'Set up'!$A$2:$C$70,2,FALSE)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up'!$A$2:$C$70,3,FALSE)</f>
        <v>Cash</v>
      </c>
      <c r="J3412" s="5">
        <f>VLOOKUP(F3412,'Set up'!$A$2:$D$70,4,FALSE)</f>
        <v>0</v>
      </c>
      <c r="K3412" s="4">
        <f t="shared" si="874"/>
        <v>45619</v>
      </c>
      <c r="L3412" s="5">
        <f t="shared" si="875"/>
        <v>11</v>
      </c>
      <c r="M3412" s="5">
        <f t="shared" si="876"/>
        <v>2024</v>
      </c>
      <c r="N3412" s="12">
        <v>110</v>
      </c>
      <c r="O3412" s="6">
        <f t="shared" si="879"/>
        <v>-110</v>
      </c>
      <c r="P3412" s="12">
        <f t="shared" si="866"/>
        <v>0</v>
      </c>
      <c r="Q3412" s="7">
        <f t="shared" si="877"/>
        <v>5547889.5499999998</v>
      </c>
      <c r="R3412" s="44" t="str">
        <f>VLOOKUP(F3412,'Set up'!$A$2:$E$70,5,FALSE)</f>
        <v>Cash</v>
      </c>
      <c r="S3412" s="1" t="s">
        <v>3204</v>
      </c>
    </row>
    <row r="3413" spans="1:19" ht="15" customHeight="1" x14ac:dyDescent="0.35">
      <c r="A3413" s="4">
        <v>45619</v>
      </c>
      <c r="B3413" s="5">
        <f t="shared" si="872"/>
        <v>11</v>
      </c>
      <c r="C3413" s="5">
        <f t="shared" si="873"/>
        <v>2024</v>
      </c>
      <c r="D3413" s="5" t="s">
        <v>3133</v>
      </c>
      <c r="E3413" s="5" t="str">
        <f>VLOOKUP(F3413,'Set up'!$A$2:$C$70,2,FALSE)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up'!$A$2:$C$70,3,FALSE)</f>
        <v>Cash</v>
      </c>
      <c r="J3413" s="5">
        <f>VLOOKUP(F3413,'Set up'!$A$2:$D$70,4,FALSE)</f>
        <v>0</v>
      </c>
      <c r="K3413" s="4">
        <f t="shared" si="874"/>
        <v>45619</v>
      </c>
      <c r="L3413" s="5">
        <f t="shared" si="875"/>
        <v>11</v>
      </c>
      <c r="M3413" s="5">
        <f t="shared" si="876"/>
        <v>2024</v>
      </c>
      <c r="N3413" s="12">
        <v>250</v>
      </c>
      <c r="O3413" s="6">
        <f>-N3413</f>
        <v>-250</v>
      </c>
      <c r="P3413" s="12">
        <f t="shared" ref="P3413:P3446" si="880">SUM(N3413+O3413)</f>
        <v>0</v>
      </c>
      <c r="Q3413" s="7">
        <f t="shared" si="877"/>
        <v>5548139.5499999998</v>
      </c>
      <c r="R3413" s="44" t="str">
        <f>VLOOKUP(F3413,'Set up'!$A$2:$E$70,5,FALSE)</f>
        <v>Cash</v>
      </c>
      <c r="S3413" s="1" t="s">
        <v>3204</v>
      </c>
    </row>
    <row r="3414" spans="1:19" ht="15" customHeight="1" x14ac:dyDescent="0.35">
      <c r="A3414" s="4">
        <v>45618</v>
      </c>
      <c r="B3414" s="5">
        <f t="shared" si="872"/>
        <v>11</v>
      </c>
      <c r="C3414" s="5">
        <f t="shared" si="873"/>
        <v>2024</v>
      </c>
      <c r="D3414" s="5" t="s">
        <v>3134</v>
      </c>
      <c r="E3414" s="5" t="str">
        <f>VLOOKUP(F3414,'Set up'!$A$2:$C$70,2,FALSE)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up'!$A$2:$C$70,3,FALSE)</f>
        <v>Cash</v>
      </c>
      <c r="J3414" s="5">
        <f>VLOOKUP(F3414,'Set up'!$A$2:$D$70,4,FALSE)</f>
        <v>0</v>
      </c>
      <c r="K3414" s="4">
        <f t="shared" si="874"/>
        <v>45618</v>
      </c>
      <c r="L3414" s="5">
        <f t="shared" si="875"/>
        <v>11</v>
      </c>
      <c r="M3414" s="5">
        <f t="shared" si="876"/>
        <v>2024</v>
      </c>
      <c r="N3414" s="12">
        <v>1755</v>
      </c>
      <c r="O3414" s="6">
        <f t="shared" si="879"/>
        <v>-1755</v>
      </c>
      <c r="P3414" s="12">
        <f t="shared" si="880"/>
        <v>0</v>
      </c>
      <c r="Q3414" s="7">
        <f t="shared" si="877"/>
        <v>5549894.5499999998</v>
      </c>
      <c r="R3414" s="44" t="str">
        <f>VLOOKUP(F3414,'Set up'!$A$2:$E$70,5,FALSE)</f>
        <v>Cash</v>
      </c>
      <c r="S3414" s="1" t="s">
        <v>3205</v>
      </c>
    </row>
    <row r="3415" spans="1:19" ht="15" customHeight="1" x14ac:dyDescent="0.35">
      <c r="A3415" s="4">
        <v>45618</v>
      </c>
      <c r="B3415" s="5">
        <f t="shared" si="872"/>
        <v>11</v>
      </c>
      <c r="C3415" s="5">
        <f t="shared" si="873"/>
        <v>2024</v>
      </c>
      <c r="D3415" s="5" t="s">
        <v>3134</v>
      </c>
      <c r="E3415" s="5" t="str">
        <f>VLOOKUP(F3415,'Set up'!$A$2:$C$70,2,FALSE)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up'!$A$2:$C$70,3,FALSE)</f>
        <v>Cash</v>
      </c>
      <c r="J3415" s="5">
        <f>VLOOKUP(F3415,'Set up'!$A$2:$D$70,4,FALSE)</f>
        <v>0</v>
      </c>
      <c r="K3415" s="4">
        <f t="shared" si="874"/>
        <v>45618</v>
      </c>
      <c r="L3415" s="5">
        <f t="shared" si="875"/>
        <v>11</v>
      </c>
      <c r="M3415" s="5">
        <f t="shared" si="876"/>
        <v>2024</v>
      </c>
      <c r="N3415" s="12">
        <v>277.5</v>
      </c>
      <c r="O3415" s="6">
        <f t="shared" si="879"/>
        <v>-277.5</v>
      </c>
      <c r="P3415" s="12">
        <f t="shared" si="880"/>
        <v>0</v>
      </c>
      <c r="Q3415" s="7">
        <f t="shared" si="877"/>
        <v>5550172.0499999998</v>
      </c>
      <c r="R3415" s="44" t="str">
        <f>VLOOKUP(F3415,'Set up'!$A$2:$E$70,5,FALSE)</f>
        <v>Cash</v>
      </c>
      <c r="S3415" s="1" t="s">
        <v>3205</v>
      </c>
    </row>
    <row r="3416" spans="1:19" ht="15" customHeight="1" x14ac:dyDescent="0.35">
      <c r="A3416" s="4">
        <v>45618</v>
      </c>
      <c r="B3416" s="5">
        <f t="shared" si="872"/>
        <v>11</v>
      </c>
      <c r="C3416" s="5">
        <f t="shared" si="873"/>
        <v>2024</v>
      </c>
      <c r="D3416" s="5" t="s">
        <v>3134</v>
      </c>
      <c r="E3416" s="5" t="str">
        <f>VLOOKUP(F3416,'Set up'!$A$2:$C$70,2,FALSE)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up'!$A$2:$C$70,3,FALSE)</f>
        <v>Cash</v>
      </c>
      <c r="J3416" s="5">
        <f>VLOOKUP(F3416,'Set up'!$A$2:$D$70,4,FALSE)</f>
        <v>0</v>
      </c>
      <c r="K3416" s="4">
        <f t="shared" si="874"/>
        <v>45618</v>
      </c>
      <c r="L3416" s="5">
        <f t="shared" si="875"/>
        <v>11</v>
      </c>
      <c r="M3416" s="5">
        <f t="shared" si="876"/>
        <v>2024</v>
      </c>
      <c r="N3416" s="12">
        <v>95</v>
      </c>
      <c r="O3416" s="6">
        <f t="shared" si="879"/>
        <v>-95</v>
      </c>
      <c r="P3416" s="12">
        <f t="shared" si="880"/>
        <v>0</v>
      </c>
      <c r="Q3416" s="7">
        <f t="shared" si="877"/>
        <v>5550267.0499999998</v>
      </c>
      <c r="R3416" s="44" t="str">
        <f>VLOOKUP(F3416,'Set up'!$A$2:$E$70,5,FALSE)</f>
        <v>Cash</v>
      </c>
      <c r="S3416" s="1" t="s">
        <v>3205</v>
      </c>
    </row>
    <row r="3417" spans="1:19" ht="15" customHeight="1" x14ac:dyDescent="0.35">
      <c r="A3417" s="4">
        <v>45618</v>
      </c>
      <c r="B3417" s="5">
        <f t="shared" si="872"/>
        <v>11</v>
      </c>
      <c r="C3417" s="5">
        <f t="shared" si="873"/>
        <v>2024</v>
      </c>
      <c r="D3417" s="5" t="s">
        <v>3134</v>
      </c>
      <c r="E3417" s="5" t="str">
        <f>VLOOKUP(F3417,'Set up'!$A$2:$C$70,2,FALSE)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up'!$A$2:$C$70,3,FALSE)</f>
        <v>Cash</v>
      </c>
      <c r="J3417" s="5">
        <f>VLOOKUP(F3417,'Set up'!$A$2:$D$70,4,FALSE)</f>
        <v>0</v>
      </c>
      <c r="K3417" s="4">
        <f t="shared" si="874"/>
        <v>45618</v>
      </c>
      <c r="L3417" s="5">
        <f t="shared" si="875"/>
        <v>11</v>
      </c>
      <c r="M3417" s="5">
        <f t="shared" si="876"/>
        <v>2024</v>
      </c>
      <c r="N3417" s="12">
        <v>540</v>
      </c>
      <c r="O3417" s="6">
        <f t="shared" si="879"/>
        <v>-540</v>
      </c>
      <c r="P3417" s="12">
        <f t="shared" si="880"/>
        <v>0</v>
      </c>
      <c r="Q3417" s="7">
        <f t="shared" si="877"/>
        <v>5550807.0499999998</v>
      </c>
      <c r="R3417" s="44" t="str">
        <f>VLOOKUP(F3417,'Set up'!$A$2:$E$70,5,FALSE)</f>
        <v>Cash</v>
      </c>
      <c r="S3417" s="1" t="s">
        <v>3205</v>
      </c>
    </row>
    <row r="3418" spans="1:19" ht="15" customHeight="1" x14ac:dyDescent="0.35">
      <c r="A3418" s="4">
        <v>45618</v>
      </c>
      <c r="B3418" s="5">
        <f t="shared" si="872"/>
        <v>11</v>
      </c>
      <c r="C3418" s="5">
        <f t="shared" si="873"/>
        <v>2024</v>
      </c>
      <c r="D3418" s="5" t="s">
        <v>3134</v>
      </c>
      <c r="E3418" s="5" t="str">
        <f>VLOOKUP(F3418,'Set up'!$A$2:$C$70,2,FALSE)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up'!$A$2:$C$70,3,FALSE)</f>
        <v>Cash</v>
      </c>
      <c r="J3418" s="5">
        <f>VLOOKUP(F3418,'Set up'!$A$2:$D$70,4,FALSE)</f>
        <v>0</v>
      </c>
      <c r="K3418" s="4">
        <f t="shared" si="874"/>
        <v>45618</v>
      </c>
      <c r="L3418" s="5">
        <f t="shared" si="875"/>
        <v>11</v>
      </c>
      <c r="M3418" s="5">
        <f t="shared" si="876"/>
        <v>2024</v>
      </c>
      <c r="N3418" s="12">
        <v>225</v>
      </c>
      <c r="O3418" s="6">
        <f t="shared" si="879"/>
        <v>-225</v>
      </c>
      <c r="P3418" s="12">
        <f t="shared" si="880"/>
        <v>0</v>
      </c>
      <c r="Q3418" s="7">
        <f t="shared" si="877"/>
        <v>5551032.0499999998</v>
      </c>
      <c r="R3418" s="44" t="str">
        <f>VLOOKUP(F3418,'Set up'!$A$2:$E$70,5,FALSE)</f>
        <v>Cash</v>
      </c>
      <c r="S3418" s="1" t="s">
        <v>3205</v>
      </c>
    </row>
    <row r="3419" spans="1:19" ht="15" customHeight="1" x14ac:dyDescent="0.35">
      <c r="A3419" s="4">
        <v>45618</v>
      </c>
      <c r="B3419" s="5">
        <f t="shared" si="872"/>
        <v>11</v>
      </c>
      <c r="C3419" s="5">
        <f t="shared" si="873"/>
        <v>2024</v>
      </c>
      <c r="D3419" s="5" t="s">
        <v>3135</v>
      </c>
      <c r="E3419" s="5" t="str">
        <f>VLOOKUP(F3419,'Set up'!$A$2:$C$70,2,FALSE)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up'!$A$2:$C$70,3,FALSE)</f>
        <v>Cash</v>
      </c>
      <c r="J3419" s="5">
        <f>VLOOKUP(F3419,'Set up'!$A$2:$D$70,4,FALSE)</f>
        <v>0</v>
      </c>
      <c r="K3419" s="4">
        <f t="shared" si="874"/>
        <v>45618</v>
      </c>
      <c r="L3419" s="5">
        <f t="shared" si="875"/>
        <v>11</v>
      </c>
      <c r="M3419" s="5">
        <f t="shared" si="876"/>
        <v>2024</v>
      </c>
      <c r="N3419" s="96">
        <v>1755</v>
      </c>
      <c r="O3419" s="12"/>
      <c r="P3419" s="12">
        <f t="shared" si="880"/>
        <v>1755</v>
      </c>
      <c r="Q3419" s="7">
        <f t="shared" si="877"/>
        <v>5552787.0499999998</v>
      </c>
      <c r="R3419" s="44" t="str">
        <f>VLOOKUP(F3419,'Set up'!$A$2:$E$70,5,FALSE)</f>
        <v>Cash</v>
      </c>
    </row>
    <row r="3420" spans="1:19" ht="15" customHeight="1" x14ac:dyDescent="0.35">
      <c r="A3420" s="4">
        <v>45618</v>
      </c>
      <c r="B3420" s="5">
        <f t="shared" si="872"/>
        <v>11</v>
      </c>
      <c r="C3420" s="5">
        <f t="shared" si="873"/>
        <v>2024</v>
      </c>
      <c r="D3420" s="5" t="s">
        <v>3135</v>
      </c>
      <c r="E3420" s="5" t="str">
        <f>VLOOKUP(F3420,'Set up'!$A$2:$C$70,2,FALSE)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up'!$A$2:$C$70,3,FALSE)</f>
        <v>Cash</v>
      </c>
      <c r="J3420" s="5">
        <f>VLOOKUP(F3420,'Set up'!$A$2:$D$70,4,FALSE)</f>
        <v>0</v>
      </c>
      <c r="K3420" s="4">
        <f t="shared" si="874"/>
        <v>45618</v>
      </c>
      <c r="L3420" s="5">
        <f t="shared" si="875"/>
        <v>11</v>
      </c>
      <c r="M3420" s="5">
        <f t="shared" si="876"/>
        <v>2024</v>
      </c>
      <c r="N3420" s="98">
        <v>390</v>
      </c>
      <c r="O3420" s="12"/>
      <c r="P3420" s="12">
        <f t="shared" si="880"/>
        <v>390</v>
      </c>
      <c r="Q3420" s="7">
        <f t="shared" si="877"/>
        <v>5553177.0499999998</v>
      </c>
      <c r="R3420" s="44" t="str">
        <f>VLOOKUP(F3420,'Set up'!$A$2:$E$70,5,FALSE)</f>
        <v>Cash</v>
      </c>
    </row>
    <row r="3421" spans="1:19" ht="15" customHeight="1" x14ac:dyDescent="0.35">
      <c r="A3421" s="4">
        <v>45618</v>
      </c>
      <c r="B3421" s="5">
        <f t="shared" si="872"/>
        <v>11</v>
      </c>
      <c r="C3421" s="5">
        <f t="shared" si="873"/>
        <v>2024</v>
      </c>
      <c r="D3421" s="5" t="s">
        <v>3135</v>
      </c>
      <c r="E3421" s="5" t="str">
        <f>VLOOKUP(F3421,'Set up'!$A$2:$C$70,2,FALSE)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up'!$A$2:$C$70,3,FALSE)</f>
        <v>Cash</v>
      </c>
      <c r="J3421" s="5">
        <f>VLOOKUP(F3421,'Set up'!$A$2:$D$70,4,FALSE)</f>
        <v>0</v>
      </c>
      <c r="K3421" s="4">
        <f t="shared" si="874"/>
        <v>45618</v>
      </c>
      <c r="L3421" s="5">
        <f t="shared" si="875"/>
        <v>11</v>
      </c>
      <c r="M3421" s="5">
        <f t="shared" si="876"/>
        <v>2024</v>
      </c>
      <c r="N3421" s="96">
        <v>225</v>
      </c>
      <c r="O3421" s="12"/>
      <c r="P3421" s="12">
        <f t="shared" si="880"/>
        <v>225</v>
      </c>
      <c r="Q3421" s="7">
        <f t="shared" si="877"/>
        <v>5553402.0499999998</v>
      </c>
      <c r="R3421" s="44" t="str">
        <f>VLOOKUP(F3421,'Set up'!$A$2:$E$70,5,FALSE)</f>
        <v>Cash</v>
      </c>
    </row>
    <row r="3422" spans="1:19" ht="15" customHeight="1" x14ac:dyDescent="0.35">
      <c r="A3422" s="4">
        <v>45618</v>
      </c>
      <c r="B3422" s="5">
        <f t="shared" si="872"/>
        <v>11</v>
      </c>
      <c r="C3422" s="5">
        <f t="shared" si="873"/>
        <v>2024</v>
      </c>
      <c r="D3422" s="5" t="s">
        <v>3135</v>
      </c>
      <c r="E3422" s="5" t="str">
        <f>VLOOKUP(F3422,'Set up'!$A$2:$C$70,2,FALSE)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up'!$A$2:$C$70,3,FALSE)</f>
        <v>Cash</v>
      </c>
      <c r="J3422" s="5">
        <f>VLOOKUP(F3422,'Set up'!$A$2:$D$70,4,FALSE)</f>
        <v>0</v>
      </c>
      <c r="K3422" s="4">
        <f t="shared" si="874"/>
        <v>45618</v>
      </c>
      <c r="L3422" s="5">
        <f t="shared" si="875"/>
        <v>11</v>
      </c>
      <c r="M3422" s="5">
        <f t="shared" si="876"/>
        <v>2024</v>
      </c>
      <c r="N3422" s="96">
        <v>62.5</v>
      </c>
      <c r="O3422" s="12"/>
      <c r="P3422" s="12">
        <f t="shared" si="880"/>
        <v>62.5</v>
      </c>
      <c r="Q3422" s="7">
        <f t="shared" si="877"/>
        <v>5553464.5499999998</v>
      </c>
      <c r="R3422" s="44" t="str">
        <f>VLOOKUP(F3422,'Set up'!$A$2:$E$70,5,FALSE)</f>
        <v>Cash</v>
      </c>
    </row>
    <row r="3423" spans="1:19" ht="15" customHeight="1" x14ac:dyDescent="0.35">
      <c r="A3423" s="4">
        <v>45621</v>
      </c>
      <c r="B3423" s="5">
        <f t="shared" si="872"/>
        <v>11</v>
      </c>
      <c r="C3423" s="5">
        <f t="shared" si="873"/>
        <v>2024</v>
      </c>
      <c r="D3423" s="5" t="s">
        <v>3136</v>
      </c>
      <c r="E3423" s="5" t="str">
        <f>VLOOKUP(F3423,'Set up'!$A$2:$C$70,2,FALSE)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up'!$A$2:$C$70,3,FALSE)</f>
        <v>Cash</v>
      </c>
      <c r="J3423" s="5">
        <f>VLOOKUP(F3423,'Set up'!$A$2:$D$70,4,FALSE)</f>
        <v>0</v>
      </c>
      <c r="K3423" s="4">
        <f t="shared" si="874"/>
        <v>45621</v>
      </c>
      <c r="L3423" s="5">
        <f t="shared" si="875"/>
        <v>11</v>
      </c>
      <c r="M3423" s="5">
        <f t="shared" si="876"/>
        <v>2024</v>
      </c>
      <c r="N3423" s="12">
        <v>40</v>
      </c>
      <c r="O3423" s="12"/>
      <c r="P3423" s="12">
        <f t="shared" si="880"/>
        <v>40</v>
      </c>
      <c r="Q3423" s="7">
        <f t="shared" si="877"/>
        <v>5553504.5499999998</v>
      </c>
      <c r="R3423" s="44" t="str">
        <f>VLOOKUP(F3423,'Set up'!$A$2:$E$70,5,FALSE)</f>
        <v>Cash</v>
      </c>
    </row>
    <row r="3424" spans="1:19" ht="15" customHeight="1" x14ac:dyDescent="0.35">
      <c r="A3424" s="4">
        <v>45622</v>
      </c>
      <c r="B3424" s="5">
        <f t="shared" si="872"/>
        <v>11</v>
      </c>
      <c r="C3424" s="5">
        <f t="shared" si="873"/>
        <v>2024</v>
      </c>
      <c r="D3424" s="5" t="s">
        <v>3138</v>
      </c>
      <c r="E3424" s="5" t="str">
        <f>VLOOKUP(F3424,'Set up'!$A$2:$C$70,2,FALSE)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up'!$A$2:$C$70,3,FALSE)</f>
        <v>Cash</v>
      </c>
      <c r="J3424" s="5">
        <f>VLOOKUP(F3424,'Set up'!$A$2:$D$70,4,FALSE)</f>
        <v>0</v>
      </c>
      <c r="K3424" s="4">
        <f t="shared" si="874"/>
        <v>45622</v>
      </c>
      <c r="L3424" s="5">
        <f t="shared" si="875"/>
        <v>11</v>
      </c>
      <c r="M3424" s="5">
        <f t="shared" si="876"/>
        <v>2024</v>
      </c>
      <c r="N3424" s="12">
        <v>1755</v>
      </c>
      <c r="O3424" s="12"/>
      <c r="P3424" s="12">
        <f t="shared" si="880"/>
        <v>1755</v>
      </c>
      <c r="Q3424" s="7">
        <f t="shared" si="877"/>
        <v>5555259.5499999998</v>
      </c>
      <c r="R3424" s="44" t="str">
        <f>VLOOKUP(F3424,'Set up'!$A$2:$E$70,5,FALSE)</f>
        <v>Trsf</v>
      </c>
    </row>
    <row r="3425" spans="1:19" ht="15" customHeight="1" x14ac:dyDescent="0.35">
      <c r="A3425" s="4">
        <v>45622</v>
      </c>
      <c r="B3425" s="5">
        <f t="shared" si="872"/>
        <v>11</v>
      </c>
      <c r="C3425" s="5">
        <f t="shared" si="873"/>
        <v>2024</v>
      </c>
      <c r="D3425" s="5" t="s">
        <v>3138</v>
      </c>
      <c r="E3425" s="5" t="str">
        <f>VLOOKUP(F3425,'Set up'!$A$2:$C$70,2,FALSE)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up'!$A$2:$C$70,3,FALSE)</f>
        <v>Cash</v>
      </c>
      <c r="J3425" s="5">
        <f>VLOOKUP(F3425,'Set up'!$A$2:$D$70,4,FALSE)</f>
        <v>0</v>
      </c>
      <c r="K3425" s="4">
        <f t="shared" si="874"/>
        <v>45622</v>
      </c>
      <c r="L3425" s="5">
        <f t="shared" si="875"/>
        <v>11</v>
      </c>
      <c r="M3425" s="5">
        <f t="shared" si="876"/>
        <v>2024</v>
      </c>
      <c r="N3425" s="12">
        <v>405</v>
      </c>
      <c r="O3425" s="12"/>
      <c r="P3425" s="12">
        <f t="shared" si="880"/>
        <v>405</v>
      </c>
      <c r="Q3425" s="7">
        <f t="shared" si="877"/>
        <v>5555664.5499999998</v>
      </c>
      <c r="R3425" s="44" t="str">
        <f>VLOOKUP(F3425,'Set up'!$A$2:$E$70,5,FALSE)</f>
        <v>Trsf</v>
      </c>
    </row>
    <row r="3426" spans="1:19" ht="15" customHeight="1" x14ac:dyDescent="0.35">
      <c r="A3426" s="4">
        <v>45622</v>
      </c>
      <c r="B3426" s="5">
        <f t="shared" si="872"/>
        <v>11</v>
      </c>
      <c r="C3426" s="5">
        <f t="shared" si="873"/>
        <v>2024</v>
      </c>
      <c r="D3426" s="5" t="s">
        <v>3138</v>
      </c>
      <c r="E3426" s="5" t="str">
        <f>VLOOKUP(F3426,'Set up'!$A$2:$C$70,2,FALSE)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up'!$A$2:$C$70,3,FALSE)</f>
        <v>Cash</v>
      </c>
      <c r="J3426" s="5">
        <f>VLOOKUP(F3426,'Set up'!$A$2:$D$70,4,FALSE)</f>
        <v>0</v>
      </c>
      <c r="K3426" s="4">
        <f t="shared" si="874"/>
        <v>45622</v>
      </c>
      <c r="L3426" s="5">
        <f t="shared" si="875"/>
        <v>11</v>
      </c>
      <c r="M3426" s="5">
        <f t="shared" si="876"/>
        <v>2024</v>
      </c>
      <c r="N3426" s="12">
        <v>120</v>
      </c>
      <c r="O3426" s="12"/>
      <c r="P3426" s="12">
        <f t="shared" si="880"/>
        <v>120</v>
      </c>
      <c r="Q3426" s="7">
        <f t="shared" si="877"/>
        <v>5555784.5499999998</v>
      </c>
      <c r="R3426" s="44" t="str">
        <f>VLOOKUP(F3426,'Set up'!$A$2:$E$70,5,FALSE)</f>
        <v>Trsf</v>
      </c>
    </row>
    <row r="3427" spans="1:19" ht="15" customHeight="1" x14ac:dyDescent="0.35">
      <c r="A3427" s="4">
        <v>45622</v>
      </c>
      <c r="B3427" s="5">
        <f t="shared" si="872"/>
        <v>11</v>
      </c>
      <c r="C3427" s="5">
        <f t="shared" si="873"/>
        <v>2024</v>
      </c>
      <c r="D3427" s="5" t="s">
        <v>3138</v>
      </c>
      <c r="E3427" s="5" t="str">
        <f>VLOOKUP(F3427,'Set up'!$A$2:$C$70,2,FALSE)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up'!$A$2:$C$70,3,FALSE)</f>
        <v>Cash</v>
      </c>
      <c r="J3427" s="5">
        <f>VLOOKUP(F3427,'Set up'!$A$2:$D$70,4,FALSE)</f>
        <v>0</v>
      </c>
      <c r="K3427" s="4">
        <f t="shared" si="874"/>
        <v>45622</v>
      </c>
      <c r="L3427" s="5">
        <f t="shared" si="875"/>
        <v>11</v>
      </c>
      <c r="M3427" s="5">
        <f t="shared" si="876"/>
        <v>2024</v>
      </c>
      <c r="N3427" s="12">
        <v>390</v>
      </c>
      <c r="O3427" s="12"/>
      <c r="P3427" s="12">
        <f t="shared" si="880"/>
        <v>390</v>
      </c>
      <c r="Q3427" s="7">
        <f t="shared" si="877"/>
        <v>5556174.5499999998</v>
      </c>
      <c r="R3427" s="44" t="str">
        <f>VLOOKUP(F3427,'Set up'!$A$2:$E$70,5,FALSE)</f>
        <v>Trsf</v>
      </c>
    </row>
    <row r="3428" spans="1:19" ht="15" customHeight="1" x14ac:dyDescent="0.35">
      <c r="A3428" s="4">
        <v>45622</v>
      </c>
      <c r="B3428" s="5">
        <f t="shared" si="872"/>
        <v>11</v>
      </c>
      <c r="C3428" s="5">
        <f t="shared" si="873"/>
        <v>2024</v>
      </c>
      <c r="D3428" s="5" t="s">
        <v>3139</v>
      </c>
      <c r="E3428" s="5" t="str">
        <f>VLOOKUP(F3428,'Set up'!$A$2:$C$70,2,FALSE)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up'!$A$2:$C$70,3,FALSE)</f>
        <v>Cash</v>
      </c>
      <c r="J3428" s="5">
        <f>VLOOKUP(F3428,'Set up'!$A$2:$D$70,4,FALSE)</f>
        <v>0</v>
      </c>
      <c r="K3428" s="4">
        <f t="shared" si="874"/>
        <v>45622</v>
      </c>
      <c r="L3428" s="5">
        <f t="shared" si="875"/>
        <v>11</v>
      </c>
      <c r="M3428" s="5">
        <f t="shared" si="876"/>
        <v>2024</v>
      </c>
      <c r="N3428" s="134">
        <v>1755</v>
      </c>
      <c r="O3428" s="6">
        <f t="shared" ref="O3428:O3434" si="881">-N3428</f>
        <v>-1755</v>
      </c>
      <c r="P3428" s="12">
        <f t="shared" si="880"/>
        <v>0</v>
      </c>
      <c r="Q3428" s="7">
        <f t="shared" si="877"/>
        <v>5557929.5499999998</v>
      </c>
      <c r="R3428" s="44" t="str">
        <f>VLOOKUP(F3428,'Set up'!$A$2:$E$70,5,FALSE)</f>
        <v>Trsf</v>
      </c>
      <c r="S3428" s="1" t="s">
        <v>3202</v>
      </c>
    </row>
    <row r="3429" spans="1:19" ht="15" customHeight="1" x14ac:dyDescent="0.35">
      <c r="A3429" s="4">
        <v>45622</v>
      </c>
      <c r="B3429" s="5">
        <f t="shared" si="872"/>
        <v>11</v>
      </c>
      <c r="C3429" s="5">
        <f t="shared" si="873"/>
        <v>2024</v>
      </c>
      <c r="D3429" s="5" t="s">
        <v>3139</v>
      </c>
      <c r="E3429" s="5" t="str">
        <f>VLOOKUP(F3429,'Set up'!$A$2:$C$70,2,FALSE)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up'!$A$2:$C$70,3,FALSE)</f>
        <v>Cash</v>
      </c>
      <c r="J3429" s="5">
        <f>VLOOKUP(F3429,'Set up'!$A$2:$D$70,4,FALSE)</f>
        <v>0</v>
      </c>
      <c r="K3429" s="4">
        <f t="shared" si="874"/>
        <v>45622</v>
      </c>
      <c r="L3429" s="5">
        <f t="shared" si="875"/>
        <v>11</v>
      </c>
      <c r="M3429" s="5">
        <f t="shared" si="876"/>
        <v>2024</v>
      </c>
      <c r="N3429" s="134">
        <v>45</v>
      </c>
      <c r="O3429" s="6">
        <f t="shared" si="881"/>
        <v>-45</v>
      </c>
      <c r="P3429" s="12">
        <f t="shared" si="880"/>
        <v>0</v>
      </c>
      <c r="Q3429" s="7">
        <f t="shared" si="877"/>
        <v>5557974.5499999998</v>
      </c>
      <c r="R3429" s="44" t="str">
        <f>VLOOKUP(F3429,'Set up'!$A$2:$E$70,5,FALSE)</f>
        <v>Trsf</v>
      </c>
      <c r="S3429" s="1" t="s">
        <v>3202</v>
      </c>
    </row>
    <row r="3430" spans="1:19" ht="15" customHeight="1" x14ac:dyDescent="0.35">
      <c r="A3430" s="4">
        <v>45623</v>
      </c>
      <c r="B3430" s="5">
        <f t="shared" si="872"/>
        <v>11</v>
      </c>
      <c r="C3430" s="5">
        <f t="shared" si="873"/>
        <v>2024</v>
      </c>
      <c r="D3430" s="5" t="s">
        <v>3142</v>
      </c>
      <c r="E3430" s="5" t="str">
        <f>VLOOKUP(F3430,'Set up'!$A$2:$C$70,2,FALSE)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up'!$A$2:$C$70,3,FALSE)</f>
        <v>Cash</v>
      </c>
      <c r="J3430" s="5">
        <f>VLOOKUP(F3430,'Set up'!$A$2:$D$70,4,FALSE)</f>
        <v>0</v>
      </c>
      <c r="K3430" s="4">
        <f t="shared" si="874"/>
        <v>45623</v>
      </c>
      <c r="L3430" s="5">
        <f t="shared" si="875"/>
        <v>11</v>
      </c>
      <c r="M3430" s="5">
        <f t="shared" si="876"/>
        <v>2024</v>
      </c>
      <c r="N3430" s="12">
        <v>187.5</v>
      </c>
      <c r="O3430" s="6">
        <f t="shared" si="881"/>
        <v>-187.5</v>
      </c>
      <c r="P3430" s="12">
        <f t="shared" si="880"/>
        <v>0</v>
      </c>
      <c r="Q3430" s="7">
        <f t="shared" si="877"/>
        <v>5558162.0499999998</v>
      </c>
      <c r="R3430" s="44" t="str">
        <f>VLOOKUP(F3430,'Set up'!$A$2:$E$70,5,FALSE)</f>
        <v>Trsf</v>
      </c>
      <c r="S3430" s="1" t="s">
        <v>3762</v>
      </c>
    </row>
    <row r="3431" spans="1:19" ht="15" customHeight="1" x14ac:dyDescent="0.35">
      <c r="A3431" s="4">
        <v>45623</v>
      </c>
      <c r="B3431" s="5">
        <f t="shared" si="872"/>
        <v>11</v>
      </c>
      <c r="C3431" s="5">
        <f t="shared" si="873"/>
        <v>2024</v>
      </c>
      <c r="D3431" s="5" t="s">
        <v>3143</v>
      </c>
      <c r="E3431" s="5" t="str">
        <f>VLOOKUP(F3431,'Set up'!$A$2:$C$70,2,FALSE)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up'!$A$2:$C$70,3,FALSE)</f>
        <v>Cash</v>
      </c>
      <c r="J3431" s="5">
        <f>VLOOKUP(F3431,'Set up'!$A$2:$D$70,4,FALSE)</f>
        <v>0</v>
      </c>
      <c r="K3431" s="4">
        <f t="shared" si="874"/>
        <v>45623</v>
      </c>
      <c r="L3431" s="5">
        <f t="shared" si="875"/>
        <v>11</v>
      </c>
      <c r="M3431" s="5">
        <f t="shared" si="876"/>
        <v>2024</v>
      </c>
      <c r="N3431" s="12">
        <v>9720</v>
      </c>
      <c r="O3431" s="6">
        <f t="shared" si="881"/>
        <v>-9720</v>
      </c>
      <c r="P3431" s="12">
        <f t="shared" si="880"/>
        <v>0</v>
      </c>
      <c r="Q3431" s="7">
        <f t="shared" si="877"/>
        <v>5567882.0499999998</v>
      </c>
      <c r="R3431" s="44" t="str">
        <f>VLOOKUP(F3431,'Set up'!$A$2:$E$70,5,FALSE)</f>
        <v>Trsf</v>
      </c>
      <c r="S3431" s="1" t="s">
        <v>3763</v>
      </c>
    </row>
    <row r="3432" spans="1:19" ht="15" customHeight="1" x14ac:dyDescent="0.35">
      <c r="A3432" s="4">
        <v>45623</v>
      </c>
      <c r="B3432" s="5">
        <f t="shared" si="872"/>
        <v>11</v>
      </c>
      <c r="C3432" s="5">
        <f t="shared" si="873"/>
        <v>2024</v>
      </c>
      <c r="D3432" s="5" t="s">
        <v>3143</v>
      </c>
      <c r="E3432" s="5" t="str">
        <f>VLOOKUP(F3432,'Set up'!$A$2:$C$70,2,FALSE)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up'!$A$2:$C$70,3,FALSE)</f>
        <v>Cash</v>
      </c>
      <c r="J3432" s="5">
        <f>VLOOKUP(F3432,'Set up'!$A$2:$D$70,4,FALSE)</f>
        <v>0</v>
      </c>
      <c r="K3432" s="4">
        <f t="shared" si="874"/>
        <v>45623</v>
      </c>
      <c r="L3432" s="5">
        <f t="shared" si="875"/>
        <v>11</v>
      </c>
      <c r="M3432" s="5">
        <f t="shared" si="876"/>
        <v>2024</v>
      </c>
      <c r="N3432" s="12">
        <v>2385</v>
      </c>
      <c r="O3432" s="6">
        <f t="shared" si="881"/>
        <v>-2385</v>
      </c>
      <c r="P3432" s="12">
        <f t="shared" si="880"/>
        <v>0</v>
      </c>
      <c r="Q3432" s="7">
        <f t="shared" si="877"/>
        <v>5570267.0499999998</v>
      </c>
      <c r="R3432" s="44" t="str">
        <f>VLOOKUP(F3432,'Set up'!$A$2:$E$70,5,FALSE)</f>
        <v>Trsf</v>
      </c>
      <c r="S3432" s="1" t="s">
        <v>3764</v>
      </c>
    </row>
    <row r="3433" spans="1:19" ht="15" customHeight="1" x14ac:dyDescent="0.35">
      <c r="A3433" s="4">
        <v>45623</v>
      </c>
      <c r="B3433" s="5">
        <f t="shared" si="872"/>
        <v>11</v>
      </c>
      <c r="C3433" s="5">
        <f t="shared" si="873"/>
        <v>2024</v>
      </c>
      <c r="D3433" s="5" t="s">
        <v>3143</v>
      </c>
      <c r="E3433" s="5" t="str">
        <f>VLOOKUP(F3433,'Set up'!$A$2:$C$70,2,FALSE)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up'!$A$2:$C$70,3,FALSE)</f>
        <v>Cash</v>
      </c>
      <c r="J3433" s="5">
        <f>VLOOKUP(F3433,'Set up'!$A$2:$D$70,4,FALSE)</f>
        <v>0</v>
      </c>
      <c r="K3433" s="4">
        <f t="shared" si="874"/>
        <v>45623</v>
      </c>
      <c r="L3433" s="5">
        <f t="shared" si="875"/>
        <v>11</v>
      </c>
      <c r="M3433" s="5">
        <f t="shared" si="876"/>
        <v>2024</v>
      </c>
      <c r="N3433" s="12">
        <v>380</v>
      </c>
      <c r="O3433" s="6">
        <f t="shared" si="881"/>
        <v>-380</v>
      </c>
      <c r="P3433" s="12">
        <f t="shared" si="880"/>
        <v>0</v>
      </c>
      <c r="Q3433" s="7">
        <f t="shared" si="877"/>
        <v>5570647.0499999998</v>
      </c>
      <c r="R3433" s="44" t="str">
        <f>VLOOKUP(F3433,'Set up'!$A$2:$E$70,5,FALSE)</f>
        <v>Trsf</v>
      </c>
      <c r="S3433" s="1" t="s">
        <v>3760</v>
      </c>
    </row>
    <row r="3434" spans="1:19" ht="15" customHeight="1" x14ac:dyDescent="0.35">
      <c r="A3434" s="4">
        <v>45623</v>
      </c>
      <c r="B3434" s="5">
        <f t="shared" si="872"/>
        <v>11</v>
      </c>
      <c r="C3434" s="5">
        <f t="shared" si="873"/>
        <v>2024</v>
      </c>
      <c r="D3434" s="5" t="s">
        <v>3143</v>
      </c>
      <c r="E3434" s="5" t="str">
        <f>VLOOKUP(F3434,'Set up'!$A$2:$C$70,2,FALSE)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up'!$A$2:$C$70,3,FALSE)</f>
        <v>Cash</v>
      </c>
      <c r="J3434" s="5">
        <f>VLOOKUP(F3434,'Set up'!$A$2:$D$70,4,FALSE)</f>
        <v>0</v>
      </c>
      <c r="K3434" s="4">
        <f>A3434+J3434</f>
        <v>45623</v>
      </c>
      <c r="L3434" s="5">
        <f t="shared" si="875"/>
        <v>11</v>
      </c>
      <c r="M3434" s="5">
        <f t="shared" si="876"/>
        <v>2024</v>
      </c>
      <c r="N3434" s="12">
        <v>1000</v>
      </c>
      <c r="O3434" s="6">
        <f t="shared" si="881"/>
        <v>-1000</v>
      </c>
      <c r="P3434" s="12">
        <f t="shared" si="880"/>
        <v>0</v>
      </c>
      <c r="Q3434" s="7">
        <f t="shared" si="877"/>
        <v>5571647.0499999998</v>
      </c>
      <c r="R3434" s="44" t="str">
        <f>VLOOKUP(F3434,'Set up'!$A$2:$E$70,5,FALSE)</f>
        <v>Trsf</v>
      </c>
      <c r="S3434" s="1" t="s">
        <v>3765</v>
      </c>
    </row>
    <row r="3435" spans="1:19" ht="15" customHeight="1" x14ac:dyDescent="0.35">
      <c r="A3435" s="4">
        <v>45624</v>
      </c>
      <c r="B3435" s="5">
        <f t="shared" si="872"/>
        <v>11</v>
      </c>
      <c r="C3435" s="5">
        <f t="shared" si="873"/>
        <v>2024</v>
      </c>
      <c r="D3435" s="5" t="s">
        <v>3145</v>
      </c>
      <c r="E3435" s="5" t="str">
        <f>VLOOKUP(F3435,'Set up'!$A$2:$C$70,2,FALSE)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up'!$A$2:$C$70,3,FALSE)</f>
        <v>Cash</v>
      </c>
      <c r="J3435" s="5">
        <f>VLOOKUP(F3435,'Set up'!$A$2:$D$70,4,FALSE)</f>
        <v>0</v>
      </c>
      <c r="K3435" s="4">
        <f>A3435+J3435</f>
        <v>45624</v>
      </c>
      <c r="L3435" s="5">
        <f t="shared" si="875"/>
        <v>11</v>
      </c>
      <c r="M3435" s="5">
        <f t="shared" si="876"/>
        <v>2024</v>
      </c>
      <c r="N3435" s="96">
        <v>1755</v>
      </c>
      <c r="O3435" s="6">
        <f t="shared" ref="O3435:O3437" si="882">-N3435</f>
        <v>-1755</v>
      </c>
      <c r="P3435" s="12">
        <f t="shared" si="880"/>
        <v>0</v>
      </c>
      <c r="Q3435" s="7">
        <f t="shared" si="877"/>
        <v>5573402.0499999998</v>
      </c>
      <c r="R3435" s="44" t="str">
        <f>VLOOKUP(F3435,'Set up'!$A$2:$E$70,5,FALSE)</f>
        <v>Cash</v>
      </c>
      <c r="S3435" s="1" t="s">
        <v>3313</v>
      </c>
    </row>
    <row r="3436" spans="1:19" ht="16.25" customHeight="1" x14ac:dyDescent="0.35">
      <c r="A3436" s="4">
        <v>45624</v>
      </c>
      <c r="B3436" s="5">
        <f t="shared" si="872"/>
        <v>11</v>
      </c>
      <c r="C3436" s="5">
        <f t="shared" si="873"/>
        <v>2024</v>
      </c>
      <c r="D3436" s="5" t="s">
        <v>3145</v>
      </c>
      <c r="E3436" s="5" t="str">
        <f>VLOOKUP(F3436,'Set up'!$A$2:$C$70,2,FALSE)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up'!$A$2:$C$70,3,FALSE)</f>
        <v>Cash</v>
      </c>
      <c r="J3436" s="5">
        <f>VLOOKUP(F3436,'Set up'!$A$2:$D$70,4,FALSE)</f>
        <v>0</v>
      </c>
      <c r="K3436" s="4">
        <f t="shared" ref="K3436:K3438" si="883">A3436+J3436</f>
        <v>45624</v>
      </c>
      <c r="L3436" s="5">
        <f t="shared" si="875"/>
        <v>11</v>
      </c>
      <c r="M3436" s="5">
        <f t="shared" si="876"/>
        <v>2024</v>
      </c>
      <c r="N3436" s="96">
        <v>832.5</v>
      </c>
      <c r="O3436" s="6">
        <f t="shared" si="882"/>
        <v>-832.5</v>
      </c>
      <c r="P3436" s="12">
        <f t="shared" si="880"/>
        <v>0</v>
      </c>
      <c r="Q3436" s="7">
        <f t="shared" si="877"/>
        <v>5574234.5499999998</v>
      </c>
      <c r="R3436" s="44" t="str">
        <f>VLOOKUP(F3436,'Set up'!$A$2:$E$70,5,FALSE)</f>
        <v>Cash</v>
      </c>
      <c r="S3436" s="1" t="s">
        <v>3313</v>
      </c>
    </row>
    <row r="3437" spans="1:19" ht="16.25" customHeight="1" x14ac:dyDescent="0.35">
      <c r="A3437" s="4">
        <v>45624</v>
      </c>
      <c r="B3437" s="5">
        <f t="shared" si="872"/>
        <v>11</v>
      </c>
      <c r="C3437" s="5">
        <f t="shared" si="873"/>
        <v>2024</v>
      </c>
      <c r="D3437" s="5" t="s">
        <v>3145</v>
      </c>
      <c r="E3437" s="5" t="str">
        <f>VLOOKUP(F3437,'Set up'!$A$2:$C$70,2,FALSE)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up'!$A$2:$C$70,3,FALSE)</f>
        <v>Cash</v>
      </c>
      <c r="J3437" s="5">
        <f>VLOOKUP(F3437,'Set up'!$A$2:$D$70,4,FALSE)</f>
        <v>0</v>
      </c>
      <c r="K3437" s="4">
        <f t="shared" si="883"/>
        <v>45624</v>
      </c>
      <c r="L3437" s="5">
        <f t="shared" si="875"/>
        <v>11</v>
      </c>
      <c r="M3437" s="5">
        <f t="shared" si="876"/>
        <v>2024</v>
      </c>
      <c r="N3437" s="96">
        <v>95</v>
      </c>
      <c r="O3437" s="6">
        <f t="shared" si="882"/>
        <v>-95</v>
      </c>
      <c r="P3437" s="12">
        <f t="shared" si="880"/>
        <v>0</v>
      </c>
      <c r="Q3437" s="7">
        <f t="shared" si="877"/>
        <v>5574329.5499999998</v>
      </c>
      <c r="R3437" s="44" t="str">
        <f>VLOOKUP(F3437,'Set up'!$A$2:$E$70,5,FALSE)</f>
        <v>Cash</v>
      </c>
      <c r="S3437" s="1" t="s">
        <v>3313</v>
      </c>
    </row>
    <row r="3438" spans="1:19" ht="16.25" customHeight="1" x14ac:dyDescent="0.35">
      <c r="A3438" s="4">
        <v>45626</v>
      </c>
      <c r="B3438" s="5">
        <f t="shared" si="872"/>
        <v>11</v>
      </c>
      <c r="C3438" s="5">
        <f t="shared" si="873"/>
        <v>2024</v>
      </c>
      <c r="D3438" s="5" t="s">
        <v>3146</v>
      </c>
      <c r="E3438" s="5" t="str">
        <f>VLOOKUP(F3438,'Set up'!$A$2:$C$70,2,FALSE)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up'!$A$2:$C$70,3,FALSE)</f>
        <v>Cash</v>
      </c>
      <c r="J3438" s="5">
        <f>VLOOKUP(F3438,'Set up'!$A$2:$D$70,4,FALSE)</f>
        <v>0</v>
      </c>
      <c r="K3438" s="4">
        <f t="shared" si="883"/>
        <v>45626</v>
      </c>
      <c r="L3438" s="5">
        <f t="shared" si="875"/>
        <v>11</v>
      </c>
      <c r="M3438" s="5">
        <f t="shared" si="876"/>
        <v>2024</v>
      </c>
      <c r="N3438" s="12">
        <v>180</v>
      </c>
      <c r="O3438" s="12"/>
      <c r="P3438" s="12">
        <f t="shared" si="880"/>
        <v>180</v>
      </c>
      <c r="Q3438" s="7">
        <f t="shared" si="877"/>
        <v>5574509.5499999998</v>
      </c>
      <c r="R3438" s="44" t="str">
        <f>VLOOKUP(F3438,'Set up'!$A$2:$E$70,5,FALSE)</f>
        <v>Cash</v>
      </c>
    </row>
    <row r="3439" spans="1:19" ht="16.25" customHeight="1" x14ac:dyDescent="0.35">
      <c r="A3439" s="4">
        <v>45628</v>
      </c>
      <c r="B3439" s="5">
        <f t="shared" si="872"/>
        <v>12</v>
      </c>
      <c r="C3439" s="5">
        <f t="shared" si="873"/>
        <v>2024</v>
      </c>
      <c r="D3439" s="5" t="s">
        <v>3210</v>
      </c>
      <c r="E3439" s="5" t="str">
        <f>VLOOKUP(F3439,'Set up'!$A$2:$C$70,2,FALSE)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up'!$A$2:$C$70,3,FALSE)</f>
        <v>Cash</v>
      </c>
      <c r="J3439" s="5">
        <f>VLOOKUP(F3439,'Set up'!$A$2:$D$70,4,FALSE)</f>
        <v>0</v>
      </c>
      <c r="K3439" s="4">
        <f t="shared" ref="K3439:K3502" si="884">A3439+J3439</f>
        <v>45628</v>
      </c>
      <c r="L3439" s="5">
        <f t="shared" ref="L3439:L3502" si="885">MONTH(K3439)</f>
        <v>12</v>
      </c>
      <c r="M3439" s="5">
        <f t="shared" ref="M3439:M3502" si="886">YEAR(K3439)</f>
        <v>2024</v>
      </c>
      <c r="N3439" s="12">
        <v>312.5</v>
      </c>
      <c r="O3439" s="6">
        <f t="shared" ref="O3439" si="887">-N3439</f>
        <v>-312.5</v>
      </c>
      <c r="P3439" s="12">
        <f t="shared" si="880"/>
        <v>0</v>
      </c>
      <c r="Q3439" s="7">
        <v>5669646.25</v>
      </c>
      <c r="R3439" s="44" t="str">
        <f>VLOOKUP(F3439,'Set up'!$A$2:$E$70,5,FALSE)</f>
        <v>Trsf</v>
      </c>
      <c r="S3439" s="1" t="s">
        <v>3766</v>
      </c>
    </row>
    <row r="3440" spans="1:19" ht="16.25" customHeight="1" x14ac:dyDescent="0.35">
      <c r="A3440" s="4">
        <v>45628</v>
      </c>
      <c r="B3440" s="5">
        <f t="shared" si="872"/>
        <v>12</v>
      </c>
      <c r="C3440" s="5">
        <f t="shared" si="873"/>
        <v>2024</v>
      </c>
      <c r="D3440" s="5" t="s">
        <v>3211</v>
      </c>
      <c r="E3440" s="5" t="str">
        <f>VLOOKUP(F3440,'Set up'!$A$2:$C$70,2,FALSE)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up'!$A$2:$C$70,3,FALSE)</f>
        <v>Cash</v>
      </c>
      <c r="J3440" s="5">
        <f>VLOOKUP(F3440,'Set up'!$A$2:$D$70,4,FALSE)</f>
        <v>0</v>
      </c>
      <c r="K3440" s="4">
        <f t="shared" si="884"/>
        <v>45628</v>
      </c>
      <c r="L3440" s="5">
        <f t="shared" si="885"/>
        <v>12</v>
      </c>
      <c r="M3440" s="5">
        <f t="shared" si="886"/>
        <v>2024</v>
      </c>
      <c r="N3440" s="12">
        <v>9720</v>
      </c>
      <c r="O3440" s="12">
        <f>-879.6-8000-840.4</f>
        <v>-9720</v>
      </c>
      <c r="P3440" s="12">
        <f t="shared" si="880"/>
        <v>0</v>
      </c>
      <c r="Q3440" s="7">
        <v>5679366.25</v>
      </c>
      <c r="R3440" s="44" t="str">
        <f>VLOOKUP(F3440,'Set up'!$A$2:$E$70,5,FALSE)</f>
        <v>Trsf</v>
      </c>
      <c r="S3440" s="1" t="s">
        <v>3818</v>
      </c>
    </row>
    <row r="3441" spans="1:19" ht="16.25" customHeight="1" x14ac:dyDescent="0.35">
      <c r="A3441" s="4">
        <v>45628</v>
      </c>
      <c r="B3441" s="5">
        <f t="shared" si="872"/>
        <v>12</v>
      </c>
      <c r="C3441" s="5">
        <f t="shared" si="873"/>
        <v>2024</v>
      </c>
      <c r="D3441" s="5" t="s">
        <v>3211</v>
      </c>
      <c r="E3441" s="5" t="str">
        <f>VLOOKUP(F3441,'Set up'!$A$2:$C$70,2,FALSE)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up'!$A$2:$C$70,3,FALSE)</f>
        <v>Cash</v>
      </c>
      <c r="J3441" s="5">
        <f>VLOOKUP(F3441,'Set up'!$A$2:$D$70,4,FALSE)</f>
        <v>0</v>
      </c>
      <c r="K3441" s="4">
        <f t="shared" si="884"/>
        <v>45628</v>
      </c>
      <c r="L3441" s="5">
        <f t="shared" si="885"/>
        <v>12</v>
      </c>
      <c r="M3441" s="5">
        <f t="shared" si="886"/>
        <v>2024</v>
      </c>
      <c r="N3441" s="12">
        <v>2088</v>
      </c>
      <c r="O3441" s="6">
        <f t="shared" ref="O3441:O3444" si="888">-N3441</f>
        <v>-2088</v>
      </c>
      <c r="P3441" s="12">
        <f t="shared" si="880"/>
        <v>0</v>
      </c>
      <c r="Q3441" s="7">
        <v>5681454.25</v>
      </c>
      <c r="R3441" s="44" t="str">
        <f>VLOOKUP(F3441,'Set up'!$A$2:$E$70,5,FALSE)</f>
        <v>Trsf</v>
      </c>
      <c r="S3441" s="1" t="s">
        <v>3767</v>
      </c>
    </row>
    <row r="3442" spans="1:19" ht="16.25" customHeight="1" x14ac:dyDescent="0.35">
      <c r="A3442" s="4">
        <v>45628</v>
      </c>
      <c r="B3442" s="5">
        <f t="shared" si="872"/>
        <v>12</v>
      </c>
      <c r="C3442" s="5">
        <f t="shared" si="873"/>
        <v>2024</v>
      </c>
      <c r="D3442" s="5" t="s">
        <v>3211</v>
      </c>
      <c r="E3442" s="5" t="str">
        <f>VLOOKUP(F3442,'Set up'!$A$2:$C$70,2,FALSE)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up'!$A$2:$C$70,3,FALSE)</f>
        <v>Cash</v>
      </c>
      <c r="J3442" s="5">
        <f>VLOOKUP(F3442,'Set up'!$A$2:$D$70,4,FALSE)</f>
        <v>0</v>
      </c>
      <c r="K3442" s="4">
        <f t="shared" si="884"/>
        <v>45628</v>
      </c>
      <c r="L3442" s="5">
        <f t="shared" si="885"/>
        <v>12</v>
      </c>
      <c r="M3442" s="5">
        <f t="shared" si="886"/>
        <v>2024</v>
      </c>
      <c r="N3442" s="12">
        <v>2146.5</v>
      </c>
      <c r="O3442" s="6">
        <f t="shared" si="888"/>
        <v>-2146.5</v>
      </c>
      <c r="P3442" s="12">
        <f t="shared" si="880"/>
        <v>0</v>
      </c>
      <c r="Q3442" s="7">
        <v>5683600.75</v>
      </c>
      <c r="R3442" s="44" t="str">
        <f>VLOOKUP(F3442,'Set up'!$A$2:$E$70,5,FALSE)</f>
        <v>Trsf</v>
      </c>
      <c r="S3442" s="1" t="s">
        <v>3768</v>
      </c>
    </row>
    <row r="3443" spans="1:19" ht="16.25" customHeight="1" x14ac:dyDescent="0.35">
      <c r="A3443" s="4">
        <v>45628</v>
      </c>
      <c r="B3443" s="5">
        <f t="shared" si="872"/>
        <v>12</v>
      </c>
      <c r="C3443" s="5">
        <f t="shared" si="873"/>
        <v>2024</v>
      </c>
      <c r="D3443" s="5" t="s">
        <v>3211</v>
      </c>
      <c r="E3443" s="5" t="str">
        <f>VLOOKUP(F3443,'Set up'!$A$2:$C$70,2,FALSE)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up'!$A$2:$C$70,3,FALSE)</f>
        <v>Cash</v>
      </c>
      <c r="J3443" s="5">
        <f>VLOOKUP(F3443,'Set up'!$A$2:$D$70,4,FALSE)</f>
        <v>0</v>
      </c>
      <c r="K3443" s="4">
        <f t="shared" si="884"/>
        <v>45628</v>
      </c>
      <c r="L3443" s="5">
        <f t="shared" si="885"/>
        <v>12</v>
      </c>
      <c r="M3443" s="5">
        <f t="shared" si="886"/>
        <v>2024</v>
      </c>
      <c r="N3443" s="12">
        <v>380</v>
      </c>
      <c r="O3443" s="6">
        <f t="shared" si="888"/>
        <v>-380</v>
      </c>
      <c r="P3443" s="12">
        <f t="shared" si="880"/>
        <v>0</v>
      </c>
      <c r="Q3443" s="7">
        <v>5683980.75</v>
      </c>
      <c r="R3443" s="44" t="str">
        <f>VLOOKUP(F3443,'Set up'!$A$2:$E$70,5,FALSE)</f>
        <v>Trsf</v>
      </c>
      <c r="S3443" s="1" t="s">
        <v>3769</v>
      </c>
    </row>
    <row r="3444" spans="1:19" ht="16.25" customHeight="1" x14ac:dyDescent="0.35">
      <c r="A3444" s="4">
        <v>45628</v>
      </c>
      <c r="B3444" s="5">
        <f t="shared" si="872"/>
        <v>12</v>
      </c>
      <c r="C3444" s="5">
        <f t="shared" si="873"/>
        <v>2024</v>
      </c>
      <c r="D3444" s="5" t="s">
        <v>3211</v>
      </c>
      <c r="E3444" s="5" t="str">
        <f>VLOOKUP(F3444,'Set up'!$A$2:$C$70,2,FALSE)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up'!$A$2:$C$70,3,FALSE)</f>
        <v>Cash</v>
      </c>
      <c r="J3444" s="5">
        <f>VLOOKUP(F3444,'Set up'!$A$2:$D$70,4,FALSE)</f>
        <v>0</v>
      </c>
      <c r="K3444" s="4">
        <f t="shared" si="884"/>
        <v>45628</v>
      </c>
      <c r="L3444" s="5">
        <f t="shared" si="885"/>
        <v>12</v>
      </c>
      <c r="M3444" s="5">
        <f t="shared" si="886"/>
        <v>2024</v>
      </c>
      <c r="N3444" s="12">
        <v>1000</v>
      </c>
      <c r="O3444" s="6">
        <f t="shared" si="888"/>
        <v>-1000</v>
      </c>
      <c r="P3444" s="12">
        <f t="shared" si="880"/>
        <v>0</v>
      </c>
      <c r="Q3444" s="7">
        <v>5684980.75</v>
      </c>
      <c r="R3444" s="44" t="str">
        <f>VLOOKUP(F3444,'Set up'!$A$2:$E$70,5,FALSE)</f>
        <v>Trsf</v>
      </c>
      <c r="S3444" s="1" t="s">
        <v>3770</v>
      </c>
    </row>
    <row r="3445" spans="1:19" ht="16.25" customHeight="1" x14ac:dyDescent="0.35">
      <c r="A3445" s="4">
        <v>45628</v>
      </c>
      <c r="B3445" s="5">
        <f t="shared" si="872"/>
        <v>12</v>
      </c>
      <c r="C3445" s="5">
        <f t="shared" si="873"/>
        <v>2024</v>
      </c>
      <c r="D3445" s="5" t="s">
        <v>3212</v>
      </c>
      <c r="E3445" s="5" t="str">
        <f>VLOOKUP(F3445,'Set up'!$A$2:$C$70,2,FALSE)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up'!$A$2:$C$70,3,FALSE)</f>
        <v>Cash</v>
      </c>
      <c r="J3445" s="5">
        <f>VLOOKUP(F3445,'Set up'!$A$2:$D$70,4,FALSE)</f>
        <v>0</v>
      </c>
      <c r="K3445" s="4">
        <f t="shared" si="884"/>
        <v>45628</v>
      </c>
      <c r="L3445" s="5">
        <f t="shared" si="885"/>
        <v>12</v>
      </c>
      <c r="M3445" s="5">
        <f t="shared" si="886"/>
        <v>2024</v>
      </c>
      <c r="N3445" s="12">
        <v>1755</v>
      </c>
      <c r="O3445" s="12"/>
      <c r="P3445" s="12">
        <f t="shared" si="880"/>
        <v>1755</v>
      </c>
      <c r="Q3445" s="7">
        <v>5686735.75</v>
      </c>
      <c r="R3445" s="44" t="str">
        <f>VLOOKUP(F3445,'Set up'!$A$2:$E$70,5,FALSE)</f>
        <v>Cash</v>
      </c>
    </row>
    <row r="3446" spans="1:19" ht="16.25" customHeight="1" x14ac:dyDescent="0.35">
      <c r="A3446" s="4">
        <v>45628</v>
      </c>
      <c r="B3446" s="5">
        <f t="shared" si="872"/>
        <v>12</v>
      </c>
      <c r="C3446" s="5">
        <f t="shared" si="873"/>
        <v>2024</v>
      </c>
      <c r="D3446" s="5" t="s">
        <v>3212</v>
      </c>
      <c r="E3446" s="5" t="str">
        <f>VLOOKUP(F3446,'Set up'!$A$2:$C$70,2,FALSE)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up'!$A$2:$C$70,3,FALSE)</f>
        <v>Cash</v>
      </c>
      <c r="J3446" s="5">
        <f>VLOOKUP(F3446,'Set up'!$A$2:$D$70,4,FALSE)</f>
        <v>0</v>
      </c>
      <c r="K3446" s="4">
        <f t="shared" si="884"/>
        <v>45628</v>
      </c>
      <c r="L3446" s="5">
        <f t="shared" si="885"/>
        <v>12</v>
      </c>
      <c r="M3446" s="5">
        <f t="shared" si="886"/>
        <v>2024</v>
      </c>
      <c r="N3446" s="12">
        <v>225</v>
      </c>
      <c r="O3446" s="12"/>
      <c r="P3446" s="12">
        <f t="shared" si="880"/>
        <v>225</v>
      </c>
      <c r="Q3446" s="7">
        <v>5686960.75</v>
      </c>
      <c r="R3446" s="44" t="str">
        <f>VLOOKUP(F3446,'Set up'!$A$2:$E$70,5,FALSE)</f>
        <v>Cash</v>
      </c>
    </row>
    <row r="3447" spans="1:19" ht="16.25" customHeight="1" x14ac:dyDescent="0.35">
      <c r="A3447" s="4">
        <v>45629</v>
      </c>
      <c r="B3447" s="5">
        <f t="shared" si="872"/>
        <v>12</v>
      </c>
      <c r="C3447" s="5">
        <f t="shared" si="873"/>
        <v>2024</v>
      </c>
      <c r="D3447" s="5" t="s">
        <v>3213</v>
      </c>
      <c r="E3447" s="5" t="str">
        <f>VLOOKUP(F3447,'Set up'!$A$2:$C$70,2,FALSE)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up'!$A$2:$C$70,3,FALSE)</f>
        <v>Cash</v>
      </c>
      <c r="J3447" s="5">
        <f>VLOOKUP(F3447,'Set up'!$A$2:$D$70,4,FALSE)</f>
        <v>0</v>
      </c>
      <c r="K3447" s="4">
        <f t="shared" si="884"/>
        <v>45629</v>
      </c>
      <c r="L3447" s="5">
        <f t="shared" si="885"/>
        <v>12</v>
      </c>
      <c r="M3447" s="5">
        <f t="shared" si="886"/>
        <v>2024</v>
      </c>
      <c r="N3447" s="12">
        <v>1755</v>
      </c>
      <c r="O3447" s="6">
        <f t="shared" ref="O3447:O3450" si="889">-N3447</f>
        <v>-1755</v>
      </c>
      <c r="P3447" s="12">
        <f t="shared" ref="P3447:P3452" si="890">SUM(N3447+O3447)</f>
        <v>0</v>
      </c>
      <c r="Q3447" s="7">
        <v>5688715.75</v>
      </c>
      <c r="R3447" s="44" t="str">
        <f>VLOOKUP(F3447,'Set up'!$A$2:$E$70,5,FALSE)</f>
        <v>Cash</v>
      </c>
      <c r="S3447" s="1" t="s">
        <v>3314</v>
      </c>
    </row>
    <row r="3448" spans="1:19" ht="16.25" customHeight="1" x14ac:dyDescent="0.35">
      <c r="A3448" s="4">
        <v>45629</v>
      </c>
      <c r="B3448" s="5">
        <f t="shared" si="872"/>
        <v>12</v>
      </c>
      <c r="C3448" s="5">
        <f t="shared" si="873"/>
        <v>2024</v>
      </c>
      <c r="D3448" s="5" t="s">
        <v>3213</v>
      </c>
      <c r="E3448" s="5" t="str">
        <f>VLOOKUP(F3448,'Set up'!$A$2:$C$70,2,FALSE)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up'!$A$2:$C$70,3,FALSE)</f>
        <v>Cash</v>
      </c>
      <c r="J3448" s="5">
        <f>VLOOKUP(F3448,'Set up'!$A$2:$D$70,4,FALSE)</f>
        <v>0</v>
      </c>
      <c r="K3448" s="4">
        <f t="shared" si="884"/>
        <v>45629</v>
      </c>
      <c r="L3448" s="5">
        <f t="shared" si="885"/>
        <v>12</v>
      </c>
      <c r="M3448" s="5">
        <f t="shared" si="886"/>
        <v>2024</v>
      </c>
      <c r="N3448" s="12">
        <v>555</v>
      </c>
      <c r="O3448" s="6">
        <f t="shared" si="889"/>
        <v>-555</v>
      </c>
      <c r="P3448" s="12">
        <f t="shared" si="890"/>
        <v>0</v>
      </c>
      <c r="Q3448" s="7">
        <v>5689270.75</v>
      </c>
      <c r="R3448" s="44" t="str">
        <f>VLOOKUP(F3448,'Set up'!$A$2:$E$70,5,FALSE)</f>
        <v>Cash</v>
      </c>
      <c r="S3448" s="1" t="s">
        <v>3314</v>
      </c>
    </row>
    <row r="3449" spans="1:19" ht="16.25" customHeight="1" x14ac:dyDescent="0.35">
      <c r="A3449" s="4">
        <v>45629</v>
      </c>
      <c r="B3449" s="5">
        <f t="shared" si="872"/>
        <v>12</v>
      </c>
      <c r="C3449" s="5">
        <f t="shared" si="873"/>
        <v>2024</v>
      </c>
      <c r="D3449" s="5" t="s">
        <v>3213</v>
      </c>
      <c r="E3449" s="5" t="str">
        <f>VLOOKUP(F3449,'Set up'!$A$2:$C$70,2,FALSE)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up'!$A$2:$C$70,3,FALSE)</f>
        <v>Cash</v>
      </c>
      <c r="J3449" s="5">
        <f>VLOOKUP(F3449,'Set up'!$A$2:$D$70,4,FALSE)</f>
        <v>0</v>
      </c>
      <c r="K3449" s="4">
        <f t="shared" si="884"/>
        <v>45629</v>
      </c>
      <c r="L3449" s="5">
        <f t="shared" si="885"/>
        <v>12</v>
      </c>
      <c r="M3449" s="5">
        <f t="shared" si="886"/>
        <v>2024</v>
      </c>
      <c r="N3449" s="12">
        <v>95</v>
      </c>
      <c r="O3449" s="6">
        <f t="shared" si="889"/>
        <v>-95</v>
      </c>
      <c r="P3449" s="12">
        <f t="shared" si="890"/>
        <v>0</v>
      </c>
      <c r="Q3449" s="7">
        <v>5689365.75</v>
      </c>
      <c r="R3449" s="44" t="str">
        <f>VLOOKUP(F3449,'Set up'!$A$2:$E$70,5,FALSE)</f>
        <v>Cash</v>
      </c>
      <c r="S3449" s="1" t="s">
        <v>3314</v>
      </c>
    </row>
    <row r="3450" spans="1:19" ht="16.25" customHeight="1" x14ac:dyDescent="0.35">
      <c r="A3450" s="4">
        <v>45629</v>
      </c>
      <c r="B3450" s="5">
        <f t="shared" si="872"/>
        <v>12</v>
      </c>
      <c r="C3450" s="5">
        <f t="shared" si="873"/>
        <v>2024</v>
      </c>
      <c r="D3450" s="5" t="s">
        <v>3213</v>
      </c>
      <c r="E3450" s="5" t="str">
        <f>VLOOKUP(F3450,'Set up'!$A$2:$C$70,2,FALSE)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up'!$A$2:$C$70,3,FALSE)</f>
        <v>Cash</v>
      </c>
      <c r="J3450" s="5">
        <f>VLOOKUP(F3450,'Set up'!$A$2:$D$70,4,FALSE)</f>
        <v>0</v>
      </c>
      <c r="K3450" s="4">
        <f t="shared" si="884"/>
        <v>45629</v>
      </c>
      <c r="L3450" s="5">
        <f t="shared" si="885"/>
        <v>12</v>
      </c>
      <c r="M3450" s="5">
        <f t="shared" si="886"/>
        <v>2024</v>
      </c>
      <c r="N3450" s="12">
        <v>275</v>
      </c>
      <c r="O3450" s="6">
        <f t="shared" si="889"/>
        <v>-275</v>
      </c>
      <c r="P3450" s="12">
        <f t="shared" si="890"/>
        <v>0</v>
      </c>
      <c r="Q3450" s="7">
        <v>5689640.75</v>
      </c>
      <c r="R3450" s="44" t="str">
        <f>VLOOKUP(F3450,'Set up'!$A$2:$E$70,5,FALSE)</f>
        <v>Cash</v>
      </c>
      <c r="S3450" s="1" t="s">
        <v>3314</v>
      </c>
    </row>
    <row r="3451" spans="1:19" ht="16.25" customHeight="1" x14ac:dyDescent="0.35">
      <c r="A3451" s="4">
        <v>45629</v>
      </c>
      <c r="B3451" s="5">
        <f t="shared" si="872"/>
        <v>12</v>
      </c>
      <c r="C3451" s="5">
        <f t="shared" si="873"/>
        <v>2024</v>
      </c>
      <c r="D3451" s="5" t="s">
        <v>3214</v>
      </c>
      <c r="E3451" s="5" t="str">
        <f>VLOOKUP(F3451,'Set up'!$A$2:$C$70,2,FALSE)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up'!$A$2:$C$70,3,FALSE)</f>
        <v>Cash</v>
      </c>
      <c r="J3451" s="5">
        <f>VLOOKUP(F3451,'Set up'!$A$2:$D$70,4,FALSE)</f>
        <v>0</v>
      </c>
      <c r="K3451" s="4">
        <f t="shared" si="884"/>
        <v>45629</v>
      </c>
      <c r="L3451" s="5">
        <f t="shared" si="885"/>
        <v>12</v>
      </c>
      <c r="M3451" s="5">
        <f t="shared" si="886"/>
        <v>2024</v>
      </c>
      <c r="N3451" s="12">
        <v>115</v>
      </c>
      <c r="O3451" s="12"/>
      <c r="P3451" s="12">
        <f t="shared" si="890"/>
        <v>115</v>
      </c>
      <c r="Q3451" s="7">
        <v>5689755.75</v>
      </c>
      <c r="R3451" s="44" t="str">
        <f>VLOOKUP(F3451,'Set up'!$A$2:$E$70,5,FALSE)</f>
        <v>Cash</v>
      </c>
    </row>
    <row r="3452" spans="1:19" ht="16.25" customHeight="1" x14ac:dyDescent="0.35">
      <c r="A3452" s="4">
        <v>45631</v>
      </c>
      <c r="B3452" s="5">
        <f t="shared" si="872"/>
        <v>12</v>
      </c>
      <c r="C3452" s="5">
        <f t="shared" si="873"/>
        <v>2024</v>
      </c>
      <c r="D3452" s="5" t="s">
        <v>3215</v>
      </c>
      <c r="E3452" s="5" t="str">
        <f>VLOOKUP(F3452,'Set up'!$A$2:$C$70,2,FALSE)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up'!$A$2:$C$70,3,FALSE)</f>
        <v>Cash</v>
      </c>
      <c r="J3452" s="5">
        <f>VLOOKUP(F3452,'Set up'!$A$2:$D$70,4,FALSE)</f>
        <v>0</v>
      </c>
      <c r="K3452" s="4">
        <f t="shared" si="884"/>
        <v>45631</v>
      </c>
      <c r="L3452" s="5">
        <f t="shared" si="885"/>
        <v>12</v>
      </c>
      <c r="M3452" s="5">
        <f t="shared" si="886"/>
        <v>2024</v>
      </c>
      <c r="N3452" s="12">
        <v>62.5</v>
      </c>
      <c r="O3452" s="6">
        <f t="shared" ref="O3452" si="891">-N3452</f>
        <v>-62.5</v>
      </c>
      <c r="P3452" s="12">
        <f t="shared" si="890"/>
        <v>0</v>
      </c>
      <c r="Q3452" s="7">
        <v>5689818.25</v>
      </c>
      <c r="R3452" s="44" t="str">
        <f>VLOOKUP(F3452,'Set up'!$A$2:$E$70,5,FALSE)</f>
        <v>Trsf</v>
      </c>
      <c r="S3452" s="1" t="s">
        <v>3771</v>
      </c>
    </row>
    <row r="3453" spans="1:19" ht="16.25" customHeight="1" x14ac:dyDescent="0.35">
      <c r="A3453" s="4">
        <v>45631</v>
      </c>
      <c r="B3453" s="5">
        <f t="shared" si="872"/>
        <v>12</v>
      </c>
      <c r="C3453" s="5">
        <f t="shared" si="873"/>
        <v>2024</v>
      </c>
      <c r="D3453" s="5" t="s">
        <v>3216</v>
      </c>
      <c r="E3453" s="5" t="str">
        <f>VLOOKUP(F3453,'Set up'!$A$2:$C$70,2,FALSE)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up'!$A$2:$C$70,3,FALSE)</f>
        <v>Cash</v>
      </c>
      <c r="J3453" s="5">
        <f>VLOOKUP(F3453,'Set up'!$A$2:$D$70,4,FALSE)</f>
        <v>0</v>
      </c>
      <c r="K3453" s="4">
        <f t="shared" si="884"/>
        <v>45631</v>
      </c>
      <c r="L3453" s="5">
        <f t="shared" si="885"/>
        <v>12</v>
      </c>
      <c r="M3453" s="5">
        <f t="shared" si="886"/>
        <v>2024</v>
      </c>
      <c r="N3453" s="12">
        <v>16200</v>
      </c>
      <c r="O3453" s="12">
        <f>-13482.6-2717.4</f>
        <v>-16200</v>
      </c>
      <c r="P3453" s="12">
        <f t="shared" ref="P3453:P3469" si="892">SUM(N3453+O3453)</f>
        <v>0</v>
      </c>
      <c r="Q3453" s="7">
        <v>5706018.25</v>
      </c>
      <c r="R3453" s="44" t="str">
        <f>VLOOKUP(F3453,'Set up'!$A$2:$E$70,5,FALSE)</f>
        <v>Trsf</v>
      </c>
      <c r="S3453" s="1" t="s">
        <v>3772</v>
      </c>
    </row>
    <row r="3454" spans="1:19" ht="16.25" customHeight="1" x14ac:dyDescent="0.35">
      <c r="A3454" s="4">
        <v>45631</v>
      </c>
      <c r="B3454" s="5">
        <f t="shared" si="872"/>
        <v>12</v>
      </c>
      <c r="C3454" s="5">
        <f t="shared" si="873"/>
        <v>2024</v>
      </c>
      <c r="D3454" s="5" t="s">
        <v>3216</v>
      </c>
      <c r="E3454" s="5" t="str">
        <f>VLOOKUP(F3454,'Set up'!$A$2:$C$70,2,FALSE)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up'!$A$2:$C$70,3,FALSE)</f>
        <v>Cash</v>
      </c>
      <c r="J3454" s="5">
        <f>VLOOKUP(F3454,'Set up'!$A$2:$D$70,4,FALSE)</f>
        <v>0</v>
      </c>
      <c r="K3454" s="4">
        <f t="shared" si="884"/>
        <v>45631</v>
      </c>
      <c r="L3454" s="5">
        <f t="shared" si="885"/>
        <v>12</v>
      </c>
      <c r="M3454" s="5">
        <f t="shared" si="886"/>
        <v>2024</v>
      </c>
      <c r="N3454" s="12">
        <v>3480</v>
      </c>
      <c r="O3454" s="6">
        <f t="shared" ref="O3454:O3457" si="893">-N3454</f>
        <v>-3480</v>
      </c>
      <c r="P3454" s="12">
        <f t="shared" si="892"/>
        <v>0</v>
      </c>
      <c r="Q3454" s="7">
        <v>5709498.25</v>
      </c>
      <c r="R3454" s="44" t="str">
        <f>VLOOKUP(F3454,'Set up'!$A$2:$E$70,5,FALSE)</f>
        <v>Trsf</v>
      </c>
      <c r="S3454" s="1" t="s">
        <v>3773</v>
      </c>
    </row>
    <row r="3455" spans="1:19" ht="16.25" customHeight="1" x14ac:dyDescent="0.35">
      <c r="A3455" s="4">
        <v>45631</v>
      </c>
      <c r="B3455" s="5">
        <f t="shared" si="872"/>
        <v>12</v>
      </c>
      <c r="C3455" s="5">
        <f t="shared" si="873"/>
        <v>2024</v>
      </c>
      <c r="D3455" s="5" t="s">
        <v>3216</v>
      </c>
      <c r="E3455" s="5" t="str">
        <f>VLOOKUP(F3455,'Set up'!$A$2:$C$70,2,FALSE)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up'!$A$2:$C$70,3,FALSE)</f>
        <v>Cash</v>
      </c>
      <c r="J3455" s="5">
        <f>VLOOKUP(F3455,'Set up'!$A$2:$D$70,4,FALSE)</f>
        <v>0</v>
      </c>
      <c r="K3455" s="4">
        <f t="shared" si="884"/>
        <v>45631</v>
      </c>
      <c r="L3455" s="5">
        <f t="shared" si="885"/>
        <v>12</v>
      </c>
      <c r="M3455" s="5">
        <f t="shared" si="886"/>
        <v>2024</v>
      </c>
      <c r="N3455" s="12">
        <v>2862</v>
      </c>
      <c r="O3455" s="6">
        <f t="shared" si="893"/>
        <v>-2862</v>
      </c>
      <c r="P3455" s="12">
        <f t="shared" si="892"/>
        <v>0</v>
      </c>
      <c r="Q3455" s="7">
        <v>5712360.25</v>
      </c>
      <c r="R3455" s="44" t="str">
        <f>VLOOKUP(F3455,'Set up'!$A$2:$E$70,5,FALSE)</f>
        <v>Trsf</v>
      </c>
      <c r="S3455" s="1" t="s">
        <v>3774</v>
      </c>
    </row>
    <row r="3456" spans="1:19" ht="16.25" customHeight="1" x14ac:dyDescent="0.35">
      <c r="A3456" s="4">
        <v>45631</v>
      </c>
      <c r="B3456" s="5">
        <f t="shared" si="872"/>
        <v>12</v>
      </c>
      <c r="C3456" s="5">
        <f t="shared" si="873"/>
        <v>2024</v>
      </c>
      <c r="D3456" s="5" t="s">
        <v>3216</v>
      </c>
      <c r="E3456" s="5" t="str">
        <f>VLOOKUP(F3456,'Set up'!$A$2:$C$70,2,FALSE)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up'!$A$2:$C$70,3,FALSE)</f>
        <v>Cash</v>
      </c>
      <c r="J3456" s="5">
        <f>VLOOKUP(F3456,'Set up'!$A$2:$D$70,4,FALSE)</f>
        <v>0</v>
      </c>
      <c r="K3456" s="4">
        <f t="shared" si="884"/>
        <v>45631</v>
      </c>
      <c r="L3456" s="5">
        <f t="shared" si="885"/>
        <v>12</v>
      </c>
      <c r="M3456" s="5">
        <f t="shared" si="886"/>
        <v>2024</v>
      </c>
      <c r="N3456" s="12">
        <v>460</v>
      </c>
      <c r="O3456" s="6">
        <f t="shared" si="893"/>
        <v>-460</v>
      </c>
      <c r="P3456" s="12">
        <f t="shared" si="892"/>
        <v>0</v>
      </c>
      <c r="Q3456" s="7">
        <v>5712820.25</v>
      </c>
      <c r="R3456" s="44" t="str">
        <f>VLOOKUP(F3456,'Set up'!$A$2:$E$70,5,FALSE)</f>
        <v>Trsf</v>
      </c>
      <c r="S3456" s="1" t="s">
        <v>3775</v>
      </c>
    </row>
    <row r="3457" spans="1:19" ht="16.25" customHeight="1" x14ac:dyDescent="0.35">
      <c r="A3457" s="4">
        <v>45631</v>
      </c>
      <c r="B3457" s="5">
        <f t="shared" si="872"/>
        <v>12</v>
      </c>
      <c r="C3457" s="5">
        <f t="shared" si="873"/>
        <v>2024</v>
      </c>
      <c r="D3457" s="5" t="s">
        <v>3216</v>
      </c>
      <c r="E3457" s="5" t="str">
        <f>VLOOKUP(F3457,'Set up'!$A$2:$C$70,2,FALSE)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up'!$A$2:$C$70,3,FALSE)</f>
        <v>Cash</v>
      </c>
      <c r="J3457" s="5">
        <f>VLOOKUP(F3457,'Set up'!$A$2:$D$70,4,FALSE)</f>
        <v>0</v>
      </c>
      <c r="K3457" s="4">
        <f t="shared" si="884"/>
        <v>45631</v>
      </c>
      <c r="L3457" s="5">
        <f t="shared" si="885"/>
        <v>12</v>
      </c>
      <c r="M3457" s="5">
        <f t="shared" si="886"/>
        <v>2024</v>
      </c>
      <c r="N3457" s="12">
        <v>2000</v>
      </c>
      <c r="O3457" s="6">
        <f t="shared" si="893"/>
        <v>-2000</v>
      </c>
      <c r="P3457" s="12">
        <f t="shared" si="892"/>
        <v>0</v>
      </c>
      <c r="Q3457" s="7">
        <v>5714820.25</v>
      </c>
      <c r="R3457" s="44" t="str">
        <f>VLOOKUP(F3457,'Set up'!$A$2:$E$70,5,FALSE)</f>
        <v>Trsf</v>
      </c>
      <c r="S3457" s="1" t="s">
        <v>3776</v>
      </c>
    </row>
    <row r="3458" spans="1:19" ht="16.25" customHeight="1" x14ac:dyDescent="0.35">
      <c r="A3458" s="4">
        <v>45633</v>
      </c>
      <c r="B3458" s="5">
        <f t="shared" si="872"/>
        <v>12</v>
      </c>
      <c r="C3458" s="5">
        <f t="shared" si="873"/>
        <v>2024</v>
      </c>
      <c r="D3458" s="5" t="s">
        <v>3218</v>
      </c>
      <c r="E3458" s="5" t="str">
        <f>VLOOKUP(F3458,'Set up'!$A$2:$C$70,2,FALSE)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up'!$A$2:$C$70,3,FALSE)</f>
        <v>Cash</v>
      </c>
      <c r="J3458" s="5">
        <f>VLOOKUP(F3458,'Set up'!$A$2:$D$70,4,FALSE)</f>
        <v>0</v>
      </c>
      <c r="K3458" s="4">
        <f t="shared" si="884"/>
        <v>45633</v>
      </c>
      <c r="L3458" s="5">
        <f t="shared" si="885"/>
        <v>12</v>
      </c>
      <c r="M3458" s="5">
        <f t="shared" si="886"/>
        <v>2024</v>
      </c>
      <c r="N3458" s="12">
        <v>1755</v>
      </c>
      <c r="O3458" s="12"/>
      <c r="P3458" s="12">
        <f t="shared" si="892"/>
        <v>1755</v>
      </c>
      <c r="Q3458" s="7">
        <v>5716575.25</v>
      </c>
      <c r="R3458" s="44" t="str">
        <f>VLOOKUP(F3458,'Set up'!$A$2:$E$70,5,FALSE)</f>
        <v>Trsf</v>
      </c>
    </row>
    <row r="3459" spans="1:19" ht="16.25" customHeight="1" x14ac:dyDescent="0.35">
      <c r="A3459" s="4">
        <v>45633</v>
      </c>
      <c r="B3459" s="5">
        <f t="shared" ref="B3459:B3522" si="894">MONTH(A3459)</f>
        <v>12</v>
      </c>
      <c r="C3459" s="5">
        <f t="shared" ref="C3459:C3522" si="895">YEAR(A3459)</f>
        <v>2024</v>
      </c>
      <c r="D3459" s="5" t="s">
        <v>3218</v>
      </c>
      <c r="E3459" s="5" t="str">
        <f>VLOOKUP(F3459,'Set up'!$A$2:$C$70,2,FALSE)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up'!$A$2:$C$70,3,FALSE)</f>
        <v>Cash</v>
      </c>
      <c r="J3459" s="5">
        <f>VLOOKUP(F3459,'Set up'!$A$2:$D$70,4,FALSE)</f>
        <v>0</v>
      </c>
      <c r="K3459" s="4">
        <f t="shared" si="884"/>
        <v>45633</v>
      </c>
      <c r="L3459" s="5">
        <f t="shared" si="885"/>
        <v>12</v>
      </c>
      <c r="M3459" s="5">
        <f t="shared" si="886"/>
        <v>2024</v>
      </c>
      <c r="N3459" s="12">
        <v>405</v>
      </c>
      <c r="O3459" s="12"/>
      <c r="P3459" s="12">
        <f t="shared" si="892"/>
        <v>405</v>
      </c>
      <c r="Q3459" s="7">
        <v>5716980.25</v>
      </c>
      <c r="R3459" s="44" t="str">
        <f>VLOOKUP(F3459,'Set up'!$A$2:$E$70,5,FALSE)</f>
        <v>Trsf</v>
      </c>
    </row>
    <row r="3460" spans="1:19" ht="16.25" customHeight="1" x14ac:dyDescent="0.35">
      <c r="A3460" s="4">
        <v>45633</v>
      </c>
      <c r="B3460" s="5">
        <f t="shared" si="894"/>
        <v>12</v>
      </c>
      <c r="C3460" s="5">
        <f t="shared" si="895"/>
        <v>2024</v>
      </c>
      <c r="D3460" s="5" t="s">
        <v>3218</v>
      </c>
      <c r="E3460" s="5" t="str">
        <f>VLOOKUP(F3460,'Set up'!$A$2:$C$70,2,FALSE)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up'!$A$2:$C$70,3,FALSE)</f>
        <v>Cash</v>
      </c>
      <c r="J3460" s="5">
        <f>VLOOKUP(F3460,'Set up'!$A$2:$D$70,4,FALSE)</f>
        <v>0</v>
      </c>
      <c r="K3460" s="4">
        <f t="shared" si="884"/>
        <v>45633</v>
      </c>
      <c r="L3460" s="5">
        <f t="shared" si="885"/>
        <v>12</v>
      </c>
      <c r="M3460" s="5">
        <f t="shared" si="886"/>
        <v>2024</v>
      </c>
      <c r="N3460" s="12">
        <v>110</v>
      </c>
      <c r="O3460" s="12"/>
      <c r="P3460" s="12">
        <f t="shared" si="892"/>
        <v>110</v>
      </c>
      <c r="Q3460" s="7">
        <v>5717090.25</v>
      </c>
      <c r="R3460" s="44" t="str">
        <f>VLOOKUP(F3460,'Set up'!$A$2:$E$70,5,FALSE)</f>
        <v>Trsf</v>
      </c>
    </row>
    <row r="3461" spans="1:19" ht="16.25" customHeight="1" x14ac:dyDescent="0.35">
      <c r="A3461" s="4">
        <v>45633</v>
      </c>
      <c r="B3461" s="5">
        <f t="shared" si="894"/>
        <v>12</v>
      </c>
      <c r="C3461" s="5">
        <f t="shared" si="895"/>
        <v>2024</v>
      </c>
      <c r="D3461" s="5" t="s">
        <v>3218</v>
      </c>
      <c r="E3461" s="5" t="str">
        <f>VLOOKUP(F3461,'Set up'!$A$2:$C$70,2,FALSE)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up'!$A$2:$C$70,3,FALSE)</f>
        <v>Cash</v>
      </c>
      <c r="J3461" s="5">
        <f>VLOOKUP(F3461,'Set up'!$A$2:$D$70,4,FALSE)</f>
        <v>0</v>
      </c>
      <c r="K3461" s="4">
        <f t="shared" si="884"/>
        <v>45633</v>
      </c>
      <c r="L3461" s="5">
        <f t="shared" si="885"/>
        <v>12</v>
      </c>
      <c r="M3461" s="5">
        <f t="shared" si="886"/>
        <v>2024</v>
      </c>
      <c r="N3461" s="12">
        <v>390</v>
      </c>
      <c r="O3461" s="12"/>
      <c r="P3461" s="12">
        <f t="shared" si="892"/>
        <v>390</v>
      </c>
      <c r="Q3461" s="7">
        <v>5717480.25</v>
      </c>
      <c r="R3461" s="44" t="str">
        <f>VLOOKUP(F3461,'Set up'!$A$2:$E$70,5,FALSE)</f>
        <v>Trsf</v>
      </c>
    </row>
    <row r="3462" spans="1:19" ht="16.25" customHeight="1" x14ac:dyDescent="0.35">
      <c r="A3462" s="4">
        <v>45633</v>
      </c>
      <c r="B3462" s="5">
        <f t="shared" si="894"/>
        <v>12</v>
      </c>
      <c r="C3462" s="5">
        <f t="shared" si="895"/>
        <v>2024</v>
      </c>
      <c r="D3462" s="5" t="s">
        <v>3218</v>
      </c>
      <c r="E3462" s="5" t="str">
        <f>VLOOKUP(F3462,'Set up'!$A$2:$C$70,2,FALSE)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up'!$A$2:$C$70,3,FALSE)</f>
        <v>Cash</v>
      </c>
      <c r="J3462" s="5">
        <f>VLOOKUP(F3462,'Set up'!$A$2:$D$70,4,FALSE)</f>
        <v>0</v>
      </c>
      <c r="K3462" s="4">
        <f t="shared" si="884"/>
        <v>45633</v>
      </c>
      <c r="L3462" s="5">
        <f t="shared" si="885"/>
        <v>12</v>
      </c>
      <c r="M3462" s="5">
        <f t="shared" si="886"/>
        <v>2024</v>
      </c>
      <c r="N3462" s="12">
        <v>187.5</v>
      </c>
      <c r="O3462" s="12"/>
      <c r="P3462" s="12">
        <f t="shared" si="892"/>
        <v>187.5</v>
      </c>
      <c r="Q3462" s="7">
        <v>5717667.75</v>
      </c>
      <c r="R3462" s="44" t="str">
        <f>VLOOKUP(F3462,'Set up'!$A$2:$E$70,5,FALSE)</f>
        <v>Trsf</v>
      </c>
    </row>
    <row r="3463" spans="1:19" ht="16.25" customHeight="1" x14ac:dyDescent="0.35">
      <c r="A3463" s="4">
        <v>45633</v>
      </c>
      <c r="B3463" s="5">
        <f t="shared" si="894"/>
        <v>12</v>
      </c>
      <c r="C3463" s="5">
        <f t="shared" si="895"/>
        <v>2024</v>
      </c>
      <c r="D3463" s="5" t="s">
        <v>3219</v>
      </c>
      <c r="E3463" s="5" t="str">
        <f>VLOOKUP(F3463,'Set up'!$A$2:$C$70,2,FALSE)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up'!$A$2:$C$70,3,FALSE)</f>
        <v>120</v>
      </c>
      <c r="J3463" s="5">
        <f>VLOOKUP(F3463,'Set up'!$A$2:$D$70,4,FALSE)</f>
        <v>120</v>
      </c>
      <c r="K3463" s="4">
        <f t="shared" si="884"/>
        <v>45753</v>
      </c>
      <c r="L3463" s="5">
        <f t="shared" si="885"/>
        <v>4</v>
      </c>
      <c r="M3463" s="5">
        <f t="shared" si="886"/>
        <v>2025</v>
      </c>
      <c r="N3463" s="12">
        <v>16200</v>
      </c>
      <c r="O3463" s="6">
        <f t="shared" ref="O3463:O3469" si="896">-N3463</f>
        <v>-16200</v>
      </c>
      <c r="P3463" s="12">
        <f t="shared" si="892"/>
        <v>0</v>
      </c>
      <c r="Q3463" s="7">
        <v>5733867.75</v>
      </c>
      <c r="R3463" s="44" t="str">
        <f>VLOOKUP(F3463,'Set up'!$A$2:$E$70,5,FALSE)</f>
        <v>Trsf</v>
      </c>
      <c r="S3463" s="1" t="s">
        <v>3830</v>
      </c>
    </row>
    <row r="3464" spans="1:19" ht="16.25" customHeight="1" x14ac:dyDescent="0.35">
      <c r="A3464" s="4">
        <v>45633</v>
      </c>
      <c r="B3464" s="5">
        <f t="shared" si="894"/>
        <v>12</v>
      </c>
      <c r="C3464" s="5">
        <f t="shared" si="895"/>
        <v>2024</v>
      </c>
      <c r="D3464" s="5" t="s">
        <v>3219</v>
      </c>
      <c r="E3464" s="5" t="str">
        <f>VLOOKUP(F3464,'Set up'!$A$2:$C$70,2,FALSE)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up'!$A$2:$C$70,3,FALSE)</f>
        <v>120</v>
      </c>
      <c r="J3464" s="5">
        <f>VLOOKUP(F3464,'Set up'!$A$2:$D$70,4,FALSE)</f>
        <v>120</v>
      </c>
      <c r="K3464" s="4">
        <f t="shared" si="884"/>
        <v>45753</v>
      </c>
      <c r="L3464" s="5">
        <f t="shared" si="885"/>
        <v>4</v>
      </c>
      <c r="M3464" s="5">
        <f t="shared" si="886"/>
        <v>2025</v>
      </c>
      <c r="N3464" s="12">
        <v>2610</v>
      </c>
      <c r="O3464" s="6">
        <f t="shared" si="896"/>
        <v>-2610</v>
      </c>
      <c r="P3464" s="12">
        <f t="shared" si="892"/>
        <v>0</v>
      </c>
      <c r="Q3464" s="7">
        <v>5736477.75</v>
      </c>
      <c r="R3464" s="44" t="str">
        <f>VLOOKUP(F3464,'Set up'!$A$2:$E$70,5,FALSE)</f>
        <v>Trsf</v>
      </c>
      <c r="S3464" s="1" t="s">
        <v>3830</v>
      </c>
    </row>
    <row r="3465" spans="1:19" ht="16.25" customHeight="1" x14ac:dyDescent="0.35">
      <c r="A3465" s="4">
        <v>45633</v>
      </c>
      <c r="B3465" s="5">
        <f t="shared" si="894"/>
        <v>12</v>
      </c>
      <c r="C3465" s="5">
        <f t="shared" si="895"/>
        <v>2024</v>
      </c>
      <c r="D3465" s="5" t="s">
        <v>3219</v>
      </c>
      <c r="E3465" s="5" t="str">
        <f>VLOOKUP(F3465,'Set up'!$A$2:$C$70,2,FALSE)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up'!$A$2:$C$70,3,FALSE)</f>
        <v>120</v>
      </c>
      <c r="J3465" s="5">
        <f>VLOOKUP(F3465,'Set up'!$A$2:$D$70,4,FALSE)</f>
        <v>120</v>
      </c>
      <c r="K3465" s="4">
        <f t="shared" si="884"/>
        <v>45753</v>
      </c>
      <c r="L3465" s="5">
        <f t="shared" si="885"/>
        <v>4</v>
      </c>
      <c r="M3465" s="5">
        <f t="shared" si="886"/>
        <v>2025</v>
      </c>
      <c r="N3465" s="12">
        <v>575</v>
      </c>
      <c r="O3465" s="6">
        <f t="shared" si="896"/>
        <v>-575</v>
      </c>
      <c r="P3465" s="12">
        <f t="shared" si="892"/>
        <v>0</v>
      </c>
      <c r="Q3465" s="7">
        <v>5737052.75</v>
      </c>
      <c r="R3465" s="44" t="str">
        <f>VLOOKUP(F3465,'Set up'!$A$2:$E$70,5,FALSE)</f>
        <v>Trsf</v>
      </c>
      <c r="S3465" s="1" t="s">
        <v>3830</v>
      </c>
    </row>
    <row r="3466" spans="1:19" ht="16.25" customHeight="1" x14ac:dyDescent="0.35">
      <c r="A3466" s="4">
        <v>45633</v>
      </c>
      <c r="B3466" s="5">
        <f t="shared" si="894"/>
        <v>12</v>
      </c>
      <c r="C3466" s="5">
        <f t="shared" si="895"/>
        <v>2024</v>
      </c>
      <c r="D3466" s="5" t="s">
        <v>3219</v>
      </c>
      <c r="E3466" s="5" t="str">
        <f>VLOOKUP(F3466,'Set up'!$A$2:$C$70,2,FALSE)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up'!$A$2:$C$70,3,FALSE)</f>
        <v>120</v>
      </c>
      <c r="J3466" s="5">
        <f>VLOOKUP(F3466,'Set up'!$A$2:$D$70,4,FALSE)</f>
        <v>120</v>
      </c>
      <c r="K3466" s="4">
        <f t="shared" si="884"/>
        <v>45753</v>
      </c>
      <c r="L3466" s="5">
        <f t="shared" si="885"/>
        <v>4</v>
      </c>
      <c r="M3466" s="5">
        <f t="shared" si="886"/>
        <v>2025</v>
      </c>
      <c r="N3466" s="12">
        <v>1320</v>
      </c>
      <c r="O3466" s="6">
        <f t="shared" si="896"/>
        <v>-1320</v>
      </c>
      <c r="P3466" s="12">
        <f t="shared" si="892"/>
        <v>0</v>
      </c>
      <c r="Q3466" s="7">
        <v>5738372.75</v>
      </c>
      <c r="R3466" s="44" t="str">
        <f>VLOOKUP(F3466,'Set up'!$A$2:$E$70,5,FALSE)</f>
        <v>Trsf</v>
      </c>
      <c r="S3466" s="1" t="s">
        <v>3830</v>
      </c>
    </row>
    <row r="3467" spans="1:19" ht="16.25" customHeight="1" x14ac:dyDescent="0.35">
      <c r="A3467" s="4">
        <v>45633</v>
      </c>
      <c r="B3467" s="5">
        <f t="shared" si="894"/>
        <v>12</v>
      </c>
      <c r="C3467" s="5">
        <f t="shared" si="895"/>
        <v>2024</v>
      </c>
      <c r="D3467" s="5" t="s">
        <v>3219</v>
      </c>
      <c r="E3467" s="5" t="str">
        <f>VLOOKUP(F3467,'Set up'!$A$2:$C$70,2,FALSE)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up'!$A$2:$C$70,3,FALSE)</f>
        <v>120</v>
      </c>
      <c r="J3467" s="5">
        <f>VLOOKUP(F3467,'Set up'!$A$2:$D$70,4,FALSE)</f>
        <v>120</v>
      </c>
      <c r="K3467" s="4">
        <f t="shared" si="884"/>
        <v>45753</v>
      </c>
      <c r="L3467" s="5">
        <f t="shared" si="885"/>
        <v>4</v>
      </c>
      <c r="M3467" s="5">
        <f t="shared" si="886"/>
        <v>2025</v>
      </c>
      <c r="N3467" s="12">
        <v>230.4</v>
      </c>
      <c r="O3467" s="6">
        <f t="shared" si="896"/>
        <v>-230.4</v>
      </c>
      <c r="P3467" s="12">
        <f t="shared" si="892"/>
        <v>0</v>
      </c>
      <c r="Q3467" s="7">
        <v>5738603.1500000004</v>
      </c>
      <c r="R3467" s="44" t="str">
        <f>VLOOKUP(F3467,'Set up'!$A$2:$E$70,5,FALSE)</f>
        <v>Trsf</v>
      </c>
      <c r="S3467" s="1" t="s">
        <v>3830</v>
      </c>
    </row>
    <row r="3468" spans="1:19" ht="16.25" customHeight="1" x14ac:dyDescent="0.35">
      <c r="A3468" s="4">
        <v>45633</v>
      </c>
      <c r="B3468" s="5">
        <f t="shared" si="894"/>
        <v>12</v>
      </c>
      <c r="C3468" s="5">
        <f t="shared" si="895"/>
        <v>2024</v>
      </c>
      <c r="D3468" s="5" t="s">
        <v>3219</v>
      </c>
      <c r="E3468" s="5" t="str">
        <f>VLOOKUP(F3468,'Set up'!$A$2:$C$70,2,FALSE)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up'!$A$2:$C$70,3,FALSE)</f>
        <v>120</v>
      </c>
      <c r="J3468" s="5">
        <f>VLOOKUP(F3468,'Set up'!$A$2:$D$70,4,FALSE)</f>
        <v>120</v>
      </c>
      <c r="K3468" s="4">
        <f t="shared" si="884"/>
        <v>45753</v>
      </c>
      <c r="L3468" s="5">
        <f t="shared" si="885"/>
        <v>4</v>
      </c>
      <c r="M3468" s="5">
        <f t="shared" si="886"/>
        <v>2025</v>
      </c>
      <c r="N3468" s="12">
        <v>420</v>
      </c>
      <c r="O3468" s="6">
        <f t="shared" si="896"/>
        <v>-420</v>
      </c>
      <c r="P3468" s="12">
        <f t="shared" si="892"/>
        <v>0</v>
      </c>
      <c r="Q3468" s="7">
        <v>5739023.1500000004</v>
      </c>
      <c r="R3468" s="44" t="str">
        <f>VLOOKUP(F3468,'Set up'!$A$2:$E$70,5,FALSE)</f>
        <v>Trsf</v>
      </c>
      <c r="S3468" s="1" t="s">
        <v>3830</v>
      </c>
    </row>
    <row r="3469" spans="1:19" ht="16.25" customHeight="1" x14ac:dyDescent="0.35">
      <c r="A3469" s="4">
        <v>45633</v>
      </c>
      <c r="B3469" s="5">
        <f t="shared" si="894"/>
        <v>12</v>
      </c>
      <c r="C3469" s="5">
        <f t="shared" si="895"/>
        <v>2024</v>
      </c>
      <c r="D3469" s="5" t="s">
        <v>3219</v>
      </c>
      <c r="E3469" s="5" t="str">
        <f>VLOOKUP(F3469,'Set up'!$A$2:$C$70,2,FALSE)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up'!$A$2:$C$70,3,FALSE)</f>
        <v>120</v>
      </c>
      <c r="J3469" s="5">
        <f>VLOOKUP(F3469,'Set up'!$A$2:$D$70,4,FALSE)</f>
        <v>120</v>
      </c>
      <c r="K3469" s="4">
        <f t="shared" si="884"/>
        <v>45753</v>
      </c>
      <c r="L3469" s="5">
        <f t="shared" si="885"/>
        <v>4</v>
      </c>
      <c r="M3469" s="5">
        <f t="shared" si="886"/>
        <v>2025</v>
      </c>
      <c r="N3469" s="12">
        <v>0</v>
      </c>
      <c r="O3469" s="6">
        <f t="shared" si="896"/>
        <v>0</v>
      </c>
      <c r="P3469" s="12">
        <f t="shared" si="892"/>
        <v>0</v>
      </c>
      <c r="Q3469" s="7">
        <v>5739023.1500000004</v>
      </c>
      <c r="R3469" s="44" t="str">
        <f>VLOOKUP(F3469,'Set up'!$A$2:$E$70,5,FALSE)</f>
        <v>Trsf</v>
      </c>
      <c r="S3469" s="1" t="s">
        <v>3830</v>
      </c>
    </row>
    <row r="3470" spans="1:19" ht="16.25" customHeight="1" x14ac:dyDescent="0.35">
      <c r="A3470" s="4">
        <v>45633</v>
      </c>
      <c r="B3470" s="5">
        <f t="shared" si="894"/>
        <v>12</v>
      </c>
      <c r="C3470" s="5">
        <f t="shared" si="895"/>
        <v>2024</v>
      </c>
      <c r="D3470" s="5" t="s">
        <v>3221</v>
      </c>
      <c r="E3470" s="5" t="str">
        <f>VLOOKUP(F3470,'Set up'!$A$2:$C$70,2,FALSE)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up'!$A$2:$C$70,3,FALSE)</f>
        <v>Cash</v>
      </c>
      <c r="J3470" s="5">
        <f>VLOOKUP(F3470,'Set up'!$A$2:$D$70,4,FALSE)</f>
        <v>0</v>
      </c>
      <c r="K3470" s="4">
        <f t="shared" si="884"/>
        <v>45633</v>
      </c>
      <c r="L3470" s="5">
        <f t="shared" si="885"/>
        <v>12</v>
      </c>
      <c r="M3470" s="5">
        <f t="shared" si="886"/>
        <v>2024</v>
      </c>
      <c r="N3470" s="12">
        <v>1755</v>
      </c>
      <c r="O3470" s="6">
        <f t="shared" ref="O3470:O3474" si="897">-N3470</f>
        <v>-1755</v>
      </c>
      <c r="P3470" s="12">
        <f t="shared" ref="P3470:P3474" si="898">SUM(N3470+O3470)</f>
        <v>0</v>
      </c>
      <c r="Q3470" s="7">
        <v>5740778.1500000004</v>
      </c>
      <c r="R3470" s="44" t="str">
        <f>VLOOKUP(F3470,'Set up'!$A$2:$E$70,5,FALSE)</f>
        <v>Cash</v>
      </c>
      <c r="S3470" s="1" t="s">
        <v>3315</v>
      </c>
    </row>
    <row r="3471" spans="1:19" ht="16.25" customHeight="1" x14ac:dyDescent="0.35">
      <c r="A3471" s="4">
        <v>45633</v>
      </c>
      <c r="B3471" s="5">
        <f t="shared" si="894"/>
        <v>12</v>
      </c>
      <c r="C3471" s="5">
        <f t="shared" si="895"/>
        <v>2024</v>
      </c>
      <c r="D3471" s="5" t="s">
        <v>3221</v>
      </c>
      <c r="E3471" s="5" t="str">
        <f>VLOOKUP(F3471,'Set up'!$A$2:$C$70,2,FALSE)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up'!$A$2:$C$70,3,FALSE)</f>
        <v>Cash</v>
      </c>
      <c r="J3471" s="5">
        <f>VLOOKUP(F3471,'Set up'!$A$2:$D$70,4,FALSE)</f>
        <v>0</v>
      </c>
      <c r="K3471" s="4">
        <f t="shared" si="884"/>
        <v>45633</v>
      </c>
      <c r="L3471" s="5">
        <f t="shared" si="885"/>
        <v>12</v>
      </c>
      <c r="M3471" s="5">
        <f t="shared" si="886"/>
        <v>2024</v>
      </c>
      <c r="N3471" s="12">
        <v>555</v>
      </c>
      <c r="O3471" s="6">
        <f t="shared" si="897"/>
        <v>-555</v>
      </c>
      <c r="P3471" s="12">
        <f t="shared" si="898"/>
        <v>0</v>
      </c>
      <c r="Q3471" s="7">
        <v>5741333.1500000004</v>
      </c>
      <c r="R3471" s="44" t="str">
        <f>VLOOKUP(F3471,'Set up'!$A$2:$E$70,5,FALSE)</f>
        <v>Cash</v>
      </c>
      <c r="S3471" s="1" t="s">
        <v>3315</v>
      </c>
    </row>
    <row r="3472" spans="1:19" ht="16.25" customHeight="1" x14ac:dyDescent="0.35">
      <c r="A3472" s="4">
        <v>45633</v>
      </c>
      <c r="B3472" s="5">
        <f t="shared" si="894"/>
        <v>12</v>
      </c>
      <c r="C3472" s="5">
        <f t="shared" si="895"/>
        <v>2024</v>
      </c>
      <c r="D3472" s="5" t="s">
        <v>3221</v>
      </c>
      <c r="E3472" s="5" t="str">
        <f>VLOOKUP(F3472,'Set up'!$A$2:$C$70,2,FALSE)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up'!$A$2:$C$70,3,FALSE)</f>
        <v>Cash</v>
      </c>
      <c r="J3472" s="5">
        <f>VLOOKUP(F3472,'Set up'!$A$2:$D$70,4,FALSE)</f>
        <v>0</v>
      </c>
      <c r="K3472" s="4">
        <f t="shared" si="884"/>
        <v>45633</v>
      </c>
      <c r="L3472" s="5">
        <f t="shared" si="885"/>
        <v>12</v>
      </c>
      <c r="M3472" s="5">
        <f t="shared" si="886"/>
        <v>2024</v>
      </c>
      <c r="N3472" s="12">
        <v>95</v>
      </c>
      <c r="O3472" s="6">
        <f t="shared" si="897"/>
        <v>-95</v>
      </c>
      <c r="P3472" s="12">
        <f t="shared" si="898"/>
        <v>0</v>
      </c>
      <c r="Q3472" s="7">
        <v>5741428.1500000004</v>
      </c>
      <c r="R3472" s="44" t="str">
        <f>VLOOKUP(F3472,'Set up'!$A$2:$E$70,5,FALSE)</f>
        <v>Cash</v>
      </c>
      <c r="S3472" s="1" t="s">
        <v>3315</v>
      </c>
    </row>
    <row r="3473" spans="1:21" ht="16.25" customHeight="1" x14ac:dyDescent="0.35">
      <c r="A3473" s="4">
        <v>45633</v>
      </c>
      <c r="B3473" s="5">
        <f t="shared" si="894"/>
        <v>12</v>
      </c>
      <c r="C3473" s="5">
        <f t="shared" si="895"/>
        <v>2024</v>
      </c>
      <c r="D3473" s="5" t="s">
        <v>3221</v>
      </c>
      <c r="E3473" s="5" t="str">
        <f>VLOOKUP(F3473,'Set up'!$A$2:$C$70,2,FALSE)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up'!$A$2:$C$70,3,FALSE)</f>
        <v>Cash</v>
      </c>
      <c r="J3473" s="5">
        <f>VLOOKUP(F3473,'Set up'!$A$2:$D$70,4,FALSE)</f>
        <v>0</v>
      </c>
      <c r="K3473" s="4">
        <f t="shared" si="884"/>
        <v>45633</v>
      </c>
      <c r="L3473" s="5">
        <f t="shared" si="885"/>
        <v>12</v>
      </c>
      <c r="M3473" s="5">
        <f t="shared" si="886"/>
        <v>2024</v>
      </c>
      <c r="N3473" s="12">
        <v>312.5</v>
      </c>
      <c r="O3473" s="6">
        <f t="shared" si="897"/>
        <v>-312.5</v>
      </c>
      <c r="P3473" s="12">
        <f t="shared" si="898"/>
        <v>0</v>
      </c>
      <c r="Q3473" s="7">
        <v>5741740.6500000004</v>
      </c>
      <c r="R3473" s="44" t="str">
        <f>VLOOKUP(F3473,'Set up'!$A$2:$E$70,5,FALSE)</f>
        <v>Cash</v>
      </c>
      <c r="S3473" s="1" t="s">
        <v>3315</v>
      </c>
    </row>
    <row r="3474" spans="1:21" ht="16.25" customHeight="1" x14ac:dyDescent="0.35">
      <c r="A3474" s="4">
        <v>45633</v>
      </c>
      <c r="B3474" s="5">
        <f t="shared" si="894"/>
        <v>12</v>
      </c>
      <c r="C3474" s="5">
        <f t="shared" si="895"/>
        <v>2024</v>
      </c>
      <c r="D3474" s="5" t="s">
        <v>3222</v>
      </c>
      <c r="E3474" s="5" t="str">
        <f>VLOOKUP(F3474,'Set up'!$A$2:$C$70,2,FALSE)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up'!$A$2:$C$70,3,FALSE)</f>
        <v>Cash</v>
      </c>
      <c r="J3474" s="5">
        <f>VLOOKUP(F3474,'Set up'!$A$2:$D$70,4,FALSE)</f>
        <v>0</v>
      </c>
      <c r="K3474" s="4">
        <f t="shared" si="884"/>
        <v>45633</v>
      </c>
      <c r="L3474" s="5">
        <f t="shared" si="885"/>
        <v>12</v>
      </c>
      <c r="M3474" s="5">
        <f t="shared" si="886"/>
        <v>2024</v>
      </c>
      <c r="N3474" s="12">
        <v>975</v>
      </c>
      <c r="O3474" s="6">
        <f t="shared" si="897"/>
        <v>-975</v>
      </c>
      <c r="P3474" s="12">
        <f t="shared" si="898"/>
        <v>0</v>
      </c>
      <c r="Q3474" s="7">
        <v>5742715.6500000004</v>
      </c>
      <c r="R3474" s="44" t="str">
        <f>VLOOKUP(F3474,'Set up'!$A$2:$E$70,5,FALSE)</f>
        <v>Trsf</v>
      </c>
      <c r="S3474" s="1" t="s">
        <v>3777</v>
      </c>
    </row>
    <row r="3475" spans="1:21" ht="16.25" customHeight="1" x14ac:dyDescent="0.35">
      <c r="A3475" s="4" t="s">
        <v>3223</v>
      </c>
      <c r="B3475" s="5">
        <f t="shared" si="894"/>
        <v>12</v>
      </c>
      <c r="C3475" s="5">
        <f t="shared" si="895"/>
        <v>2024</v>
      </c>
      <c r="D3475" s="5" t="s">
        <v>3224</v>
      </c>
      <c r="E3475" s="5" t="str">
        <f>VLOOKUP(F3475,'Set up'!$A$2:$C$70,2,FALSE)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up'!$A$2:$C$70,3,FALSE)</f>
        <v>Cash</v>
      </c>
      <c r="J3475" s="5">
        <f>VLOOKUP(F3475,'Set up'!$A$2:$D$70,4,FALSE)</f>
        <v>0</v>
      </c>
      <c r="K3475" s="4">
        <f t="shared" si="884"/>
        <v>45636</v>
      </c>
      <c r="L3475" s="5">
        <f t="shared" si="885"/>
        <v>12</v>
      </c>
      <c r="M3475" s="5">
        <f t="shared" si="886"/>
        <v>2024</v>
      </c>
      <c r="N3475" s="12">
        <v>560</v>
      </c>
      <c r="O3475" s="6">
        <f>-N3475</f>
        <v>-560</v>
      </c>
      <c r="P3475" s="12">
        <f t="shared" ref="P3475:P3480" si="899">SUM(N3475+O3475)</f>
        <v>0</v>
      </c>
      <c r="Q3475" s="7">
        <v>5743275.6500000004</v>
      </c>
      <c r="R3475" s="44" t="str">
        <f>VLOOKUP(F3475,'Set up'!$A$2:$E$70,5,FALSE)</f>
        <v>Cash</v>
      </c>
      <c r="S3475" s="1" t="s">
        <v>3324</v>
      </c>
    </row>
    <row r="3476" spans="1:21" ht="16.25" customHeight="1" x14ac:dyDescent="0.35">
      <c r="A3476" s="4" t="s">
        <v>3223</v>
      </c>
      <c r="B3476" s="5">
        <f t="shared" si="894"/>
        <v>12</v>
      </c>
      <c r="C3476" s="5">
        <f t="shared" si="895"/>
        <v>2024</v>
      </c>
      <c r="D3476" s="5" t="s">
        <v>3224</v>
      </c>
      <c r="E3476" s="5" t="str">
        <f>VLOOKUP(F3476,'Set up'!$A$2:$C$70,2,FALSE)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up'!$A$2:$C$70,3,FALSE)</f>
        <v>Cash</v>
      </c>
      <c r="J3476" s="5">
        <f>VLOOKUP(F3476,'Set up'!$A$2:$D$70,4,FALSE)</f>
        <v>0</v>
      </c>
      <c r="K3476" s="4">
        <f t="shared" si="884"/>
        <v>45636</v>
      </c>
      <c r="L3476" s="5">
        <f t="shared" si="885"/>
        <v>12</v>
      </c>
      <c r="M3476" s="5">
        <f t="shared" si="886"/>
        <v>2024</v>
      </c>
      <c r="N3476" s="12">
        <v>260</v>
      </c>
      <c r="O3476" s="6">
        <f>-N3476</f>
        <v>-260</v>
      </c>
      <c r="P3476" s="12">
        <f t="shared" si="899"/>
        <v>0</v>
      </c>
      <c r="Q3476" s="7">
        <v>5743535.6500000004</v>
      </c>
      <c r="R3476" s="44" t="str">
        <f>VLOOKUP(F3476,'Set up'!$A$2:$E$70,5,FALSE)</f>
        <v>Cash</v>
      </c>
      <c r="S3476" s="1" t="s">
        <v>3324</v>
      </c>
    </row>
    <row r="3477" spans="1:21" ht="16.25" customHeight="1" x14ac:dyDescent="0.35">
      <c r="A3477" s="4" t="s">
        <v>3223</v>
      </c>
      <c r="B3477" s="5">
        <f t="shared" si="894"/>
        <v>12</v>
      </c>
      <c r="C3477" s="5">
        <f t="shared" si="895"/>
        <v>2024</v>
      </c>
      <c r="D3477" s="5" t="s">
        <v>3227</v>
      </c>
      <c r="E3477" s="5" t="str">
        <f>VLOOKUP(F3477,'Set up'!$A$2:$C$70,2,FALSE)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up'!$A$2:$C$70,3,FALSE)</f>
        <v>Cash</v>
      </c>
      <c r="J3477" s="5">
        <f>VLOOKUP(F3477,'Set up'!$A$2:$D$70,4,FALSE)</f>
        <v>0</v>
      </c>
      <c r="K3477" s="4">
        <f t="shared" si="884"/>
        <v>45636</v>
      </c>
      <c r="L3477" s="5">
        <f t="shared" si="885"/>
        <v>12</v>
      </c>
      <c r="M3477" s="5">
        <f t="shared" si="886"/>
        <v>2024</v>
      </c>
      <c r="N3477" s="12">
        <v>62.5</v>
      </c>
      <c r="O3477" s="6">
        <f t="shared" ref="O3477:O3480" si="900">-N3477</f>
        <v>-62.5</v>
      </c>
      <c r="P3477" s="12">
        <f t="shared" si="899"/>
        <v>0</v>
      </c>
      <c r="Q3477" s="7">
        <v>5743598.1500000004</v>
      </c>
      <c r="R3477" s="44" t="str">
        <f>VLOOKUP(F3477,'Set up'!$A$2:$E$70,5,FALSE)</f>
        <v>Trsf</v>
      </c>
      <c r="S3477" s="1" t="s">
        <v>3778</v>
      </c>
    </row>
    <row r="3478" spans="1:21" ht="16.25" customHeight="1" x14ac:dyDescent="0.35">
      <c r="A3478" s="4" t="s">
        <v>3223</v>
      </c>
      <c r="B3478" s="5">
        <f t="shared" si="894"/>
        <v>12</v>
      </c>
      <c r="C3478" s="5">
        <f t="shared" si="895"/>
        <v>2024</v>
      </c>
      <c r="D3478" s="5" t="s">
        <v>3228</v>
      </c>
      <c r="E3478" s="5" t="str">
        <f>VLOOKUP(F3478,'Set up'!$A$2:$C$70,2,FALSE)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up'!$A$2:$C$70,3,FALSE)</f>
        <v>Cash</v>
      </c>
      <c r="J3478" s="5">
        <f>VLOOKUP(F3478,'Set up'!$A$2:$D$70,4,FALSE)</f>
        <v>0</v>
      </c>
      <c r="K3478" s="4">
        <f t="shared" si="884"/>
        <v>45636</v>
      </c>
      <c r="L3478" s="5">
        <f t="shared" si="885"/>
        <v>12</v>
      </c>
      <c r="M3478" s="5">
        <f t="shared" si="886"/>
        <v>2024</v>
      </c>
      <c r="N3478" s="12">
        <v>3240</v>
      </c>
      <c r="O3478" s="6">
        <f t="shared" si="900"/>
        <v>-3240</v>
      </c>
      <c r="P3478" s="12">
        <f t="shared" si="899"/>
        <v>0</v>
      </c>
      <c r="Q3478" s="7">
        <v>5746838.1500000004</v>
      </c>
      <c r="R3478" s="44" t="str">
        <f>VLOOKUP(F3478,'Set up'!$A$2:$E$70,5,FALSE)</f>
        <v>Trsf</v>
      </c>
      <c r="S3478" s="1" t="s">
        <v>3779</v>
      </c>
    </row>
    <row r="3479" spans="1:21" ht="16.25" customHeight="1" x14ac:dyDescent="0.35">
      <c r="A3479" s="4" t="s">
        <v>3223</v>
      </c>
      <c r="B3479" s="5">
        <f t="shared" si="894"/>
        <v>12</v>
      </c>
      <c r="C3479" s="5">
        <f t="shared" si="895"/>
        <v>2024</v>
      </c>
      <c r="D3479" s="5" t="s">
        <v>3228</v>
      </c>
      <c r="E3479" s="5" t="str">
        <f>VLOOKUP(F3479,'Set up'!$A$2:$C$70,2,FALSE)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up'!$A$2:$C$70,3,FALSE)</f>
        <v>Cash</v>
      </c>
      <c r="J3479" s="5">
        <f>VLOOKUP(F3479,'Set up'!$A$2:$D$70,4,FALSE)</f>
        <v>0</v>
      </c>
      <c r="K3479" s="4">
        <f t="shared" si="884"/>
        <v>45636</v>
      </c>
      <c r="L3479" s="5">
        <f t="shared" si="885"/>
        <v>12</v>
      </c>
      <c r="M3479" s="5">
        <f t="shared" si="886"/>
        <v>2024</v>
      </c>
      <c r="N3479" s="12">
        <v>1192.5</v>
      </c>
      <c r="O3479" s="6">
        <f t="shared" si="900"/>
        <v>-1192.5</v>
      </c>
      <c r="P3479" s="12">
        <f t="shared" si="899"/>
        <v>0</v>
      </c>
      <c r="Q3479" s="7">
        <v>5748030.6500000004</v>
      </c>
      <c r="R3479" s="44" t="str">
        <f>VLOOKUP(F3479,'Set up'!$A$2:$E$70,5,FALSE)</f>
        <v>Trsf</v>
      </c>
      <c r="S3479" s="1" t="s">
        <v>3780</v>
      </c>
    </row>
    <row r="3480" spans="1:21" ht="16.25" customHeight="1" x14ac:dyDescent="0.35">
      <c r="A3480" s="4" t="s">
        <v>3223</v>
      </c>
      <c r="B3480" s="5">
        <f t="shared" si="894"/>
        <v>12</v>
      </c>
      <c r="C3480" s="5">
        <f t="shared" si="895"/>
        <v>2024</v>
      </c>
      <c r="D3480" s="5" t="s">
        <v>3228</v>
      </c>
      <c r="E3480" s="5" t="str">
        <f>VLOOKUP(F3480,'Set up'!$A$2:$C$70,2,FALSE)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up'!$A$2:$C$70,3,FALSE)</f>
        <v>Cash</v>
      </c>
      <c r="J3480" s="5">
        <f>VLOOKUP(F3480,'Set up'!$A$2:$D$70,4,FALSE)</f>
        <v>0</v>
      </c>
      <c r="K3480" s="4">
        <f t="shared" si="884"/>
        <v>45636</v>
      </c>
      <c r="L3480" s="5">
        <f t="shared" si="885"/>
        <v>12</v>
      </c>
      <c r="M3480" s="5">
        <f t="shared" si="886"/>
        <v>2024</v>
      </c>
      <c r="N3480" s="12">
        <v>460</v>
      </c>
      <c r="O3480" s="6">
        <f t="shared" si="900"/>
        <v>-460</v>
      </c>
      <c r="P3480" s="12">
        <f t="shared" si="899"/>
        <v>0</v>
      </c>
      <c r="Q3480" s="7">
        <v>5748490.6500000004</v>
      </c>
      <c r="R3480" s="44" t="str">
        <f>VLOOKUP(F3480,'Set up'!$A$2:$E$70,5,FALSE)</f>
        <v>Trsf</v>
      </c>
      <c r="S3480" s="1" t="s">
        <v>3775</v>
      </c>
    </row>
    <row r="3481" spans="1:21" ht="16.25" customHeight="1" x14ac:dyDescent="0.35">
      <c r="A3481" s="4" t="s">
        <v>3223</v>
      </c>
      <c r="B3481" s="5">
        <f t="shared" si="894"/>
        <v>12</v>
      </c>
      <c r="C3481" s="5">
        <f t="shared" si="895"/>
        <v>2024</v>
      </c>
      <c r="D3481" s="5" t="s">
        <v>3229</v>
      </c>
      <c r="E3481" s="5" t="str">
        <f>VLOOKUP(F3481,'Set up'!$A$2:$C$70,2,FALSE)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up'!$A$2:$C$70,3,FALSE)</f>
        <v>Cash</v>
      </c>
      <c r="J3481" s="5">
        <f>VLOOKUP(F3481,'Set up'!$A$2:$D$70,4,FALSE)</f>
        <v>0</v>
      </c>
      <c r="K3481" s="4">
        <f t="shared" si="884"/>
        <v>45636</v>
      </c>
      <c r="L3481" s="5">
        <f t="shared" si="885"/>
        <v>12</v>
      </c>
      <c r="M3481" s="5">
        <f t="shared" si="886"/>
        <v>2024</v>
      </c>
      <c r="N3481" s="12">
        <v>325</v>
      </c>
      <c r="O3481" s="6">
        <f>-N3481</f>
        <v>-325</v>
      </c>
      <c r="P3481" s="12">
        <f t="shared" ref="P3481:P3484" si="901">SUM(N3481+O3481)</f>
        <v>0</v>
      </c>
      <c r="Q3481" s="7">
        <v>5748815.6500000004</v>
      </c>
      <c r="R3481" s="44" t="str">
        <f>VLOOKUP(F3481,'Set up'!$A$2:$E$70,5,FALSE)</f>
        <v>Cash</v>
      </c>
      <c r="S3481" s="1" t="s">
        <v>3319</v>
      </c>
    </row>
    <row r="3482" spans="1:21" ht="16.25" customHeight="1" x14ac:dyDescent="0.35">
      <c r="A3482" s="4" t="s">
        <v>3223</v>
      </c>
      <c r="B3482" s="5">
        <f t="shared" si="894"/>
        <v>12</v>
      </c>
      <c r="C3482" s="5">
        <f t="shared" si="895"/>
        <v>2024</v>
      </c>
      <c r="D3482" s="5" t="s">
        <v>3229</v>
      </c>
      <c r="E3482" s="5" t="str">
        <f>VLOOKUP(F3482,'Set up'!$A$2:$C$70,2,FALSE)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up'!$A$2:$C$70,3,FALSE)</f>
        <v>Cash</v>
      </c>
      <c r="J3482" s="5">
        <f>VLOOKUP(F3482,'Set up'!$A$2:$D$70,4,FALSE)</f>
        <v>0</v>
      </c>
      <c r="K3482" s="4">
        <f t="shared" si="884"/>
        <v>45636</v>
      </c>
      <c r="L3482" s="5">
        <f t="shared" si="885"/>
        <v>12</v>
      </c>
      <c r="M3482" s="5">
        <f t="shared" si="886"/>
        <v>2024</v>
      </c>
      <c r="N3482" s="12">
        <v>468</v>
      </c>
      <c r="O3482" s="6">
        <f>-N3482</f>
        <v>-468</v>
      </c>
      <c r="P3482" s="12">
        <f t="shared" si="901"/>
        <v>0</v>
      </c>
      <c r="Q3482" s="7">
        <v>5749283.6500000004</v>
      </c>
      <c r="R3482" s="44" t="str">
        <f>VLOOKUP(F3482,'Set up'!$A$2:$E$70,5,FALSE)</f>
        <v>Cash</v>
      </c>
      <c r="S3482" s="1" t="s">
        <v>3319</v>
      </c>
    </row>
    <row r="3483" spans="1:21" ht="16.25" customHeight="1" x14ac:dyDescent="0.35">
      <c r="A3483" s="4" t="s">
        <v>3223</v>
      </c>
      <c r="B3483" s="5">
        <f t="shared" si="894"/>
        <v>12</v>
      </c>
      <c r="C3483" s="5">
        <f t="shared" si="895"/>
        <v>2024</v>
      </c>
      <c r="D3483" s="5" t="s">
        <v>3229</v>
      </c>
      <c r="E3483" s="5" t="str">
        <f>VLOOKUP(F3483,'Set up'!$A$2:$C$70,2,FALSE)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up'!$A$2:$C$70,3,FALSE)</f>
        <v>Cash</v>
      </c>
      <c r="J3483" s="5">
        <f>VLOOKUP(F3483,'Set up'!$A$2:$D$70,4,FALSE)</f>
        <v>0</v>
      </c>
      <c r="K3483" s="4">
        <f t="shared" si="884"/>
        <v>45636</v>
      </c>
      <c r="L3483" s="5">
        <f t="shared" si="885"/>
        <v>12</v>
      </c>
      <c r="M3483" s="5">
        <f t="shared" si="886"/>
        <v>2024</v>
      </c>
      <c r="N3483" s="12">
        <v>120</v>
      </c>
      <c r="O3483" s="6">
        <f>-N3483</f>
        <v>-120</v>
      </c>
      <c r="P3483" s="12">
        <f t="shared" si="901"/>
        <v>0</v>
      </c>
      <c r="Q3483" s="7">
        <v>5749403.6500000004</v>
      </c>
      <c r="R3483" s="44" t="str">
        <f>VLOOKUP(F3483,'Set up'!$A$2:$E$70,5,FALSE)</f>
        <v>Cash</v>
      </c>
      <c r="S3483" s="1" t="s">
        <v>3319</v>
      </c>
    </row>
    <row r="3484" spans="1:21" ht="16.25" customHeight="1" x14ac:dyDescent="0.35">
      <c r="A3484" s="4" t="s">
        <v>3233</v>
      </c>
      <c r="B3484" s="5">
        <f t="shared" si="894"/>
        <v>12</v>
      </c>
      <c r="C3484" s="5">
        <f t="shared" si="895"/>
        <v>2024</v>
      </c>
      <c r="D3484" s="5" t="s">
        <v>3234</v>
      </c>
      <c r="E3484" s="5" t="str">
        <f>VLOOKUP(F3484,'Set up'!$A$2:$C$70,2,FALSE)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up'!$A$2:$C$70,3,FALSE)</f>
        <v>45</v>
      </c>
      <c r="J3484" s="5">
        <f>VLOOKUP(F3484,'Set up'!$A$2:$D$70,4,FALSE)</f>
        <v>45</v>
      </c>
      <c r="K3484" s="4">
        <f t="shared" si="884"/>
        <v>45682</v>
      </c>
      <c r="L3484" s="5">
        <f t="shared" si="885"/>
        <v>1</v>
      </c>
      <c r="M3484" s="5">
        <f t="shared" si="886"/>
        <v>2025</v>
      </c>
      <c r="N3484" s="12">
        <v>240</v>
      </c>
      <c r="O3484" s="6">
        <f>-N3484</f>
        <v>-240</v>
      </c>
      <c r="P3484" s="12">
        <f t="shared" si="901"/>
        <v>0</v>
      </c>
      <c r="Q3484" s="7">
        <v>5749643.6500000004</v>
      </c>
      <c r="R3484" s="44" t="str">
        <f>VLOOKUP(F3484,'Set up'!$A$2:$E$70,5,FALSE)</f>
        <v>PD Chq</v>
      </c>
      <c r="S3484" s="1" t="s">
        <v>3476</v>
      </c>
      <c r="U3484" s="1" t="s">
        <v>3603</v>
      </c>
    </row>
    <row r="3485" spans="1:21" ht="16.25" customHeight="1" x14ac:dyDescent="0.35">
      <c r="A3485" s="4" t="s">
        <v>3235</v>
      </c>
      <c r="B3485" s="5">
        <f t="shared" si="894"/>
        <v>12</v>
      </c>
      <c r="C3485" s="5">
        <f t="shared" si="895"/>
        <v>2024</v>
      </c>
      <c r="D3485" s="5" t="s">
        <v>3236</v>
      </c>
      <c r="E3485" s="5" t="str">
        <f>VLOOKUP(F3485,'Set up'!$A$2:$C$70,2,FALSE)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up'!$A$2:$C$70,3,FALSE)</f>
        <v>Cash</v>
      </c>
      <c r="J3485" s="5">
        <f>VLOOKUP(F3485,'Set up'!$A$2:$D$70,4,FALSE)</f>
        <v>0</v>
      </c>
      <c r="K3485" s="4">
        <f t="shared" si="884"/>
        <v>45638</v>
      </c>
      <c r="L3485" s="5">
        <f t="shared" si="885"/>
        <v>12</v>
      </c>
      <c r="M3485" s="5">
        <f t="shared" si="886"/>
        <v>2024</v>
      </c>
      <c r="N3485" s="12">
        <v>1755</v>
      </c>
      <c r="O3485" s="6">
        <f t="shared" ref="O3485:O3488" si="902">-N3485</f>
        <v>-1755</v>
      </c>
      <c r="P3485" s="12">
        <f t="shared" ref="P3485:P3490" si="903">SUM(N3485+O3485)</f>
        <v>0</v>
      </c>
      <c r="Q3485" s="7">
        <v>5751398.6500000004</v>
      </c>
      <c r="R3485" s="44" t="str">
        <f>VLOOKUP(F3485,'Set up'!$A$2:$E$70,5,FALSE)</f>
        <v>Cash</v>
      </c>
      <c r="S3485" s="1" t="s">
        <v>3317</v>
      </c>
    </row>
    <row r="3486" spans="1:21" ht="16.25" customHeight="1" x14ac:dyDescent="0.35">
      <c r="A3486" s="4" t="s">
        <v>3235</v>
      </c>
      <c r="B3486" s="5">
        <f t="shared" si="894"/>
        <v>12</v>
      </c>
      <c r="C3486" s="5">
        <f t="shared" si="895"/>
        <v>2024</v>
      </c>
      <c r="D3486" s="5" t="s">
        <v>3236</v>
      </c>
      <c r="E3486" s="5" t="str">
        <f>VLOOKUP(F3486,'Set up'!$A$2:$C$70,2,FALSE)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up'!$A$2:$C$70,3,FALSE)</f>
        <v>Cash</v>
      </c>
      <c r="J3486" s="5">
        <f>VLOOKUP(F3486,'Set up'!$A$2:$D$70,4,FALSE)</f>
        <v>0</v>
      </c>
      <c r="K3486" s="4">
        <f t="shared" si="884"/>
        <v>45638</v>
      </c>
      <c r="L3486" s="5">
        <f t="shared" si="885"/>
        <v>12</v>
      </c>
      <c r="M3486" s="5">
        <f t="shared" si="886"/>
        <v>2024</v>
      </c>
      <c r="N3486" s="12">
        <v>450</v>
      </c>
      <c r="O3486" s="6">
        <f t="shared" si="902"/>
        <v>-450</v>
      </c>
      <c r="P3486" s="12">
        <f t="shared" si="903"/>
        <v>0</v>
      </c>
      <c r="Q3486" s="7">
        <v>5751848.6500000004</v>
      </c>
      <c r="R3486" s="44" t="str">
        <f>VLOOKUP(F3486,'Set up'!$A$2:$E$70,5,FALSE)</f>
        <v>Cash</v>
      </c>
      <c r="S3486" s="1" t="s">
        <v>3317</v>
      </c>
    </row>
    <row r="3487" spans="1:21" ht="16.25" customHeight="1" x14ac:dyDescent="0.35">
      <c r="A3487" s="4" t="s">
        <v>3235</v>
      </c>
      <c r="B3487" s="5">
        <f t="shared" si="894"/>
        <v>12</v>
      </c>
      <c r="C3487" s="5">
        <f t="shared" si="895"/>
        <v>2024</v>
      </c>
      <c r="D3487" s="5" t="s">
        <v>3236</v>
      </c>
      <c r="E3487" s="5" t="str">
        <f>VLOOKUP(F3487,'Set up'!$A$2:$C$70,2,FALSE)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up'!$A$2:$C$70,3,FALSE)</f>
        <v>Cash</v>
      </c>
      <c r="J3487" s="5">
        <f>VLOOKUP(F3487,'Set up'!$A$2:$D$70,4,FALSE)</f>
        <v>0</v>
      </c>
      <c r="K3487" s="4">
        <f t="shared" si="884"/>
        <v>45638</v>
      </c>
      <c r="L3487" s="5">
        <f t="shared" si="885"/>
        <v>12</v>
      </c>
      <c r="M3487" s="5">
        <f t="shared" si="886"/>
        <v>2024</v>
      </c>
      <c r="N3487" s="12">
        <v>95</v>
      </c>
      <c r="O3487" s="6">
        <f t="shared" si="902"/>
        <v>-95</v>
      </c>
      <c r="P3487" s="12">
        <f t="shared" si="903"/>
        <v>0</v>
      </c>
      <c r="Q3487" s="7">
        <v>5751943.6500000004</v>
      </c>
      <c r="R3487" s="44" t="str">
        <f>VLOOKUP(F3487,'Set up'!$A$2:$E$70,5,FALSE)</f>
        <v>Cash</v>
      </c>
      <c r="S3487" s="1" t="s">
        <v>3317</v>
      </c>
    </row>
    <row r="3488" spans="1:21" ht="16.25" customHeight="1" x14ac:dyDescent="0.35">
      <c r="A3488" s="4" t="s">
        <v>3235</v>
      </c>
      <c r="B3488" s="5">
        <f t="shared" si="894"/>
        <v>12</v>
      </c>
      <c r="C3488" s="5">
        <f t="shared" si="895"/>
        <v>2024</v>
      </c>
      <c r="D3488" s="5" t="s">
        <v>3236</v>
      </c>
      <c r="E3488" s="5" t="str">
        <f>VLOOKUP(F3488,'Set up'!$A$2:$C$70,2,FALSE)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up'!$A$2:$C$70,3,FALSE)</f>
        <v>Cash</v>
      </c>
      <c r="J3488" s="5">
        <f>VLOOKUP(F3488,'Set up'!$A$2:$D$70,4,FALSE)</f>
        <v>0</v>
      </c>
      <c r="K3488" s="4">
        <f t="shared" si="884"/>
        <v>45638</v>
      </c>
      <c r="L3488" s="5">
        <f t="shared" si="885"/>
        <v>12</v>
      </c>
      <c r="M3488" s="5">
        <f t="shared" si="886"/>
        <v>2024</v>
      </c>
      <c r="N3488" s="12">
        <v>248</v>
      </c>
      <c r="O3488" s="6">
        <f t="shared" si="902"/>
        <v>-248</v>
      </c>
      <c r="P3488" s="12">
        <f t="shared" si="903"/>
        <v>0</v>
      </c>
      <c r="Q3488" s="7">
        <v>5752191.6500000004</v>
      </c>
      <c r="R3488" s="44" t="str">
        <f>VLOOKUP(F3488,'Set up'!$A$2:$E$70,5,FALSE)</f>
        <v>Cash</v>
      </c>
      <c r="S3488" s="1" t="s">
        <v>3317</v>
      </c>
    </row>
    <row r="3489" spans="1:19" ht="16.25" customHeight="1" x14ac:dyDescent="0.35">
      <c r="A3489" s="4" t="s">
        <v>3235</v>
      </c>
      <c r="B3489" s="5">
        <f t="shared" si="894"/>
        <v>12</v>
      </c>
      <c r="C3489" s="5">
        <f t="shared" si="895"/>
        <v>2024</v>
      </c>
      <c r="D3489" s="5" t="s">
        <v>3238</v>
      </c>
      <c r="E3489" s="5" t="str">
        <f>VLOOKUP(F3489,'Set up'!$A$2:$C$70,2,FALSE)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up'!$A$2:$C$70,3,FALSE)</f>
        <v>Cash</v>
      </c>
      <c r="J3489" s="5">
        <f>VLOOKUP(F3489,'Set up'!$A$2:$D$70,4,FALSE)</f>
        <v>0</v>
      </c>
      <c r="K3489" s="4">
        <f t="shared" si="884"/>
        <v>45638</v>
      </c>
      <c r="L3489" s="5">
        <f t="shared" si="885"/>
        <v>12</v>
      </c>
      <c r="M3489" s="5">
        <f t="shared" si="886"/>
        <v>2024</v>
      </c>
      <c r="N3489" s="12">
        <v>1732.5</v>
      </c>
      <c r="O3489" s="6">
        <f>-N3489</f>
        <v>-1732.5</v>
      </c>
      <c r="P3489" s="12">
        <f t="shared" si="903"/>
        <v>0</v>
      </c>
      <c r="Q3489" s="7">
        <v>5753924.1500000004</v>
      </c>
      <c r="R3489" s="44" t="str">
        <f>VLOOKUP(F3489,'Set up'!$A$2:$E$70,5,FALSE)</f>
        <v>Cash</v>
      </c>
      <c r="S3489" s="1" t="s">
        <v>3321</v>
      </c>
    </row>
    <row r="3490" spans="1:19" ht="16.25" customHeight="1" x14ac:dyDescent="0.35">
      <c r="A3490" s="4" t="s">
        <v>3235</v>
      </c>
      <c r="B3490" s="5">
        <f t="shared" si="894"/>
        <v>12</v>
      </c>
      <c r="C3490" s="5">
        <f t="shared" si="895"/>
        <v>2024</v>
      </c>
      <c r="D3490" s="5" t="s">
        <v>3238</v>
      </c>
      <c r="E3490" s="5" t="str">
        <f>VLOOKUP(F3490,'Set up'!$A$2:$C$70,2,FALSE)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up'!$A$2:$C$70,3,FALSE)</f>
        <v>Cash</v>
      </c>
      <c r="J3490" s="5">
        <f>VLOOKUP(F3490,'Set up'!$A$2:$D$70,4,FALSE)</f>
        <v>0</v>
      </c>
      <c r="K3490" s="4">
        <f t="shared" si="884"/>
        <v>45638</v>
      </c>
      <c r="L3490" s="5">
        <f t="shared" si="885"/>
        <v>12</v>
      </c>
      <c r="M3490" s="5">
        <f t="shared" si="886"/>
        <v>2024</v>
      </c>
      <c r="N3490" s="12">
        <v>432</v>
      </c>
      <c r="O3490" s="6">
        <f>-N3490</f>
        <v>-432</v>
      </c>
      <c r="P3490" s="12">
        <f t="shared" si="903"/>
        <v>0</v>
      </c>
      <c r="Q3490" s="7">
        <v>5754356.1500000004</v>
      </c>
      <c r="R3490" s="44" t="str">
        <f>VLOOKUP(F3490,'Set up'!$A$2:$E$70,5,FALSE)</f>
        <v>Cash</v>
      </c>
      <c r="S3490" s="1" t="s">
        <v>3321</v>
      </c>
    </row>
    <row r="3491" spans="1:19" ht="16.25" customHeight="1" x14ac:dyDescent="0.35">
      <c r="A3491" s="4" t="s">
        <v>3235</v>
      </c>
      <c r="B3491" s="5">
        <f t="shared" si="894"/>
        <v>12</v>
      </c>
      <c r="C3491" s="5">
        <f t="shared" si="895"/>
        <v>2024</v>
      </c>
      <c r="D3491" s="5" t="s">
        <v>3239</v>
      </c>
      <c r="E3491" s="5" t="str">
        <f>VLOOKUP(F3491,'Set up'!$A$2:$C$70,2,FALSE)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up'!$A$2:$C$70,3,FALSE)</f>
        <v>Cash</v>
      </c>
      <c r="J3491" s="5">
        <f>VLOOKUP(F3491,'Set up'!$A$2:$D$70,4,FALSE)</f>
        <v>0</v>
      </c>
      <c r="K3491" s="4">
        <f t="shared" si="884"/>
        <v>45638</v>
      </c>
      <c r="L3491" s="5">
        <f t="shared" si="885"/>
        <v>12</v>
      </c>
      <c r="M3491" s="5">
        <f t="shared" si="886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up'!$A$2:$E$70,5,FALSE)</f>
        <v>Trsf</v>
      </c>
    </row>
    <row r="3492" spans="1:19" ht="16.25" customHeight="1" x14ac:dyDescent="0.35">
      <c r="A3492" s="4" t="s">
        <v>3235</v>
      </c>
      <c r="B3492" s="5">
        <f t="shared" si="894"/>
        <v>12</v>
      </c>
      <c r="C3492" s="5">
        <f t="shared" si="895"/>
        <v>2024</v>
      </c>
      <c r="D3492" s="5" t="s">
        <v>3239</v>
      </c>
      <c r="E3492" s="5" t="str">
        <f>VLOOKUP(F3492,'Set up'!$A$2:$C$70,2,FALSE)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up'!$A$2:$C$70,3,FALSE)</f>
        <v>Cash</v>
      </c>
      <c r="J3492" s="5">
        <f>VLOOKUP(F3492,'Set up'!$A$2:$D$70,4,FALSE)</f>
        <v>0</v>
      </c>
      <c r="K3492" s="4">
        <f t="shared" si="884"/>
        <v>45638</v>
      </c>
      <c r="L3492" s="5">
        <f t="shared" si="885"/>
        <v>12</v>
      </c>
      <c r="M3492" s="5">
        <f t="shared" si="886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up'!$A$2:$E$70,5,FALSE)</f>
        <v>Trsf</v>
      </c>
    </row>
    <row r="3493" spans="1:19" ht="16.25" customHeight="1" x14ac:dyDescent="0.35">
      <c r="A3493" s="4" t="s">
        <v>3240</v>
      </c>
      <c r="B3493" s="5">
        <f t="shared" si="894"/>
        <v>12</v>
      </c>
      <c r="C3493" s="5">
        <f t="shared" si="895"/>
        <v>2024</v>
      </c>
      <c r="D3493" s="5" t="s">
        <v>3241</v>
      </c>
      <c r="E3493" s="5" t="str">
        <f>VLOOKUP(F3493,'Set up'!$A$2:$C$70,2,FALSE)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up'!$A$2:$C$70,3,FALSE)</f>
        <v>Cash</v>
      </c>
      <c r="J3493" s="5">
        <f>VLOOKUP(F3493,'Set up'!$A$2:$D$70,4,FALSE)</f>
        <v>0</v>
      </c>
      <c r="K3493" s="4">
        <f t="shared" si="884"/>
        <v>45639</v>
      </c>
      <c r="L3493" s="5">
        <f t="shared" si="885"/>
        <v>12</v>
      </c>
      <c r="M3493" s="5">
        <f t="shared" si="886"/>
        <v>2024</v>
      </c>
      <c r="N3493" s="12">
        <v>62.5</v>
      </c>
      <c r="O3493" s="6">
        <f t="shared" ref="O3493" si="904">-N3493</f>
        <v>-62.5</v>
      </c>
      <c r="P3493" s="12">
        <f t="shared" ref="P3493:P3494" si="905">SUM(N3493+O3493)</f>
        <v>0</v>
      </c>
      <c r="Q3493" s="7">
        <v>5754872.4500000002</v>
      </c>
      <c r="R3493" s="44" t="str">
        <f>VLOOKUP(F3493,'Set up'!$A$2:$E$70,5,FALSE)</f>
        <v>Trsf</v>
      </c>
      <c r="S3493" s="1" t="s">
        <v>3778</v>
      </c>
    </row>
    <row r="3494" spans="1:19" ht="16.25" customHeight="1" x14ac:dyDescent="0.35">
      <c r="A3494" s="4" t="s">
        <v>3240</v>
      </c>
      <c r="B3494" s="5">
        <f t="shared" si="894"/>
        <v>12</v>
      </c>
      <c r="C3494" s="5">
        <f t="shared" si="895"/>
        <v>2024</v>
      </c>
      <c r="D3494" s="5" t="s">
        <v>3242</v>
      </c>
      <c r="E3494" s="5" t="str">
        <f>VLOOKUP(F3494,'Set up'!$A$2:$C$70,2,FALSE)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up'!$A$2:$C$70,3,FALSE)</f>
        <v>Cash</v>
      </c>
      <c r="J3494" s="5">
        <f>VLOOKUP(F3494,'Set up'!$A$2:$D$70,4,FALSE)</f>
        <v>0</v>
      </c>
      <c r="K3494" s="4">
        <f t="shared" si="884"/>
        <v>45639</v>
      </c>
      <c r="L3494" s="5">
        <f t="shared" si="885"/>
        <v>12</v>
      </c>
      <c r="M3494" s="5">
        <f t="shared" si="886"/>
        <v>2024</v>
      </c>
      <c r="N3494" s="12">
        <v>3240</v>
      </c>
      <c r="O3494" s="12">
        <f>-488.1-2751.9</f>
        <v>-3240</v>
      </c>
      <c r="P3494" s="12">
        <f t="shared" si="905"/>
        <v>0</v>
      </c>
      <c r="Q3494" s="7">
        <v>5758112.4500000002</v>
      </c>
      <c r="R3494" s="44" t="str">
        <f>VLOOKUP(F3494,'Set up'!$A$2:$E$70,5,FALSE)</f>
        <v>Trsf</v>
      </c>
      <c r="S3494" s="1" t="s">
        <v>3781</v>
      </c>
    </row>
    <row r="3495" spans="1:19" ht="16.25" customHeight="1" x14ac:dyDescent="0.35">
      <c r="A3495" s="4" t="s">
        <v>3240</v>
      </c>
      <c r="B3495" s="5">
        <f t="shared" si="894"/>
        <v>12</v>
      </c>
      <c r="C3495" s="5">
        <f t="shared" si="895"/>
        <v>2024</v>
      </c>
      <c r="D3495" s="5" t="s">
        <v>3242</v>
      </c>
      <c r="E3495" s="5" t="str">
        <f>VLOOKUP(F3495,'Set up'!$A$2:$C$70,2,FALSE)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up'!$A$2:$C$70,3,FALSE)</f>
        <v>Cash</v>
      </c>
      <c r="J3495" s="5">
        <f>VLOOKUP(F3495,'Set up'!$A$2:$D$70,4,FALSE)</f>
        <v>0</v>
      </c>
      <c r="K3495" s="4">
        <f t="shared" si="884"/>
        <v>45639</v>
      </c>
      <c r="L3495" s="5">
        <f t="shared" si="885"/>
        <v>12</v>
      </c>
      <c r="M3495" s="5">
        <f t="shared" si="886"/>
        <v>2024</v>
      </c>
      <c r="N3495" s="12">
        <v>696</v>
      </c>
      <c r="O3495" s="6">
        <f t="shared" ref="O3495:O3498" si="906">-N3495</f>
        <v>-696</v>
      </c>
      <c r="P3495" s="12">
        <f t="shared" ref="P3495:P3497" si="907">SUM(N3495+O3495)</f>
        <v>0</v>
      </c>
      <c r="Q3495" s="7">
        <v>5758808.4500000002</v>
      </c>
      <c r="R3495" s="44" t="str">
        <f>VLOOKUP(F3495,'Set up'!$A$2:$E$70,5,FALSE)</f>
        <v>Trsf</v>
      </c>
      <c r="S3495" s="1" t="s">
        <v>3782</v>
      </c>
    </row>
    <row r="3496" spans="1:19" ht="16.25" customHeight="1" x14ac:dyDescent="0.35">
      <c r="A3496" s="4" t="s">
        <v>3240</v>
      </c>
      <c r="B3496" s="5">
        <f t="shared" si="894"/>
        <v>12</v>
      </c>
      <c r="C3496" s="5">
        <f t="shared" si="895"/>
        <v>2024</v>
      </c>
      <c r="D3496" s="5" t="s">
        <v>3242</v>
      </c>
      <c r="E3496" s="5" t="str">
        <f>VLOOKUP(F3496,'Set up'!$A$2:$C$70,2,FALSE)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up'!$A$2:$C$70,3,FALSE)</f>
        <v>Cash</v>
      </c>
      <c r="J3496" s="5">
        <f>VLOOKUP(F3496,'Set up'!$A$2:$D$70,4,FALSE)</f>
        <v>0</v>
      </c>
      <c r="K3496" s="4">
        <f t="shared" si="884"/>
        <v>45639</v>
      </c>
      <c r="L3496" s="5">
        <f t="shared" si="885"/>
        <v>12</v>
      </c>
      <c r="M3496" s="5">
        <f t="shared" si="886"/>
        <v>2024</v>
      </c>
      <c r="N3496" s="12">
        <v>715.5</v>
      </c>
      <c r="O3496" s="6">
        <f t="shared" si="906"/>
        <v>-715.5</v>
      </c>
      <c r="P3496" s="12">
        <f t="shared" si="907"/>
        <v>0</v>
      </c>
      <c r="Q3496" s="7">
        <v>5759523.9500000002</v>
      </c>
      <c r="R3496" s="44" t="str">
        <f>VLOOKUP(F3496,'Set up'!$A$2:$E$70,5,FALSE)</f>
        <v>Trsf</v>
      </c>
      <c r="S3496" s="1" t="s">
        <v>3783</v>
      </c>
    </row>
    <row r="3497" spans="1:19" ht="16.25" customHeight="1" x14ac:dyDescent="0.35">
      <c r="A3497" s="4" t="s">
        <v>3240</v>
      </c>
      <c r="B3497" s="5">
        <f t="shared" si="894"/>
        <v>12</v>
      </c>
      <c r="C3497" s="5">
        <f t="shared" si="895"/>
        <v>2024</v>
      </c>
      <c r="D3497" s="5" t="s">
        <v>3242</v>
      </c>
      <c r="E3497" s="5" t="str">
        <f>VLOOKUP(F3497,'Set up'!$A$2:$C$70,2,FALSE)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up'!$A$2:$C$70,3,FALSE)</f>
        <v>Cash</v>
      </c>
      <c r="J3497" s="5">
        <f>VLOOKUP(F3497,'Set up'!$A$2:$D$70,4,FALSE)</f>
        <v>0</v>
      </c>
      <c r="K3497" s="4">
        <f t="shared" si="884"/>
        <v>45639</v>
      </c>
      <c r="L3497" s="5">
        <f t="shared" si="885"/>
        <v>12</v>
      </c>
      <c r="M3497" s="5">
        <f t="shared" si="886"/>
        <v>2024</v>
      </c>
      <c r="N3497" s="12">
        <v>345</v>
      </c>
      <c r="O3497" s="6">
        <f t="shared" si="906"/>
        <v>-345</v>
      </c>
      <c r="P3497" s="12">
        <f t="shared" si="907"/>
        <v>0</v>
      </c>
      <c r="Q3497" s="7">
        <v>5759868.9500000002</v>
      </c>
      <c r="R3497" s="44" t="str">
        <f>VLOOKUP(F3497,'Set up'!$A$2:$E$70,5,FALSE)</f>
        <v>Trsf</v>
      </c>
      <c r="S3497" s="1" t="s">
        <v>3784</v>
      </c>
    </row>
    <row r="3498" spans="1:19" ht="16.25" customHeight="1" x14ac:dyDescent="0.35">
      <c r="A3498" s="4" t="s">
        <v>3245</v>
      </c>
      <c r="B3498" s="5">
        <f t="shared" si="894"/>
        <v>12</v>
      </c>
      <c r="C3498" s="5">
        <f t="shared" si="895"/>
        <v>2024</v>
      </c>
      <c r="D3498" s="5" t="s">
        <v>3246</v>
      </c>
      <c r="E3498" s="5" t="str">
        <f>VLOOKUP(F3498,'Set up'!$A$2:$C$70,2,FALSE)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up'!$A$2:$C$70,3,FALSE)</f>
        <v>120</v>
      </c>
      <c r="J3498" s="5">
        <f>VLOOKUP(F3498,'Set up'!$A$2:$D$70,4,FALSE)</f>
        <v>120</v>
      </c>
      <c r="K3498" s="4">
        <f t="shared" si="884"/>
        <v>45760</v>
      </c>
      <c r="L3498" s="5">
        <f t="shared" si="885"/>
        <v>4</v>
      </c>
      <c r="M3498" s="5">
        <f t="shared" si="886"/>
        <v>2025</v>
      </c>
      <c r="N3498" s="12">
        <v>3240</v>
      </c>
      <c r="O3498" s="6">
        <f t="shared" si="906"/>
        <v>-3240</v>
      </c>
      <c r="P3498" s="12">
        <f t="shared" ref="P3498" si="908">SUM(N3498+O3498)</f>
        <v>0</v>
      </c>
      <c r="Q3498" s="7">
        <v>5763108.9500000002</v>
      </c>
      <c r="R3498" s="44" t="str">
        <f>VLOOKUP(F3498,'Set up'!$A$2:$E$70,5,FALSE)</f>
        <v>Trsf</v>
      </c>
      <c r="S3498" s="1" t="s">
        <v>3830</v>
      </c>
    </row>
    <row r="3499" spans="1:19" ht="16.25" customHeight="1" x14ac:dyDescent="0.35">
      <c r="A3499" s="4" t="s">
        <v>3247</v>
      </c>
      <c r="B3499" s="5">
        <f t="shared" si="894"/>
        <v>12</v>
      </c>
      <c r="C3499" s="5">
        <f t="shared" si="895"/>
        <v>2024</v>
      </c>
      <c r="D3499" s="5" t="s">
        <v>3248</v>
      </c>
      <c r="E3499" s="5" t="str">
        <f>VLOOKUP(F3499,'Set up'!$A$2:$C$70,2,FALSE)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up'!$A$2:$C$70,3,FALSE)</f>
        <v>Cash</v>
      </c>
      <c r="J3499" s="5">
        <f>VLOOKUP(F3499,'Set up'!$A$2:$D$70,4,FALSE)</f>
        <v>0</v>
      </c>
      <c r="K3499" s="4">
        <f t="shared" si="884"/>
        <v>45643</v>
      </c>
      <c r="L3499" s="5">
        <f t="shared" si="885"/>
        <v>12</v>
      </c>
      <c r="M3499" s="5">
        <f t="shared" si="886"/>
        <v>2024</v>
      </c>
      <c r="N3499" s="12">
        <v>1755</v>
      </c>
      <c r="O3499" s="6">
        <f t="shared" ref="O3499:O3508" si="909">-N3499</f>
        <v>-1755</v>
      </c>
      <c r="P3499" s="12">
        <f t="shared" ref="P3499:P3508" si="910">SUM(N3499+O3499)</f>
        <v>0</v>
      </c>
      <c r="Q3499" s="7">
        <v>5764863.9500000002</v>
      </c>
      <c r="R3499" s="44" t="str">
        <f>VLOOKUP(F3499,'Set up'!$A$2:$E$70,5,FALSE)</f>
        <v>Cash</v>
      </c>
      <c r="S3499" s="1" t="s">
        <v>3316</v>
      </c>
    </row>
    <row r="3500" spans="1:19" ht="16.25" customHeight="1" x14ac:dyDescent="0.35">
      <c r="A3500" s="4" t="s">
        <v>3247</v>
      </c>
      <c r="B3500" s="5">
        <f t="shared" si="894"/>
        <v>12</v>
      </c>
      <c r="C3500" s="5">
        <f t="shared" si="895"/>
        <v>2024</v>
      </c>
      <c r="D3500" s="5" t="s">
        <v>3248</v>
      </c>
      <c r="E3500" s="5" t="str">
        <f>VLOOKUP(F3500,'Set up'!$A$2:$C$70,2,FALSE)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up'!$A$2:$C$70,3,FALSE)</f>
        <v>Cash</v>
      </c>
      <c r="J3500" s="5">
        <f>VLOOKUP(F3500,'Set up'!$A$2:$D$70,4,FALSE)</f>
        <v>0</v>
      </c>
      <c r="K3500" s="4">
        <f t="shared" si="884"/>
        <v>45643</v>
      </c>
      <c r="L3500" s="5">
        <f t="shared" si="885"/>
        <v>12</v>
      </c>
      <c r="M3500" s="5">
        <f t="shared" si="886"/>
        <v>2024</v>
      </c>
      <c r="N3500" s="12">
        <v>675</v>
      </c>
      <c r="O3500" s="6">
        <f t="shared" si="909"/>
        <v>-675</v>
      </c>
      <c r="P3500" s="12">
        <f t="shared" si="910"/>
        <v>0</v>
      </c>
      <c r="Q3500" s="7">
        <v>5765538.9500000002</v>
      </c>
      <c r="R3500" s="44" t="str">
        <f>VLOOKUP(F3500,'Set up'!$A$2:$E$70,5,FALSE)</f>
        <v>Cash</v>
      </c>
      <c r="S3500" s="1" t="s">
        <v>3316</v>
      </c>
    </row>
    <row r="3501" spans="1:19" ht="16.25" customHeight="1" x14ac:dyDescent="0.35">
      <c r="A3501" s="4" t="s">
        <v>3247</v>
      </c>
      <c r="B3501" s="5">
        <f t="shared" si="894"/>
        <v>12</v>
      </c>
      <c r="C3501" s="5">
        <f t="shared" si="895"/>
        <v>2024</v>
      </c>
      <c r="D3501" s="5" t="s">
        <v>3248</v>
      </c>
      <c r="E3501" s="5" t="str">
        <f>VLOOKUP(F3501,'Set up'!$A$2:$C$70,2,FALSE)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up'!$A$2:$C$70,3,FALSE)</f>
        <v>Cash</v>
      </c>
      <c r="J3501" s="5">
        <f>VLOOKUP(F3501,'Set up'!$A$2:$D$70,4,FALSE)</f>
        <v>0</v>
      </c>
      <c r="K3501" s="4">
        <f t="shared" si="884"/>
        <v>45643</v>
      </c>
      <c r="L3501" s="5">
        <f t="shared" si="885"/>
        <v>12</v>
      </c>
      <c r="M3501" s="5">
        <f t="shared" si="886"/>
        <v>2024</v>
      </c>
      <c r="N3501" s="12">
        <v>95</v>
      </c>
      <c r="O3501" s="6">
        <f t="shared" si="909"/>
        <v>-95</v>
      </c>
      <c r="P3501" s="12">
        <f t="shared" si="910"/>
        <v>0</v>
      </c>
      <c r="Q3501" s="7">
        <v>5765633.9500000002</v>
      </c>
      <c r="R3501" s="44" t="str">
        <f>VLOOKUP(F3501,'Set up'!$A$2:$E$70,5,FALSE)</f>
        <v>Cash</v>
      </c>
      <c r="S3501" s="1" t="s">
        <v>3316</v>
      </c>
    </row>
    <row r="3502" spans="1:19" ht="16.25" customHeight="1" x14ac:dyDescent="0.35">
      <c r="A3502" s="4" t="s">
        <v>3247</v>
      </c>
      <c r="B3502" s="5">
        <f t="shared" si="894"/>
        <v>12</v>
      </c>
      <c r="C3502" s="5">
        <f t="shared" si="895"/>
        <v>2024</v>
      </c>
      <c r="D3502" s="5" t="s">
        <v>3248</v>
      </c>
      <c r="E3502" s="5" t="str">
        <f>VLOOKUP(F3502,'Set up'!$A$2:$C$70,2,FALSE)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up'!$A$2:$C$70,3,FALSE)</f>
        <v>Cash</v>
      </c>
      <c r="J3502" s="5">
        <f>VLOOKUP(F3502,'Set up'!$A$2:$D$70,4,FALSE)</f>
        <v>0</v>
      </c>
      <c r="K3502" s="4">
        <f t="shared" si="884"/>
        <v>45643</v>
      </c>
      <c r="L3502" s="5">
        <f t="shared" si="885"/>
        <v>12</v>
      </c>
      <c r="M3502" s="5">
        <f t="shared" si="886"/>
        <v>2024</v>
      </c>
      <c r="N3502" s="12">
        <v>225</v>
      </c>
      <c r="O3502" s="6">
        <f t="shared" si="909"/>
        <v>-225</v>
      </c>
      <c r="P3502" s="12">
        <f t="shared" si="910"/>
        <v>0</v>
      </c>
      <c r="Q3502" s="7">
        <v>5765858.9500000002</v>
      </c>
      <c r="R3502" s="44" t="str">
        <f>VLOOKUP(F3502,'Set up'!$A$2:$E$70,5,FALSE)</f>
        <v>Cash</v>
      </c>
      <c r="S3502" s="1" t="s">
        <v>3316</v>
      </c>
    </row>
    <row r="3503" spans="1:19" ht="16.25" customHeight="1" x14ac:dyDescent="0.35">
      <c r="A3503" s="4" t="s">
        <v>3247</v>
      </c>
      <c r="B3503" s="5">
        <f t="shared" si="894"/>
        <v>12</v>
      </c>
      <c r="C3503" s="5">
        <f t="shared" si="895"/>
        <v>2024</v>
      </c>
      <c r="D3503" s="5" t="s">
        <v>3249</v>
      </c>
      <c r="E3503" s="5" t="str">
        <f>VLOOKUP(F3503,'Set up'!$A$2:$C$70,2,FALSE)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up'!$A$2:$C$70,3,FALSE)</f>
        <v>Cash</v>
      </c>
      <c r="J3503" s="5">
        <f>VLOOKUP(F3503,'Set up'!$A$2:$D$70,4,FALSE)</f>
        <v>0</v>
      </c>
      <c r="K3503" s="4">
        <f t="shared" ref="K3503:K3555" si="911">A3503+J3503</f>
        <v>45643</v>
      </c>
      <c r="L3503" s="5">
        <f t="shared" ref="L3503:L3555" si="912">MONTH(K3503)</f>
        <v>12</v>
      </c>
      <c r="M3503" s="5">
        <f t="shared" ref="M3503:M3555" si="913">YEAR(K3503)</f>
        <v>2024</v>
      </c>
      <c r="N3503" s="12">
        <v>125</v>
      </c>
      <c r="O3503" s="6">
        <f t="shared" si="909"/>
        <v>-125</v>
      </c>
      <c r="P3503" s="12">
        <f t="shared" si="910"/>
        <v>0</v>
      </c>
      <c r="Q3503" s="7">
        <v>5765983.9500000002</v>
      </c>
      <c r="R3503" s="44" t="str">
        <f>VLOOKUP(F3503,'Set up'!$A$2:$E$70,5,FALSE)</f>
        <v>Trsf</v>
      </c>
      <c r="S3503" s="1" t="s">
        <v>3785</v>
      </c>
    </row>
    <row r="3504" spans="1:19" ht="16.25" customHeight="1" x14ac:dyDescent="0.35">
      <c r="A3504" s="4" t="s">
        <v>3247</v>
      </c>
      <c r="B3504" s="5">
        <f t="shared" si="894"/>
        <v>12</v>
      </c>
      <c r="C3504" s="5">
        <f t="shared" si="895"/>
        <v>2024</v>
      </c>
      <c r="D3504" s="5" t="s">
        <v>3250</v>
      </c>
      <c r="E3504" s="5" t="str">
        <f>VLOOKUP(F3504,'Set up'!$A$2:$C$70,2,FALSE)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up'!$A$2:$C$70,3,FALSE)</f>
        <v>Cash</v>
      </c>
      <c r="J3504" s="5">
        <f>VLOOKUP(F3504,'Set up'!$A$2:$D$70,4,FALSE)</f>
        <v>0</v>
      </c>
      <c r="K3504" s="4">
        <f t="shared" si="911"/>
        <v>45643</v>
      </c>
      <c r="L3504" s="5">
        <f t="shared" si="912"/>
        <v>12</v>
      </c>
      <c r="M3504" s="5">
        <f t="shared" si="913"/>
        <v>2024</v>
      </c>
      <c r="N3504" s="12">
        <v>4860</v>
      </c>
      <c r="O3504" s="6">
        <f t="shared" si="909"/>
        <v>-4860</v>
      </c>
      <c r="P3504" s="12">
        <f t="shared" si="910"/>
        <v>0</v>
      </c>
      <c r="Q3504" s="7">
        <v>5770843.9500000002</v>
      </c>
      <c r="R3504" s="44" t="str">
        <f>VLOOKUP(F3504,'Set up'!$A$2:$E$70,5,FALSE)</f>
        <v>Trsf</v>
      </c>
      <c r="S3504" s="1" t="s">
        <v>3786</v>
      </c>
    </row>
    <row r="3505" spans="1:19" ht="16.25" customHeight="1" x14ac:dyDescent="0.35">
      <c r="A3505" s="4" t="s">
        <v>3247</v>
      </c>
      <c r="B3505" s="5">
        <f t="shared" si="894"/>
        <v>12</v>
      </c>
      <c r="C3505" s="5">
        <f t="shared" si="895"/>
        <v>2024</v>
      </c>
      <c r="D3505" s="5" t="s">
        <v>3250</v>
      </c>
      <c r="E3505" s="5" t="str">
        <f>VLOOKUP(F3505,'Set up'!$A$2:$C$70,2,FALSE)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up'!$A$2:$C$70,3,FALSE)</f>
        <v>Cash</v>
      </c>
      <c r="J3505" s="5">
        <f>VLOOKUP(F3505,'Set up'!$A$2:$D$70,4,FALSE)</f>
        <v>0</v>
      </c>
      <c r="K3505" s="4">
        <f t="shared" si="911"/>
        <v>45643</v>
      </c>
      <c r="L3505" s="5">
        <f t="shared" si="912"/>
        <v>12</v>
      </c>
      <c r="M3505" s="5">
        <f t="shared" si="913"/>
        <v>2024</v>
      </c>
      <c r="N3505" s="12">
        <v>1740</v>
      </c>
      <c r="O3505" s="6">
        <f t="shared" si="909"/>
        <v>-1740</v>
      </c>
      <c r="P3505" s="12">
        <f t="shared" si="910"/>
        <v>0</v>
      </c>
      <c r="Q3505" s="7">
        <v>5772583.9500000002</v>
      </c>
      <c r="R3505" s="44" t="str">
        <f>VLOOKUP(F3505,'Set up'!$A$2:$E$70,5,FALSE)</f>
        <v>Trsf</v>
      </c>
      <c r="S3505" s="1" t="s">
        <v>3787</v>
      </c>
    </row>
    <row r="3506" spans="1:19" ht="16.25" customHeight="1" x14ac:dyDescent="0.35">
      <c r="A3506" s="4" t="s">
        <v>3247</v>
      </c>
      <c r="B3506" s="5">
        <f t="shared" si="894"/>
        <v>12</v>
      </c>
      <c r="C3506" s="5">
        <f t="shared" si="895"/>
        <v>2024</v>
      </c>
      <c r="D3506" s="5" t="s">
        <v>3250</v>
      </c>
      <c r="E3506" s="5" t="str">
        <f>VLOOKUP(F3506,'Set up'!$A$2:$C$70,2,FALSE)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up'!$A$2:$C$70,3,FALSE)</f>
        <v>Cash</v>
      </c>
      <c r="J3506" s="5">
        <f>VLOOKUP(F3506,'Set up'!$A$2:$D$70,4,FALSE)</f>
        <v>0</v>
      </c>
      <c r="K3506" s="4">
        <f t="shared" si="911"/>
        <v>45643</v>
      </c>
      <c r="L3506" s="5">
        <f t="shared" si="912"/>
        <v>12</v>
      </c>
      <c r="M3506" s="5">
        <f t="shared" si="913"/>
        <v>2024</v>
      </c>
      <c r="N3506" s="12">
        <v>954</v>
      </c>
      <c r="O3506" s="6">
        <f t="shared" si="909"/>
        <v>-954</v>
      </c>
      <c r="P3506" s="12">
        <f t="shared" si="910"/>
        <v>0</v>
      </c>
      <c r="Q3506" s="7">
        <v>5773537.9500000002</v>
      </c>
      <c r="R3506" s="44" t="str">
        <f>VLOOKUP(F3506,'Set up'!$A$2:$E$70,5,FALSE)</f>
        <v>Trsf</v>
      </c>
      <c r="S3506" s="1" t="s">
        <v>3788</v>
      </c>
    </row>
    <row r="3507" spans="1:19" ht="16.25" customHeight="1" x14ac:dyDescent="0.35">
      <c r="A3507" s="4" t="s">
        <v>3247</v>
      </c>
      <c r="B3507" s="5">
        <f t="shared" si="894"/>
        <v>12</v>
      </c>
      <c r="C3507" s="5">
        <f t="shared" si="895"/>
        <v>2024</v>
      </c>
      <c r="D3507" s="5" t="s">
        <v>3250</v>
      </c>
      <c r="E3507" s="5" t="str">
        <f>VLOOKUP(F3507,'Set up'!$A$2:$C$70,2,FALSE)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up'!$A$2:$C$70,3,FALSE)</f>
        <v>Cash</v>
      </c>
      <c r="J3507" s="5">
        <f>VLOOKUP(F3507,'Set up'!$A$2:$D$70,4,FALSE)</f>
        <v>0</v>
      </c>
      <c r="K3507" s="4">
        <f t="shared" si="911"/>
        <v>45643</v>
      </c>
      <c r="L3507" s="5">
        <f t="shared" si="912"/>
        <v>12</v>
      </c>
      <c r="M3507" s="5">
        <f t="shared" si="913"/>
        <v>2024</v>
      </c>
      <c r="N3507" s="12">
        <v>460</v>
      </c>
      <c r="O3507" s="6">
        <f t="shared" si="909"/>
        <v>-460</v>
      </c>
      <c r="P3507" s="12">
        <f t="shared" si="910"/>
        <v>0</v>
      </c>
      <c r="Q3507" s="7">
        <v>5773997.9500000002</v>
      </c>
      <c r="R3507" s="44" t="str">
        <f>VLOOKUP(F3507,'Set up'!$A$2:$E$70,5,FALSE)</f>
        <v>Trsf</v>
      </c>
      <c r="S3507" s="1" t="s">
        <v>3789</v>
      </c>
    </row>
    <row r="3508" spans="1:19" ht="16.25" customHeight="1" x14ac:dyDescent="0.35">
      <c r="A3508" s="4" t="s">
        <v>3247</v>
      </c>
      <c r="B3508" s="5">
        <f t="shared" si="894"/>
        <v>12</v>
      </c>
      <c r="C3508" s="5">
        <f t="shared" si="895"/>
        <v>2024</v>
      </c>
      <c r="D3508" s="5" t="s">
        <v>3250</v>
      </c>
      <c r="E3508" s="5" t="str">
        <f>VLOOKUP(F3508,'Set up'!$A$2:$C$70,2,FALSE)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up'!$A$2:$C$70,3,FALSE)</f>
        <v>Cash</v>
      </c>
      <c r="J3508" s="5">
        <f>VLOOKUP(F3508,'Set up'!$A$2:$D$70,4,FALSE)</f>
        <v>0</v>
      </c>
      <c r="K3508" s="4">
        <f t="shared" si="911"/>
        <v>45643</v>
      </c>
      <c r="L3508" s="5">
        <f t="shared" si="912"/>
        <v>12</v>
      </c>
      <c r="M3508" s="5">
        <f t="shared" si="913"/>
        <v>2024</v>
      </c>
      <c r="N3508" s="12">
        <v>975</v>
      </c>
      <c r="O3508" s="6">
        <f t="shared" si="909"/>
        <v>-975</v>
      </c>
      <c r="P3508" s="12">
        <f t="shared" si="910"/>
        <v>0</v>
      </c>
      <c r="Q3508" s="7">
        <v>5774972.9500000002</v>
      </c>
      <c r="R3508" s="44" t="str">
        <f>VLOOKUP(F3508,'Set up'!$A$2:$E$70,5,FALSE)</f>
        <v>Trsf</v>
      </c>
      <c r="S3508" s="1" t="s">
        <v>3790</v>
      </c>
    </row>
    <row r="3509" spans="1:19" ht="16.25" customHeight="1" x14ac:dyDescent="0.35">
      <c r="A3509" s="4" t="s">
        <v>3251</v>
      </c>
      <c r="B3509" s="5">
        <f t="shared" si="894"/>
        <v>12</v>
      </c>
      <c r="C3509" s="5">
        <f t="shared" si="895"/>
        <v>2024</v>
      </c>
      <c r="D3509" s="5" t="s">
        <v>3252</v>
      </c>
      <c r="E3509" s="5" t="str">
        <f>VLOOKUP(F3509,'Set up'!$A$2:$C$70,2,FALSE)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up'!$A$2:$C$70,3,FALSE)</f>
        <v>Cash</v>
      </c>
      <c r="J3509" s="5">
        <f>VLOOKUP(F3509,'Set up'!$A$2:$D$70,4,FALSE)</f>
        <v>0</v>
      </c>
      <c r="K3509" s="4">
        <f t="shared" si="911"/>
        <v>45645</v>
      </c>
      <c r="L3509" s="5">
        <f t="shared" si="912"/>
        <v>12</v>
      </c>
      <c r="M3509" s="5">
        <f t="shared" si="913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up'!$A$2:$E$70,5,FALSE)</f>
        <v>Trsf</v>
      </c>
    </row>
    <row r="3510" spans="1:19" ht="16.25" customHeight="1" x14ac:dyDescent="0.35">
      <c r="A3510" s="4" t="s">
        <v>3251</v>
      </c>
      <c r="B3510" s="5">
        <f t="shared" si="894"/>
        <v>12</v>
      </c>
      <c r="C3510" s="5">
        <f t="shared" si="895"/>
        <v>2024</v>
      </c>
      <c r="D3510" s="5" t="s">
        <v>3252</v>
      </c>
      <c r="E3510" s="5" t="str">
        <f>VLOOKUP(F3510,'Set up'!$A$2:$C$70,2,FALSE)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up'!$A$2:$C$70,3,FALSE)</f>
        <v>Cash</v>
      </c>
      <c r="J3510" s="5">
        <f>VLOOKUP(F3510,'Set up'!$A$2:$D$70,4,FALSE)</f>
        <v>0</v>
      </c>
      <c r="K3510" s="4">
        <f t="shared" si="911"/>
        <v>45645</v>
      </c>
      <c r="L3510" s="5">
        <f t="shared" si="912"/>
        <v>12</v>
      </c>
      <c r="M3510" s="5">
        <f t="shared" si="913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up'!$A$2:$E$70,5,FALSE)</f>
        <v>Trsf</v>
      </c>
    </row>
    <row r="3511" spans="1:19" ht="16.25" customHeight="1" x14ac:dyDescent="0.35">
      <c r="A3511" s="4" t="s">
        <v>3251</v>
      </c>
      <c r="B3511" s="5">
        <f t="shared" si="894"/>
        <v>12</v>
      </c>
      <c r="C3511" s="5">
        <f t="shared" si="895"/>
        <v>2024</v>
      </c>
      <c r="D3511" s="5" t="s">
        <v>3252</v>
      </c>
      <c r="E3511" s="5" t="str">
        <f>VLOOKUP(F3511,'Set up'!$A$2:$C$70,2,FALSE)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up'!$A$2:$C$70,3,FALSE)</f>
        <v>Cash</v>
      </c>
      <c r="J3511" s="5">
        <f>VLOOKUP(F3511,'Set up'!$A$2:$D$70,4,FALSE)</f>
        <v>0</v>
      </c>
      <c r="K3511" s="4">
        <f t="shared" si="911"/>
        <v>45645</v>
      </c>
      <c r="L3511" s="5">
        <f t="shared" si="912"/>
        <v>12</v>
      </c>
      <c r="M3511" s="5">
        <f t="shared" si="913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up'!$A$2:$E$70,5,FALSE)</f>
        <v>Trsf</v>
      </c>
    </row>
    <row r="3512" spans="1:19" ht="16.25" customHeight="1" x14ac:dyDescent="0.35">
      <c r="A3512" s="4" t="s">
        <v>3251</v>
      </c>
      <c r="B3512" s="5">
        <f t="shared" si="894"/>
        <v>12</v>
      </c>
      <c r="C3512" s="5">
        <f t="shared" si="895"/>
        <v>2024</v>
      </c>
      <c r="D3512" s="5" t="s">
        <v>3252</v>
      </c>
      <c r="E3512" s="5" t="str">
        <f>VLOOKUP(F3512,'Set up'!$A$2:$C$70,2,FALSE)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up'!$A$2:$C$70,3,FALSE)</f>
        <v>Cash</v>
      </c>
      <c r="J3512" s="5">
        <f>VLOOKUP(F3512,'Set up'!$A$2:$D$70,4,FALSE)</f>
        <v>0</v>
      </c>
      <c r="K3512" s="4">
        <f t="shared" si="911"/>
        <v>45645</v>
      </c>
      <c r="L3512" s="5">
        <f t="shared" si="912"/>
        <v>12</v>
      </c>
      <c r="M3512" s="5">
        <f t="shared" si="913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up'!$A$2:$E$70,5,FALSE)</f>
        <v>Trsf</v>
      </c>
    </row>
    <row r="3513" spans="1:19" ht="16.25" customHeight="1" x14ac:dyDescent="0.35">
      <c r="A3513" s="4" t="s">
        <v>3253</v>
      </c>
      <c r="B3513" s="5">
        <f t="shared" si="894"/>
        <v>12</v>
      </c>
      <c r="C3513" s="5">
        <f t="shared" si="895"/>
        <v>2024</v>
      </c>
      <c r="D3513" s="5" t="s">
        <v>3254</v>
      </c>
      <c r="E3513" s="5" t="str">
        <f>VLOOKUP(F3513,'Set up'!$A$2:$C$70,2,FALSE)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up'!$A$2:$C$70,3,FALSE)</f>
        <v>Cash</v>
      </c>
      <c r="J3513" s="5">
        <f>VLOOKUP(F3513,'Set up'!$A$2:$D$70,4,FALSE)</f>
        <v>0</v>
      </c>
      <c r="K3513" s="4">
        <f t="shared" si="911"/>
        <v>45646</v>
      </c>
      <c r="L3513" s="5">
        <f t="shared" si="912"/>
        <v>12</v>
      </c>
      <c r="M3513" s="5">
        <f t="shared" si="913"/>
        <v>2024</v>
      </c>
      <c r="N3513" s="12">
        <v>216</v>
      </c>
      <c r="O3513" s="6">
        <f>-N3513</f>
        <v>-216</v>
      </c>
      <c r="P3513" s="12">
        <f t="shared" ref="P3513:P3514" si="914">SUM(N3513+O3513)</f>
        <v>0</v>
      </c>
      <c r="Q3513" s="7">
        <v>5777391.4500000002</v>
      </c>
      <c r="R3513" s="44" t="str">
        <f>VLOOKUP(F3513,'Set up'!$A$2:$E$70,5,FALSE)</f>
        <v>Cash</v>
      </c>
      <c r="S3513" s="1" t="s">
        <v>3322</v>
      </c>
    </row>
    <row r="3514" spans="1:19" ht="16.25" customHeight="1" x14ac:dyDescent="0.35">
      <c r="A3514" s="4" t="s">
        <v>3253</v>
      </c>
      <c r="B3514" s="5">
        <f t="shared" si="894"/>
        <v>12</v>
      </c>
      <c r="C3514" s="5">
        <f t="shared" si="895"/>
        <v>2024</v>
      </c>
      <c r="D3514" s="5" t="s">
        <v>3254</v>
      </c>
      <c r="E3514" s="5" t="str">
        <f>VLOOKUP(F3514,'Set up'!$A$2:$C$70,2,FALSE)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up'!$A$2:$C$70,3,FALSE)</f>
        <v>Cash</v>
      </c>
      <c r="J3514" s="5">
        <f>VLOOKUP(F3514,'Set up'!$A$2:$D$70,4,FALSE)</f>
        <v>0</v>
      </c>
      <c r="K3514" s="4">
        <f t="shared" si="911"/>
        <v>45646</v>
      </c>
      <c r="L3514" s="5">
        <f t="shared" si="912"/>
        <v>12</v>
      </c>
      <c r="M3514" s="5">
        <f t="shared" si="913"/>
        <v>2024</v>
      </c>
      <c r="N3514" s="12">
        <v>890</v>
      </c>
      <c r="O3514" s="6">
        <f>-N3514</f>
        <v>-890</v>
      </c>
      <c r="P3514" s="12">
        <f t="shared" si="914"/>
        <v>0</v>
      </c>
      <c r="Q3514" s="7">
        <v>5778281.4500000002</v>
      </c>
      <c r="R3514" s="44" t="str">
        <f>VLOOKUP(F3514,'Set up'!$A$2:$E$70,5,FALSE)</f>
        <v>Cash</v>
      </c>
      <c r="S3514" s="1" t="s">
        <v>3322</v>
      </c>
    </row>
    <row r="3515" spans="1:19" ht="16.25" customHeight="1" x14ac:dyDescent="0.35">
      <c r="A3515" s="4" t="s">
        <v>3256</v>
      </c>
      <c r="B3515" s="5">
        <f t="shared" si="894"/>
        <v>12</v>
      </c>
      <c r="C3515" s="5">
        <f t="shared" si="895"/>
        <v>2024</v>
      </c>
      <c r="D3515" s="5" t="s">
        <v>3257</v>
      </c>
      <c r="E3515" s="5" t="str">
        <f>VLOOKUP(F3515,'Set up'!$A$2:$C$70,2,FALSE)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up'!$A$2:$C$70,3,FALSE)</f>
        <v>30</v>
      </c>
      <c r="J3515" s="5">
        <f>VLOOKUP(F3515,'Set up'!$A$2:$D$70,4,FALSE)</f>
        <v>30</v>
      </c>
      <c r="K3515" s="4">
        <f t="shared" si="911"/>
        <v>45677</v>
      </c>
      <c r="L3515" s="5">
        <f t="shared" si="912"/>
        <v>1</v>
      </c>
      <c r="M3515" s="5">
        <f t="shared" si="913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up'!$A$2:$E$70,5,FALSE)</f>
        <v>Chq</v>
      </c>
    </row>
    <row r="3516" spans="1:19" ht="16.25" customHeight="1" x14ac:dyDescent="0.35">
      <c r="A3516" s="4" t="s">
        <v>3256</v>
      </c>
      <c r="B3516" s="5">
        <f t="shared" si="894"/>
        <v>12</v>
      </c>
      <c r="C3516" s="5">
        <f t="shared" si="895"/>
        <v>2024</v>
      </c>
      <c r="D3516" s="5" t="s">
        <v>3257</v>
      </c>
      <c r="E3516" s="5" t="str">
        <f>VLOOKUP(F3516,'Set up'!$A$2:$C$70,2,FALSE)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up'!$A$2:$C$70,3,FALSE)</f>
        <v>30</v>
      </c>
      <c r="J3516" s="5">
        <f>VLOOKUP(F3516,'Set up'!$A$2:$D$70,4,FALSE)</f>
        <v>30</v>
      </c>
      <c r="K3516" s="4">
        <f t="shared" si="911"/>
        <v>45677</v>
      </c>
      <c r="L3516" s="5">
        <f t="shared" si="912"/>
        <v>1</v>
      </c>
      <c r="M3516" s="5">
        <f t="shared" si="913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up'!$A$2:$E$70,5,FALSE)</f>
        <v>Chq</v>
      </c>
    </row>
    <row r="3517" spans="1:19" ht="16.25" customHeight="1" x14ac:dyDescent="0.35">
      <c r="A3517" s="4" t="s">
        <v>3256</v>
      </c>
      <c r="B3517" s="5">
        <f t="shared" si="894"/>
        <v>12</v>
      </c>
      <c r="C3517" s="5">
        <f t="shared" si="895"/>
        <v>2024</v>
      </c>
      <c r="D3517" s="5" t="s">
        <v>3257</v>
      </c>
      <c r="E3517" s="5" t="str">
        <f>VLOOKUP(F3517,'Set up'!$A$2:$C$70,2,FALSE)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up'!$A$2:$C$70,3,FALSE)</f>
        <v>30</v>
      </c>
      <c r="J3517" s="5">
        <f>VLOOKUP(F3517,'Set up'!$A$2:$D$70,4,FALSE)</f>
        <v>30</v>
      </c>
      <c r="K3517" s="4">
        <f t="shared" si="911"/>
        <v>45677</v>
      </c>
      <c r="L3517" s="5">
        <f t="shared" si="912"/>
        <v>1</v>
      </c>
      <c r="M3517" s="5">
        <f t="shared" si="913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up'!$A$2:$E$70,5,FALSE)</f>
        <v>Chq</v>
      </c>
    </row>
    <row r="3518" spans="1:19" ht="16.25" customHeight="1" x14ac:dyDescent="0.35">
      <c r="A3518" s="4" t="s">
        <v>3256</v>
      </c>
      <c r="B3518" s="5">
        <f t="shared" si="894"/>
        <v>12</v>
      </c>
      <c r="C3518" s="5">
        <f t="shared" si="895"/>
        <v>2024</v>
      </c>
      <c r="D3518" s="5" t="s">
        <v>3257</v>
      </c>
      <c r="E3518" s="5" t="str">
        <f>VLOOKUP(F3518,'Set up'!$A$2:$C$70,2,FALSE)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up'!$A$2:$C$70,3,FALSE)</f>
        <v>30</v>
      </c>
      <c r="J3518" s="5">
        <f>VLOOKUP(F3518,'Set up'!$A$2:$D$70,4,FALSE)</f>
        <v>30</v>
      </c>
      <c r="K3518" s="4">
        <f t="shared" si="911"/>
        <v>45677</v>
      </c>
      <c r="L3518" s="5">
        <f t="shared" si="912"/>
        <v>1</v>
      </c>
      <c r="M3518" s="5">
        <f t="shared" si="913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up'!$A$2:$E$70,5,FALSE)</f>
        <v>Chq</v>
      </c>
    </row>
    <row r="3519" spans="1:19" ht="16.25" customHeight="1" x14ac:dyDescent="0.35">
      <c r="A3519" s="4" t="s">
        <v>3256</v>
      </c>
      <c r="B3519" s="5">
        <f t="shared" si="894"/>
        <v>12</v>
      </c>
      <c r="C3519" s="5">
        <f t="shared" si="895"/>
        <v>2024</v>
      </c>
      <c r="D3519" s="5" t="s">
        <v>3257</v>
      </c>
      <c r="E3519" s="5" t="str">
        <f>VLOOKUP(F3519,'Set up'!$A$2:$C$70,2,FALSE)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up'!$A$2:$C$70,3,FALSE)</f>
        <v>30</v>
      </c>
      <c r="J3519" s="5">
        <f>VLOOKUP(F3519,'Set up'!$A$2:$D$70,4,FALSE)</f>
        <v>30</v>
      </c>
      <c r="K3519" s="4">
        <f t="shared" si="911"/>
        <v>45677</v>
      </c>
      <c r="L3519" s="5">
        <f t="shared" si="912"/>
        <v>1</v>
      </c>
      <c r="M3519" s="5">
        <f t="shared" si="913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up'!$A$2:$E$70,5,FALSE)</f>
        <v>Chq</v>
      </c>
    </row>
    <row r="3520" spans="1:19" ht="16.25" customHeight="1" x14ac:dyDescent="0.35">
      <c r="A3520" s="4" t="s">
        <v>3256</v>
      </c>
      <c r="B3520" s="5">
        <f t="shared" si="894"/>
        <v>12</v>
      </c>
      <c r="C3520" s="5">
        <f t="shared" si="895"/>
        <v>2024</v>
      </c>
      <c r="D3520" s="5" t="s">
        <v>3257</v>
      </c>
      <c r="E3520" s="5" t="str">
        <f>VLOOKUP(F3520,'Set up'!$A$2:$C$70,2,FALSE)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up'!$A$2:$C$70,3,FALSE)</f>
        <v>30</v>
      </c>
      <c r="J3520" s="5">
        <f>VLOOKUP(F3520,'Set up'!$A$2:$D$70,4,FALSE)</f>
        <v>30</v>
      </c>
      <c r="K3520" s="4">
        <f t="shared" si="911"/>
        <v>45677</v>
      </c>
      <c r="L3520" s="5">
        <f t="shared" si="912"/>
        <v>1</v>
      </c>
      <c r="M3520" s="5">
        <f t="shared" si="913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up'!$A$2:$E$70,5,FALSE)</f>
        <v>Chq</v>
      </c>
    </row>
    <row r="3521" spans="1:19" ht="16.25" customHeight="1" x14ac:dyDescent="0.35">
      <c r="A3521" s="4" t="s">
        <v>3256</v>
      </c>
      <c r="B3521" s="5">
        <f t="shared" si="894"/>
        <v>12</v>
      </c>
      <c r="C3521" s="5">
        <f t="shared" si="895"/>
        <v>2024</v>
      </c>
      <c r="D3521" s="5" t="s">
        <v>3257</v>
      </c>
      <c r="E3521" s="5" t="str">
        <f>VLOOKUP(F3521,'Set up'!$A$2:$C$70,2,FALSE)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up'!$A$2:$C$70,3,FALSE)</f>
        <v>30</v>
      </c>
      <c r="J3521" s="5">
        <f>VLOOKUP(F3521,'Set up'!$A$2:$D$70,4,FALSE)</f>
        <v>30</v>
      </c>
      <c r="K3521" s="4">
        <f t="shared" si="911"/>
        <v>45677</v>
      </c>
      <c r="L3521" s="5">
        <f t="shared" si="912"/>
        <v>1</v>
      </c>
      <c r="M3521" s="5">
        <f t="shared" si="913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up'!$A$2:$E$70,5,FALSE)</f>
        <v>Chq</v>
      </c>
    </row>
    <row r="3522" spans="1:19" ht="16.25" customHeight="1" x14ac:dyDescent="0.35">
      <c r="A3522" s="4" t="s">
        <v>3256</v>
      </c>
      <c r="B3522" s="5">
        <f t="shared" si="894"/>
        <v>12</v>
      </c>
      <c r="C3522" s="5">
        <f t="shared" si="895"/>
        <v>2024</v>
      </c>
      <c r="D3522" s="5" t="s">
        <v>3257</v>
      </c>
      <c r="E3522" s="5" t="str">
        <f>VLOOKUP(F3522,'Set up'!$A$2:$C$70,2,FALSE)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up'!$A$2:$C$70,3,FALSE)</f>
        <v>30</v>
      </c>
      <c r="J3522" s="5">
        <f>VLOOKUP(F3522,'Set up'!$A$2:$D$70,4,FALSE)</f>
        <v>30</v>
      </c>
      <c r="K3522" s="4">
        <f t="shared" si="911"/>
        <v>45677</v>
      </c>
      <c r="L3522" s="5">
        <f t="shared" si="912"/>
        <v>1</v>
      </c>
      <c r="M3522" s="5">
        <f t="shared" si="913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up'!$A$2:$E$70,5,FALSE)</f>
        <v>Chq</v>
      </c>
    </row>
    <row r="3523" spans="1:19" ht="16.25" customHeight="1" x14ac:dyDescent="0.35">
      <c r="A3523" s="4" t="s">
        <v>3259</v>
      </c>
      <c r="B3523" s="5">
        <f t="shared" ref="B3523:B3586" si="915">MONTH(A3523)</f>
        <v>12</v>
      </c>
      <c r="C3523" s="5">
        <f t="shared" ref="C3523:C3586" si="916">YEAR(A3523)</f>
        <v>2024</v>
      </c>
      <c r="D3523" s="5" t="s">
        <v>3260</v>
      </c>
      <c r="E3523" s="5" t="str">
        <f>VLOOKUP(F3523,'Set up'!$A$2:$C$70,2,FALSE)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up'!$A$2:$C$70,3,FALSE)</f>
        <v>Cash</v>
      </c>
      <c r="J3523" s="5">
        <f>VLOOKUP(F3523,'Set up'!$A$2:$D$70,4,FALSE)</f>
        <v>0</v>
      </c>
      <c r="K3523" s="4">
        <f t="shared" si="911"/>
        <v>45649</v>
      </c>
      <c r="L3523" s="5">
        <f t="shared" si="912"/>
        <v>12</v>
      </c>
      <c r="M3523" s="5">
        <f t="shared" si="913"/>
        <v>2024</v>
      </c>
      <c r="N3523" s="12">
        <v>1755</v>
      </c>
      <c r="O3523" s="6">
        <f t="shared" ref="O3523:O3527" si="917">-N3523</f>
        <v>-1755</v>
      </c>
      <c r="P3523" s="12">
        <f t="shared" ref="P3523:P3532" si="918">SUM(N3523+O3523)</f>
        <v>0</v>
      </c>
      <c r="Q3523" s="7">
        <v>5789431.9500000002</v>
      </c>
      <c r="R3523" s="44" t="str">
        <f>VLOOKUP(F3523,'Set up'!$A$2:$E$70,5,FALSE)</f>
        <v>Cash</v>
      </c>
      <c r="S3523" s="1" t="s">
        <v>3318</v>
      </c>
    </row>
    <row r="3524" spans="1:19" ht="16.25" customHeight="1" x14ac:dyDescent="0.35">
      <c r="A3524" s="4" t="s">
        <v>3259</v>
      </c>
      <c r="B3524" s="5">
        <f t="shared" si="915"/>
        <v>12</v>
      </c>
      <c r="C3524" s="5">
        <f t="shared" si="916"/>
        <v>2024</v>
      </c>
      <c r="D3524" s="5" t="s">
        <v>3260</v>
      </c>
      <c r="E3524" s="5" t="str">
        <f>VLOOKUP(F3524,'Set up'!$A$2:$C$70,2,FALSE)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up'!$A$2:$C$70,3,FALSE)</f>
        <v>Cash</v>
      </c>
      <c r="J3524" s="5">
        <f>VLOOKUP(F3524,'Set up'!$A$2:$D$70,4,FALSE)</f>
        <v>0</v>
      </c>
      <c r="K3524" s="4">
        <f t="shared" si="911"/>
        <v>45649</v>
      </c>
      <c r="L3524" s="5">
        <f t="shared" si="912"/>
        <v>12</v>
      </c>
      <c r="M3524" s="5">
        <f t="shared" si="913"/>
        <v>2024</v>
      </c>
      <c r="N3524" s="12">
        <v>832.5</v>
      </c>
      <c r="O3524" s="6">
        <f t="shared" si="917"/>
        <v>-832.5</v>
      </c>
      <c r="P3524" s="12">
        <f t="shared" si="918"/>
        <v>0</v>
      </c>
      <c r="Q3524" s="7">
        <v>5790264.4500000002</v>
      </c>
      <c r="R3524" s="44" t="str">
        <f>VLOOKUP(F3524,'Set up'!$A$2:$E$70,5,FALSE)</f>
        <v>Cash</v>
      </c>
      <c r="S3524" s="1" t="s">
        <v>3318</v>
      </c>
    </row>
    <row r="3525" spans="1:19" ht="16.25" customHeight="1" x14ac:dyDescent="0.35">
      <c r="A3525" s="4" t="s">
        <v>3259</v>
      </c>
      <c r="B3525" s="5">
        <f t="shared" si="915"/>
        <v>12</v>
      </c>
      <c r="C3525" s="5">
        <f t="shared" si="916"/>
        <v>2024</v>
      </c>
      <c r="D3525" s="5" t="s">
        <v>3260</v>
      </c>
      <c r="E3525" s="5" t="str">
        <f>VLOOKUP(F3525,'Set up'!$A$2:$C$70,2,FALSE)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up'!$A$2:$C$70,3,FALSE)</f>
        <v>Cash</v>
      </c>
      <c r="J3525" s="5">
        <f>VLOOKUP(F3525,'Set up'!$A$2:$D$70,4,FALSE)</f>
        <v>0</v>
      </c>
      <c r="K3525" s="4">
        <f t="shared" si="911"/>
        <v>45649</v>
      </c>
      <c r="L3525" s="5">
        <f t="shared" si="912"/>
        <v>12</v>
      </c>
      <c r="M3525" s="5">
        <f t="shared" si="913"/>
        <v>2024</v>
      </c>
      <c r="N3525" s="12">
        <v>95</v>
      </c>
      <c r="O3525" s="6">
        <f t="shared" si="917"/>
        <v>-95</v>
      </c>
      <c r="P3525" s="12">
        <f t="shared" si="918"/>
        <v>0</v>
      </c>
      <c r="Q3525" s="7">
        <v>5790359.4500000002</v>
      </c>
      <c r="R3525" s="44" t="str">
        <f>VLOOKUP(F3525,'Set up'!$A$2:$E$70,5,FALSE)</f>
        <v>Cash</v>
      </c>
      <c r="S3525" s="1" t="s">
        <v>3318</v>
      </c>
    </row>
    <row r="3526" spans="1:19" ht="16.25" customHeight="1" x14ac:dyDescent="0.35">
      <c r="A3526" s="4" t="s">
        <v>3259</v>
      </c>
      <c r="B3526" s="5">
        <f t="shared" si="915"/>
        <v>12</v>
      </c>
      <c r="C3526" s="5">
        <f t="shared" si="916"/>
        <v>2024</v>
      </c>
      <c r="D3526" s="5" t="s">
        <v>3260</v>
      </c>
      <c r="E3526" s="5" t="str">
        <f>VLOOKUP(F3526,'Set up'!$A$2:$C$70,2,FALSE)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up'!$A$2:$C$70,3,FALSE)</f>
        <v>Cash</v>
      </c>
      <c r="J3526" s="5">
        <f>VLOOKUP(F3526,'Set up'!$A$2:$D$70,4,FALSE)</f>
        <v>0</v>
      </c>
      <c r="K3526" s="4">
        <f t="shared" si="911"/>
        <v>45649</v>
      </c>
      <c r="L3526" s="5">
        <f t="shared" si="912"/>
        <v>12</v>
      </c>
      <c r="M3526" s="5">
        <f t="shared" si="913"/>
        <v>2024</v>
      </c>
      <c r="N3526" s="12">
        <v>155</v>
      </c>
      <c r="O3526" s="6">
        <f t="shared" si="917"/>
        <v>-155</v>
      </c>
      <c r="P3526" s="12">
        <f t="shared" si="918"/>
        <v>0</v>
      </c>
      <c r="Q3526" s="7">
        <v>5790514.4500000002</v>
      </c>
      <c r="R3526" s="44" t="str">
        <f>VLOOKUP(F3526,'Set up'!$A$2:$E$70,5,FALSE)</f>
        <v>Cash</v>
      </c>
      <c r="S3526" s="1" t="s">
        <v>3318</v>
      </c>
    </row>
    <row r="3527" spans="1:19" ht="16.25" customHeight="1" x14ac:dyDescent="0.35">
      <c r="A3527" s="4" t="s">
        <v>3262</v>
      </c>
      <c r="B3527" s="5">
        <f t="shared" si="915"/>
        <v>12</v>
      </c>
      <c r="C3527" s="5">
        <f t="shared" si="916"/>
        <v>2024</v>
      </c>
      <c r="D3527" s="5" t="s">
        <v>3263</v>
      </c>
      <c r="E3527" s="5" t="str">
        <f>VLOOKUP(F3527,'Set up'!$A$2:$C$70,2,FALSE)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up'!$A$2:$C$70,3,FALSE)</f>
        <v>Cash</v>
      </c>
      <c r="J3527" s="5">
        <f>VLOOKUP(F3527,'Set up'!$A$2:$D$70,4,FALSE)</f>
        <v>0</v>
      </c>
      <c r="K3527" s="4">
        <f t="shared" si="911"/>
        <v>45650</v>
      </c>
      <c r="L3527" s="5">
        <f t="shared" si="912"/>
        <v>12</v>
      </c>
      <c r="M3527" s="5">
        <f t="shared" si="913"/>
        <v>2024</v>
      </c>
      <c r="N3527" s="12">
        <v>312.5</v>
      </c>
      <c r="O3527" s="6">
        <f t="shared" si="917"/>
        <v>-312.5</v>
      </c>
      <c r="P3527" s="12">
        <f t="shared" si="918"/>
        <v>0</v>
      </c>
      <c r="Q3527" s="7">
        <v>5790826.9500000002</v>
      </c>
      <c r="R3527" s="44" t="str">
        <f>VLOOKUP(F3527,'Set up'!$A$2:$E$70,5,FALSE)</f>
        <v>Trsf</v>
      </c>
      <c r="S3527" s="1" t="s">
        <v>3791</v>
      </c>
    </row>
    <row r="3528" spans="1:19" ht="16.25" customHeight="1" x14ac:dyDescent="0.35">
      <c r="A3528" s="4" t="s">
        <v>3262</v>
      </c>
      <c r="B3528" s="5">
        <f t="shared" si="915"/>
        <v>12</v>
      </c>
      <c r="C3528" s="5">
        <f t="shared" si="916"/>
        <v>2024</v>
      </c>
      <c r="D3528" s="5" t="s">
        <v>3264</v>
      </c>
      <c r="E3528" s="5" t="str">
        <f>VLOOKUP(F3528,'Set up'!$A$2:$C$70,2,FALSE)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up'!$A$2:$C$70,3,FALSE)</f>
        <v>Cash</v>
      </c>
      <c r="J3528" s="5">
        <f>VLOOKUP(F3528,'Set up'!$A$2:$D$70,4,FALSE)</f>
        <v>0</v>
      </c>
      <c r="K3528" s="4">
        <f t="shared" si="911"/>
        <v>45650</v>
      </c>
      <c r="L3528" s="5">
        <f t="shared" si="912"/>
        <v>12</v>
      </c>
      <c r="M3528" s="5">
        <f t="shared" si="913"/>
        <v>2024</v>
      </c>
      <c r="N3528" s="12">
        <v>8100</v>
      </c>
      <c r="O3528" s="12">
        <f>-5065.1-3034.9</f>
        <v>-8100</v>
      </c>
      <c r="P3528" s="12">
        <f t="shared" si="918"/>
        <v>0</v>
      </c>
      <c r="Q3528" s="7">
        <v>5798926.9500000002</v>
      </c>
      <c r="R3528" s="44" t="str">
        <f>VLOOKUP(F3528,'Set up'!$A$2:$E$70,5,FALSE)</f>
        <v>Trsf</v>
      </c>
      <c r="S3528" s="1" t="s">
        <v>3792</v>
      </c>
    </row>
    <row r="3529" spans="1:19" ht="16.25" customHeight="1" x14ac:dyDescent="0.35">
      <c r="A3529" s="4" t="s">
        <v>3262</v>
      </c>
      <c r="B3529" s="5">
        <f t="shared" si="915"/>
        <v>12</v>
      </c>
      <c r="C3529" s="5">
        <f t="shared" si="916"/>
        <v>2024</v>
      </c>
      <c r="D3529" s="5" t="s">
        <v>3264</v>
      </c>
      <c r="E3529" s="5" t="str">
        <f>VLOOKUP(F3529,'Set up'!$A$2:$C$70,2,FALSE)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up'!$A$2:$C$70,3,FALSE)</f>
        <v>Cash</v>
      </c>
      <c r="J3529" s="5">
        <f>VLOOKUP(F3529,'Set up'!$A$2:$D$70,4,FALSE)</f>
        <v>0</v>
      </c>
      <c r="K3529" s="4">
        <f t="shared" si="911"/>
        <v>45650</v>
      </c>
      <c r="L3529" s="5">
        <f t="shared" si="912"/>
        <v>12</v>
      </c>
      <c r="M3529" s="5">
        <f t="shared" si="913"/>
        <v>2024</v>
      </c>
      <c r="N3529" s="12">
        <v>2610</v>
      </c>
      <c r="O3529" s="6">
        <f t="shared" ref="O3529:O3531" si="919">-N3529</f>
        <v>-2610</v>
      </c>
      <c r="P3529" s="12">
        <f t="shared" si="918"/>
        <v>0</v>
      </c>
      <c r="Q3529" s="7">
        <v>5801536.9500000002</v>
      </c>
      <c r="R3529" s="44" t="str">
        <f>VLOOKUP(F3529,'Set up'!$A$2:$E$70,5,FALSE)</f>
        <v>Trsf</v>
      </c>
      <c r="S3529" s="1" t="s">
        <v>3795</v>
      </c>
    </row>
    <row r="3530" spans="1:19" ht="16.25" customHeight="1" x14ac:dyDescent="0.35">
      <c r="A3530" s="4" t="s">
        <v>3262</v>
      </c>
      <c r="B3530" s="5">
        <f t="shared" si="915"/>
        <v>12</v>
      </c>
      <c r="C3530" s="5">
        <f t="shared" si="916"/>
        <v>2024</v>
      </c>
      <c r="D3530" s="5" t="s">
        <v>3264</v>
      </c>
      <c r="E3530" s="5" t="str">
        <f>VLOOKUP(F3530,'Set up'!$A$2:$C$70,2,FALSE)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up'!$A$2:$C$70,3,FALSE)</f>
        <v>Cash</v>
      </c>
      <c r="J3530" s="5">
        <f>VLOOKUP(F3530,'Set up'!$A$2:$D$70,4,FALSE)</f>
        <v>0</v>
      </c>
      <c r="K3530" s="4">
        <f t="shared" si="911"/>
        <v>45650</v>
      </c>
      <c r="L3530" s="5">
        <f t="shared" si="912"/>
        <v>12</v>
      </c>
      <c r="M3530" s="5">
        <f t="shared" si="913"/>
        <v>2024</v>
      </c>
      <c r="N3530" s="12">
        <v>1669.5</v>
      </c>
      <c r="O3530" s="6">
        <f t="shared" si="919"/>
        <v>-1669.5</v>
      </c>
      <c r="P3530" s="12">
        <f t="shared" si="918"/>
        <v>0</v>
      </c>
      <c r="Q3530" s="7">
        <v>5803206.4500000002</v>
      </c>
      <c r="R3530" s="44" t="str">
        <f>VLOOKUP(F3530,'Set up'!$A$2:$E$70,5,FALSE)</f>
        <v>Trsf</v>
      </c>
      <c r="S3530" s="1" t="s">
        <v>3794</v>
      </c>
    </row>
    <row r="3531" spans="1:19" ht="16.25" customHeight="1" x14ac:dyDescent="0.35">
      <c r="A3531" s="4" t="s">
        <v>3262</v>
      </c>
      <c r="B3531" s="5">
        <f t="shared" si="915"/>
        <v>12</v>
      </c>
      <c r="C3531" s="5">
        <f t="shared" si="916"/>
        <v>2024</v>
      </c>
      <c r="D3531" s="5" t="s">
        <v>3264</v>
      </c>
      <c r="E3531" s="5" t="str">
        <f>VLOOKUP(F3531,'Set up'!$A$2:$C$70,2,FALSE)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up'!$A$2:$C$70,3,FALSE)</f>
        <v>Cash</v>
      </c>
      <c r="J3531" s="5">
        <f>VLOOKUP(F3531,'Set up'!$A$2:$D$70,4,FALSE)</f>
        <v>0</v>
      </c>
      <c r="K3531" s="4">
        <f t="shared" si="911"/>
        <v>45650</v>
      </c>
      <c r="L3531" s="5">
        <f t="shared" si="912"/>
        <v>12</v>
      </c>
      <c r="M3531" s="5">
        <f t="shared" si="913"/>
        <v>2024</v>
      </c>
      <c r="N3531" s="12">
        <v>460</v>
      </c>
      <c r="O3531" s="6">
        <f t="shared" si="919"/>
        <v>-460</v>
      </c>
      <c r="P3531" s="12">
        <f t="shared" si="918"/>
        <v>0</v>
      </c>
      <c r="Q3531" s="7">
        <v>5803666.4500000002</v>
      </c>
      <c r="R3531" s="44" t="str">
        <f>VLOOKUP(F3531,'Set up'!$A$2:$E$70,5,FALSE)</f>
        <v>Trsf</v>
      </c>
      <c r="S3531" s="1" t="s">
        <v>3793</v>
      </c>
    </row>
    <row r="3532" spans="1:19" ht="16.25" customHeight="1" x14ac:dyDescent="0.35">
      <c r="A3532" s="4" t="s">
        <v>3262</v>
      </c>
      <c r="B3532" s="5">
        <f t="shared" si="915"/>
        <v>12</v>
      </c>
      <c r="C3532" s="5">
        <f t="shared" si="916"/>
        <v>2024</v>
      </c>
      <c r="D3532" s="5" t="s">
        <v>3264</v>
      </c>
      <c r="E3532" s="5" t="str">
        <f>VLOOKUP(F3532,'Set up'!$A$2:$C$70,2,FALSE)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up'!$A$2:$C$70,3,FALSE)</f>
        <v>Cash</v>
      </c>
      <c r="J3532" s="5">
        <f>VLOOKUP(F3532,'Set up'!$A$2:$D$70,4,FALSE)</f>
        <v>0</v>
      </c>
      <c r="K3532" s="4">
        <f t="shared" si="911"/>
        <v>45650</v>
      </c>
      <c r="L3532" s="5">
        <f t="shared" si="912"/>
        <v>12</v>
      </c>
      <c r="M3532" s="5">
        <f t="shared" si="913"/>
        <v>2024</v>
      </c>
      <c r="N3532" s="12">
        <v>975</v>
      </c>
      <c r="O3532" s="12">
        <f>-225.6-749.4</f>
        <v>-975</v>
      </c>
      <c r="P3532" s="12">
        <f t="shared" si="918"/>
        <v>0</v>
      </c>
      <c r="Q3532" s="7">
        <v>5804641.4500000002</v>
      </c>
      <c r="R3532" s="44" t="str">
        <f>VLOOKUP(F3532,'Set up'!$A$2:$E$70,5,FALSE)</f>
        <v>Trsf</v>
      </c>
      <c r="S3532" s="1" t="s">
        <v>3796</v>
      </c>
    </row>
    <row r="3533" spans="1:19" ht="16.25" customHeight="1" x14ac:dyDescent="0.35">
      <c r="A3533" s="4" t="s">
        <v>3262</v>
      </c>
      <c r="B3533" s="5">
        <f t="shared" si="915"/>
        <v>12</v>
      </c>
      <c r="C3533" s="5">
        <f t="shared" si="916"/>
        <v>2024</v>
      </c>
      <c r="D3533" s="5" t="s">
        <v>3265</v>
      </c>
      <c r="E3533" s="5" t="str">
        <f>VLOOKUP(F3533,'Set up'!$A$2:$C$70,2,FALSE)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up'!$A$2:$C$70,3,FALSE)</f>
        <v>Cash</v>
      </c>
      <c r="J3533" s="5">
        <f>VLOOKUP(F3533,'Set up'!$A$2:$D$70,4,FALSE)</f>
        <v>0</v>
      </c>
      <c r="K3533" s="4">
        <f t="shared" si="911"/>
        <v>45650</v>
      </c>
      <c r="L3533" s="5">
        <f t="shared" si="912"/>
        <v>12</v>
      </c>
      <c r="M3533" s="5">
        <f t="shared" si="913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up'!$A$2:$E$70,5,FALSE)</f>
        <v>Cash</v>
      </c>
    </row>
    <row r="3534" spans="1:19" ht="16.25" customHeight="1" x14ac:dyDescent="0.35">
      <c r="A3534" s="4" t="s">
        <v>3262</v>
      </c>
      <c r="B3534" s="5">
        <f t="shared" si="915"/>
        <v>12</v>
      </c>
      <c r="C3534" s="5">
        <f t="shared" si="916"/>
        <v>2024</v>
      </c>
      <c r="D3534" s="5" t="s">
        <v>3267</v>
      </c>
      <c r="E3534" s="5" t="str">
        <f>VLOOKUP(F3534,'Set up'!$A$2:$C$70,2,FALSE)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up'!$A$2:$C$70,3,FALSE)</f>
        <v>Cash</v>
      </c>
      <c r="J3534" s="5">
        <f>VLOOKUP(F3534,'Set up'!$A$2:$D$70,4,FALSE)</f>
        <v>0</v>
      </c>
      <c r="K3534" s="4">
        <f t="shared" si="911"/>
        <v>45650</v>
      </c>
      <c r="L3534" s="5">
        <f t="shared" si="912"/>
        <v>12</v>
      </c>
      <c r="M3534" s="5">
        <f t="shared" si="913"/>
        <v>2024</v>
      </c>
      <c r="N3534" s="12">
        <v>2775</v>
      </c>
      <c r="O3534" s="6">
        <f t="shared" ref="O3534:O3542" si="920">-N3534</f>
        <v>-2775</v>
      </c>
      <c r="P3534" s="12">
        <f t="shared" ref="P3534:P3538" si="921">SUM(N3534+O3534)</f>
        <v>0</v>
      </c>
      <c r="Q3534" s="7">
        <v>5807456.4500000002</v>
      </c>
      <c r="R3534" s="44" t="str">
        <f>VLOOKUP(F3534,'Set up'!$A$2:$E$70,5,FALSE)</f>
        <v>Cash</v>
      </c>
      <c r="S3534" s="1" t="s">
        <v>3325</v>
      </c>
    </row>
    <row r="3535" spans="1:19" ht="16.25" customHeight="1" x14ac:dyDescent="0.35">
      <c r="A3535" s="4" t="s">
        <v>3262</v>
      </c>
      <c r="B3535" s="5">
        <f t="shared" si="915"/>
        <v>12</v>
      </c>
      <c r="C3535" s="5">
        <f t="shared" si="916"/>
        <v>2024</v>
      </c>
      <c r="D3535" s="5" t="s">
        <v>3267</v>
      </c>
      <c r="E3535" s="5" t="str">
        <f>VLOOKUP(F3535,'Set up'!$A$2:$C$70,2,FALSE)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up'!$A$2:$C$70,3,FALSE)</f>
        <v>Cash</v>
      </c>
      <c r="J3535" s="5">
        <f>VLOOKUP(F3535,'Set up'!$A$2:$D$70,4,FALSE)</f>
        <v>0</v>
      </c>
      <c r="K3535" s="4">
        <f t="shared" si="911"/>
        <v>45650</v>
      </c>
      <c r="L3535" s="5">
        <f t="shared" si="912"/>
        <v>12</v>
      </c>
      <c r="M3535" s="5">
        <f t="shared" si="913"/>
        <v>2024</v>
      </c>
      <c r="N3535" s="12">
        <v>115</v>
      </c>
      <c r="O3535" s="6">
        <f t="shared" si="920"/>
        <v>-115</v>
      </c>
      <c r="P3535" s="12">
        <f t="shared" si="921"/>
        <v>0</v>
      </c>
      <c r="Q3535" s="7">
        <v>5807571.4500000002</v>
      </c>
      <c r="R3535" s="44" t="str">
        <f>VLOOKUP(F3535,'Set up'!$A$2:$E$70,5,FALSE)</f>
        <v>Cash</v>
      </c>
      <c r="S3535" s="1" t="s">
        <v>3325</v>
      </c>
    </row>
    <row r="3536" spans="1:19" ht="16.25" customHeight="1" x14ac:dyDescent="0.35">
      <c r="A3536" s="4" t="s">
        <v>3262</v>
      </c>
      <c r="B3536" s="5">
        <f t="shared" si="915"/>
        <v>12</v>
      </c>
      <c r="C3536" s="5">
        <f t="shared" si="916"/>
        <v>2024</v>
      </c>
      <c r="D3536" s="5" t="s">
        <v>3267</v>
      </c>
      <c r="E3536" s="5" t="str">
        <f>VLOOKUP(F3536,'Set up'!$A$2:$C$70,2,FALSE)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up'!$A$2:$C$70,3,FALSE)</f>
        <v>Cash</v>
      </c>
      <c r="J3536" s="5">
        <f>VLOOKUP(F3536,'Set up'!$A$2:$D$70,4,FALSE)</f>
        <v>0</v>
      </c>
      <c r="K3536" s="4">
        <f t="shared" si="911"/>
        <v>45650</v>
      </c>
      <c r="L3536" s="5">
        <f t="shared" si="912"/>
        <v>12</v>
      </c>
      <c r="M3536" s="5">
        <f t="shared" si="913"/>
        <v>2024</v>
      </c>
      <c r="N3536" s="12">
        <v>320</v>
      </c>
      <c r="O3536" s="6">
        <f t="shared" si="920"/>
        <v>-320</v>
      </c>
      <c r="P3536" s="12">
        <f t="shared" si="921"/>
        <v>0</v>
      </c>
      <c r="Q3536" s="7">
        <v>5807891.4500000002</v>
      </c>
      <c r="R3536" s="44" t="str">
        <f>VLOOKUP(F3536,'Set up'!$A$2:$E$70,5,FALSE)</f>
        <v>Cash</v>
      </c>
      <c r="S3536" s="1" t="s">
        <v>3325</v>
      </c>
    </row>
    <row r="3537" spans="1:21" ht="16.25" customHeight="1" x14ac:dyDescent="0.35">
      <c r="A3537" s="4" t="s">
        <v>3262</v>
      </c>
      <c r="B3537" s="5">
        <f t="shared" si="915"/>
        <v>12</v>
      </c>
      <c r="C3537" s="5">
        <f t="shared" si="916"/>
        <v>2024</v>
      </c>
      <c r="D3537" s="5" t="s">
        <v>3267</v>
      </c>
      <c r="E3537" s="5" t="str">
        <f>VLOOKUP(F3537,'Set up'!$A$2:$C$70,2,FALSE)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up'!$A$2:$C$70,3,FALSE)</f>
        <v>Cash</v>
      </c>
      <c r="J3537" s="5">
        <f>VLOOKUP(F3537,'Set up'!$A$2:$D$70,4,FALSE)</f>
        <v>0</v>
      </c>
      <c r="K3537" s="4">
        <f t="shared" si="911"/>
        <v>45650</v>
      </c>
      <c r="L3537" s="5">
        <f t="shared" si="912"/>
        <v>12</v>
      </c>
      <c r="M3537" s="5">
        <f t="shared" si="913"/>
        <v>2024</v>
      </c>
      <c r="N3537" s="12">
        <v>65</v>
      </c>
      <c r="O3537" s="6">
        <f t="shared" si="920"/>
        <v>-65</v>
      </c>
      <c r="P3537" s="12">
        <f t="shared" si="921"/>
        <v>0</v>
      </c>
      <c r="Q3537" s="7">
        <v>5807956.4500000002</v>
      </c>
      <c r="R3537" s="44" t="str">
        <f>VLOOKUP(F3537,'Set up'!$A$2:$E$70,5,FALSE)</f>
        <v>Cash</v>
      </c>
      <c r="S3537" s="1" t="s">
        <v>3325</v>
      </c>
    </row>
    <row r="3538" spans="1:21" ht="16.25" customHeight="1" x14ac:dyDescent="0.35">
      <c r="A3538" s="4" t="s">
        <v>3262</v>
      </c>
      <c r="B3538" s="5">
        <f t="shared" si="915"/>
        <v>12</v>
      </c>
      <c r="C3538" s="5">
        <f t="shared" si="916"/>
        <v>2024</v>
      </c>
      <c r="D3538" s="5" t="s">
        <v>3267</v>
      </c>
      <c r="E3538" s="5" t="str">
        <f>VLOOKUP(F3538,'Set up'!$A$2:$C$70,2,FALSE)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up'!$A$2:$C$70,3,FALSE)</f>
        <v>Cash</v>
      </c>
      <c r="J3538" s="5">
        <f>VLOOKUP(F3538,'Set up'!$A$2:$D$70,4,FALSE)</f>
        <v>0</v>
      </c>
      <c r="K3538" s="4">
        <f t="shared" si="911"/>
        <v>45650</v>
      </c>
      <c r="L3538" s="5">
        <f t="shared" si="912"/>
        <v>12</v>
      </c>
      <c r="M3538" s="5">
        <f t="shared" si="913"/>
        <v>2024</v>
      </c>
      <c r="N3538" s="12">
        <v>160</v>
      </c>
      <c r="O3538" s="6">
        <f t="shared" si="920"/>
        <v>-160</v>
      </c>
      <c r="P3538" s="12">
        <f t="shared" si="921"/>
        <v>0</v>
      </c>
      <c r="Q3538" s="7">
        <v>5808116.4500000002</v>
      </c>
      <c r="R3538" s="44" t="str">
        <f>VLOOKUP(F3538,'Set up'!$A$2:$E$70,5,FALSE)</f>
        <v>Cash</v>
      </c>
      <c r="S3538" s="1" t="s">
        <v>3325</v>
      </c>
    </row>
    <row r="3539" spans="1:21" ht="16.25" customHeight="1" x14ac:dyDescent="0.35">
      <c r="A3539" s="4" t="s">
        <v>3271</v>
      </c>
      <c r="B3539" s="5">
        <f t="shared" si="915"/>
        <v>12</v>
      </c>
      <c r="C3539" s="5">
        <f t="shared" si="916"/>
        <v>2024</v>
      </c>
      <c r="D3539" s="5" t="s">
        <v>3272</v>
      </c>
      <c r="E3539" s="5" t="str">
        <f>VLOOKUP(F3539,'Set up'!$A$2:$C$70,2,FALSE)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up'!$A$2:$C$70,3,FALSE)</f>
        <v>Cash</v>
      </c>
      <c r="J3539" s="5">
        <f>VLOOKUP(F3539,'Set up'!$A$2:$D$70,4,FALSE)</f>
        <v>0</v>
      </c>
      <c r="K3539" s="4">
        <f t="shared" si="911"/>
        <v>45653</v>
      </c>
      <c r="L3539" s="5">
        <f t="shared" si="912"/>
        <v>12</v>
      </c>
      <c r="M3539" s="5">
        <f t="shared" si="913"/>
        <v>2024</v>
      </c>
      <c r="N3539" s="12">
        <v>432</v>
      </c>
      <c r="O3539" s="6">
        <f t="shared" si="920"/>
        <v>-432</v>
      </c>
      <c r="P3539" s="12">
        <f t="shared" ref="P3539:P3545" si="922">SUM(N3539+O3539)</f>
        <v>0</v>
      </c>
      <c r="Q3539" s="7">
        <v>5808548.4500000002</v>
      </c>
      <c r="R3539" s="44" t="str">
        <f>VLOOKUP(F3539,'Set up'!$A$2:$E$70,5,FALSE)</f>
        <v>Cash</v>
      </c>
      <c r="S3539" s="1" t="s">
        <v>3323</v>
      </c>
    </row>
    <row r="3540" spans="1:21" ht="16.25" customHeight="1" x14ac:dyDescent="0.35">
      <c r="A3540" s="4" t="s">
        <v>3271</v>
      </c>
      <c r="B3540" s="5">
        <f t="shared" si="915"/>
        <v>12</v>
      </c>
      <c r="C3540" s="5">
        <f t="shared" si="916"/>
        <v>2024</v>
      </c>
      <c r="D3540" s="5" t="s">
        <v>3272</v>
      </c>
      <c r="E3540" s="5" t="str">
        <f>VLOOKUP(F3540,'Set up'!$A$2:$C$70,2,FALSE)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up'!$A$2:$C$70,3,FALSE)</f>
        <v>Cash</v>
      </c>
      <c r="J3540" s="5">
        <f>VLOOKUP(F3540,'Set up'!$A$2:$D$70,4,FALSE)</f>
        <v>0</v>
      </c>
      <c r="K3540" s="4">
        <f t="shared" si="911"/>
        <v>45653</v>
      </c>
      <c r="L3540" s="5">
        <f t="shared" si="912"/>
        <v>12</v>
      </c>
      <c r="M3540" s="5">
        <f t="shared" si="913"/>
        <v>2024</v>
      </c>
      <c r="N3540" s="12">
        <v>110</v>
      </c>
      <c r="O3540" s="6">
        <f t="shared" si="920"/>
        <v>-110</v>
      </c>
      <c r="P3540" s="12">
        <f t="shared" si="922"/>
        <v>0</v>
      </c>
      <c r="Q3540" s="7">
        <v>5808658.4500000002</v>
      </c>
      <c r="R3540" s="44" t="str">
        <f>VLOOKUP(F3540,'Set up'!$A$2:$E$70,5,FALSE)</f>
        <v>Cash</v>
      </c>
      <c r="S3540" s="1" t="s">
        <v>3323</v>
      </c>
    </row>
    <row r="3541" spans="1:21" ht="16.25" customHeight="1" x14ac:dyDescent="0.35">
      <c r="A3541" s="4" t="s">
        <v>3271</v>
      </c>
      <c r="B3541" s="5">
        <f t="shared" si="915"/>
        <v>12</v>
      </c>
      <c r="C3541" s="5">
        <f t="shared" si="916"/>
        <v>2024</v>
      </c>
      <c r="D3541" s="5" t="s">
        <v>3272</v>
      </c>
      <c r="E3541" s="5" t="str">
        <f>VLOOKUP(F3541,'Set up'!$A$2:$C$70,2,FALSE)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up'!$A$2:$C$70,3,FALSE)</f>
        <v>Cash</v>
      </c>
      <c r="J3541" s="5">
        <f>VLOOKUP(F3541,'Set up'!$A$2:$D$70,4,FALSE)</f>
        <v>0</v>
      </c>
      <c r="K3541" s="4">
        <f t="shared" si="911"/>
        <v>45653</v>
      </c>
      <c r="L3541" s="5">
        <f t="shared" si="912"/>
        <v>12</v>
      </c>
      <c r="M3541" s="5">
        <f t="shared" si="913"/>
        <v>2024</v>
      </c>
      <c r="N3541" s="12">
        <v>1732.5</v>
      </c>
      <c r="O3541" s="6">
        <f t="shared" si="920"/>
        <v>-1732.5</v>
      </c>
      <c r="P3541" s="12">
        <f t="shared" si="922"/>
        <v>0</v>
      </c>
      <c r="Q3541" s="7">
        <v>5810390.9500000002</v>
      </c>
      <c r="R3541" s="44" t="str">
        <f>VLOOKUP(F3541,'Set up'!$A$2:$E$70,5,FALSE)</f>
        <v>Cash</v>
      </c>
      <c r="S3541" s="1" t="s">
        <v>3323</v>
      </c>
    </row>
    <row r="3542" spans="1:21" ht="16.25" customHeight="1" x14ac:dyDescent="0.35">
      <c r="A3542" s="4" t="s">
        <v>3271</v>
      </c>
      <c r="B3542" s="5">
        <f t="shared" si="915"/>
        <v>12</v>
      </c>
      <c r="C3542" s="5">
        <f t="shared" si="916"/>
        <v>2024</v>
      </c>
      <c r="D3542" s="5" t="s">
        <v>3272</v>
      </c>
      <c r="E3542" s="5" t="str">
        <f>VLOOKUP(F3542,'Set up'!$A$2:$C$70,2,FALSE)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up'!$A$2:$C$70,3,FALSE)</f>
        <v>Cash</v>
      </c>
      <c r="J3542" s="5">
        <f>VLOOKUP(F3542,'Set up'!$A$2:$D$70,4,FALSE)</f>
        <v>0</v>
      </c>
      <c r="K3542" s="4">
        <f t="shared" si="911"/>
        <v>45653</v>
      </c>
      <c r="L3542" s="5">
        <f t="shared" si="912"/>
        <v>12</v>
      </c>
      <c r="M3542" s="5">
        <f t="shared" si="913"/>
        <v>2024</v>
      </c>
      <c r="N3542" s="12">
        <v>62.5</v>
      </c>
      <c r="O3542" s="6">
        <f t="shared" si="920"/>
        <v>-62.5</v>
      </c>
      <c r="P3542" s="12">
        <f t="shared" si="922"/>
        <v>0</v>
      </c>
      <c r="Q3542" s="7">
        <v>5810453.4500000002</v>
      </c>
      <c r="R3542" s="44" t="str">
        <f>VLOOKUP(F3542,'Set up'!$A$2:$E$70,5,FALSE)</f>
        <v>Cash</v>
      </c>
      <c r="S3542" s="1" t="s">
        <v>3323</v>
      </c>
    </row>
    <row r="3543" spans="1:21" ht="16.25" customHeight="1" x14ac:dyDescent="0.35">
      <c r="A3543" s="4" t="s">
        <v>3271</v>
      </c>
      <c r="B3543" s="5">
        <f t="shared" si="915"/>
        <v>12</v>
      </c>
      <c r="C3543" s="5">
        <f t="shared" si="916"/>
        <v>2024</v>
      </c>
      <c r="D3543" s="5" t="s">
        <v>3273</v>
      </c>
      <c r="E3543" s="5" t="str">
        <f>VLOOKUP(F3543,'Set up'!$A$2:$C$70,2,FALSE)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up'!$A$2:$C$70,3,FALSE)</f>
        <v>Cash</v>
      </c>
      <c r="J3543" s="5">
        <f>VLOOKUP(F3543,'Set up'!$A$2:$D$70,4,FALSE)</f>
        <v>0</v>
      </c>
      <c r="K3543" s="4">
        <f t="shared" si="911"/>
        <v>45653</v>
      </c>
      <c r="L3543" s="5">
        <f t="shared" si="912"/>
        <v>12</v>
      </c>
      <c r="M3543" s="5">
        <f t="shared" si="913"/>
        <v>2024</v>
      </c>
      <c r="N3543" s="12">
        <v>9720</v>
      </c>
      <c r="O3543" s="12">
        <f>-3750.6-5969.4</f>
        <v>-9720</v>
      </c>
      <c r="P3543" s="12">
        <f t="shared" si="922"/>
        <v>0</v>
      </c>
      <c r="Q3543" s="7">
        <v>5820173.4500000002</v>
      </c>
      <c r="R3543" s="44" t="str">
        <f>VLOOKUP(F3543,'Set up'!$A$2:$E$70,5,FALSE)</f>
        <v>Trsf</v>
      </c>
      <c r="S3543" s="1" t="s">
        <v>3797</v>
      </c>
    </row>
    <row r="3544" spans="1:21" ht="16.25" customHeight="1" x14ac:dyDescent="0.35">
      <c r="A3544" s="4" t="s">
        <v>3271</v>
      </c>
      <c r="B3544" s="5">
        <f t="shared" si="915"/>
        <v>12</v>
      </c>
      <c r="C3544" s="5">
        <f t="shared" si="916"/>
        <v>2024</v>
      </c>
      <c r="D3544" s="5" t="s">
        <v>3273</v>
      </c>
      <c r="E3544" s="5" t="str">
        <f>VLOOKUP(F3544,'Set up'!$A$2:$C$70,2,FALSE)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up'!$A$2:$C$70,3,FALSE)</f>
        <v>Cash</v>
      </c>
      <c r="J3544" s="5">
        <f>VLOOKUP(F3544,'Set up'!$A$2:$D$70,4,FALSE)</f>
        <v>0</v>
      </c>
      <c r="K3544" s="4">
        <f t="shared" si="911"/>
        <v>45653</v>
      </c>
      <c r="L3544" s="5">
        <f t="shared" si="912"/>
        <v>12</v>
      </c>
      <c r="M3544" s="5">
        <f t="shared" si="913"/>
        <v>2024</v>
      </c>
      <c r="N3544" s="12">
        <v>2610</v>
      </c>
      <c r="O3544" s="6">
        <f t="shared" ref="O3544:O3545" si="923">-N3544</f>
        <v>-2610</v>
      </c>
      <c r="P3544" s="12">
        <f t="shared" si="922"/>
        <v>0</v>
      </c>
      <c r="Q3544" s="7">
        <v>5822783.4500000002</v>
      </c>
      <c r="R3544" s="44" t="str">
        <f>VLOOKUP(F3544,'Set up'!$A$2:$E$70,5,FALSE)</f>
        <v>Trsf</v>
      </c>
      <c r="S3544" s="1" t="s">
        <v>3798</v>
      </c>
    </row>
    <row r="3545" spans="1:21" ht="16.25" customHeight="1" x14ac:dyDescent="0.35">
      <c r="A3545" s="4" t="s">
        <v>3271</v>
      </c>
      <c r="B3545" s="5">
        <f t="shared" si="915"/>
        <v>12</v>
      </c>
      <c r="C3545" s="5">
        <f t="shared" si="916"/>
        <v>2024</v>
      </c>
      <c r="D3545" s="5" t="s">
        <v>3273</v>
      </c>
      <c r="E3545" s="5" t="str">
        <f>VLOOKUP(F3545,'Set up'!$A$2:$C$70,2,FALSE)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up'!$A$2:$C$70,3,FALSE)</f>
        <v>Cash</v>
      </c>
      <c r="J3545" s="5">
        <f>VLOOKUP(F3545,'Set up'!$A$2:$D$70,4,FALSE)</f>
        <v>0</v>
      </c>
      <c r="K3545" s="4">
        <f t="shared" si="911"/>
        <v>45653</v>
      </c>
      <c r="L3545" s="5">
        <f t="shared" si="912"/>
        <v>12</v>
      </c>
      <c r="M3545" s="5">
        <f t="shared" si="913"/>
        <v>2024</v>
      </c>
      <c r="N3545" s="12">
        <v>1669.5</v>
      </c>
      <c r="O3545" s="6">
        <f t="shared" si="923"/>
        <v>-1669.5</v>
      </c>
      <c r="P3545" s="12">
        <f t="shared" si="922"/>
        <v>0</v>
      </c>
      <c r="Q3545" s="7">
        <v>5824452.9500000002</v>
      </c>
      <c r="R3545" s="44" t="str">
        <f>VLOOKUP(F3545,'Set up'!$A$2:$E$70,5,FALSE)</f>
        <v>Trsf</v>
      </c>
      <c r="S3545" s="1" t="s">
        <v>3808</v>
      </c>
    </row>
    <row r="3546" spans="1:21" ht="16.25" customHeight="1" x14ac:dyDescent="0.35">
      <c r="A3546" s="4" t="s">
        <v>3274</v>
      </c>
      <c r="B3546" s="5">
        <f t="shared" si="915"/>
        <v>12</v>
      </c>
      <c r="C3546" s="5">
        <f t="shared" si="916"/>
        <v>2024</v>
      </c>
      <c r="D3546" s="5" t="s">
        <v>3275</v>
      </c>
      <c r="E3546" s="5" t="str">
        <f>VLOOKUP(F3546,'Set up'!$A$2:$C$70,2,FALSE)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up'!$A$2:$C$70,3,FALSE)</f>
        <v>Cash</v>
      </c>
      <c r="J3546" s="5">
        <f>VLOOKUP(F3546,'Set up'!$A$2:$D$70,4,FALSE)</f>
        <v>0</v>
      </c>
      <c r="K3546" s="4">
        <f t="shared" si="911"/>
        <v>45654</v>
      </c>
      <c r="L3546" s="5">
        <f t="shared" si="912"/>
        <v>12</v>
      </c>
      <c r="M3546" s="5">
        <f t="shared" si="913"/>
        <v>2024</v>
      </c>
      <c r="N3546" s="12">
        <v>1755</v>
      </c>
      <c r="O3546" s="6">
        <f t="shared" ref="O3546:O3549" si="924">-N3546</f>
        <v>-1755</v>
      </c>
      <c r="P3546" s="12">
        <f t="shared" ref="P3546:P3553" si="925">SUM(N3546+O3546)</f>
        <v>0</v>
      </c>
      <c r="Q3546" s="7">
        <v>5826207.9500000002</v>
      </c>
      <c r="R3546" s="44" t="str">
        <f>VLOOKUP(F3546,'Set up'!$A$2:$E$70,5,FALSE)</f>
        <v>Cash</v>
      </c>
      <c r="S3546" s="1" t="s">
        <v>3423</v>
      </c>
    </row>
    <row r="3547" spans="1:21" ht="16.25" customHeight="1" x14ac:dyDescent="0.35">
      <c r="A3547" s="4" t="s">
        <v>3274</v>
      </c>
      <c r="B3547" s="5">
        <f t="shared" si="915"/>
        <v>12</v>
      </c>
      <c r="C3547" s="5">
        <f t="shared" si="916"/>
        <v>2024</v>
      </c>
      <c r="D3547" s="5" t="s">
        <v>3275</v>
      </c>
      <c r="E3547" s="5" t="str">
        <f>VLOOKUP(F3547,'Set up'!$A$2:$C$70,2,FALSE)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up'!$A$2:$C$70,3,FALSE)</f>
        <v>Cash</v>
      </c>
      <c r="J3547" s="5">
        <f>VLOOKUP(F3547,'Set up'!$A$2:$D$70,4,FALSE)</f>
        <v>0</v>
      </c>
      <c r="K3547" s="4">
        <f t="shared" si="911"/>
        <v>45654</v>
      </c>
      <c r="L3547" s="5">
        <f t="shared" si="912"/>
        <v>12</v>
      </c>
      <c r="M3547" s="5">
        <f t="shared" si="913"/>
        <v>2024</v>
      </c>
      <c r="N3547" s="12">
        <v>555</v>
      </c>
      <c r="O3547" s="6">
        <f t="shared" si="924"/>
        <v>-555</v>
      </c>
      <c r="P3547" s="12">
        <f t="shared" si="925"/>
        <v>0</v>
      </c>
      <c r="Q3547" s="7">
        <v>5826762.9500000002</v>
      </c>
      <c r="R3547" s="44" t="str">
        <f>VLOOKUP(F3547,'Set up'!$A$2:$E$70,5,FALSE)</f>
        <v>Cash</v>
      </c>
      <c r="S3547" s="1" t="s">
        <v>3423</v>
      </c>
    </row>
    <row r="3548" spans="1:21" ht="16.25" customHeight="1" x14ac:dyDescent="0.35">
      <c r="A3548" s="4" t="s">
        <v>3274</v>
      </c>
      <c r="B3548" s="5">
        <f t="shared" si="915"/>
        <v>12</v>
      </c>
      <c r="C3548" s="5">
        <f t="shared" si="916"/>
        <v>2024</v>
      </c>
      <c r="D3548" s="5" t="s">
        <v>3275</v>
      </c>
      <c r="E3548" s="5" t="str">
        <f>VLOOKUP(F3548,'Set up'!$A$2:$C$70,2,FALSE)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up'!$A$2:$C$70,3,FALSE)</f>
        <v>Cash</v>
      </c>
      <c r="J3548" s="5">
        <f>VLOOKUP(F3548,'Set up'!$A$2:$D$70,4,FALSE)</f>
        <v>0</v>
      </c>
      <c r="K3548" s="4">
        <f t="shared" si="911"/>
        <v>45654</v>
      </c>
      <c r="L3548" s="5">
        <f t="shared" si="912"/>
        <v>12</v>
      </c>
      <c r="M3548" s="5">
        <f t="shared" si="913"/>
        <v>2024</v>
      </c>
      <c r="N3548" s="12">
        <v>95</v>
      </c>
      <c r="O3548" s="6">
        <f t="shared" si="924"/>
        <v>-95</v>
      </c>
      <c r="P3548" s="12">
        <f t="shared" si="925"/>
        <v>0</v>
      </c>
      <c r="Q3548" s="7">
        <v>5826857.9500000002</v>
      </c>
      <c r="R3548" s="44" t="str">
        <f>VLOOKUP(F3548,'Set up'!$A$2:$E$70,5,FALSE)</f>
        <v>Cash</v>
      </c>
      <c r="S3548" s="1" t="s">
        <v>3423</v>
      </c>
    </row>
    <row r="3549" spans="1:21" ht="16.25" customHeight="1" x14ac:dyDescent="0.35">
      <c r="A3549" s="4" t="s">
        <v>3274</v>
      </c>
      <c r="B3549" s="5">
        <f t="shared" si="915"/>
        <v>12</v>
      </c>
      <c r="C3549" s="5">
        <f t="shared" si="916"/>
        <v>2024</v>
      </c>
      <c r="D3549" s="5" t="s">
        <v>3275</v>
      </c>
      <c r="E3549" s="5" t="str">
        <f>VLOOKUP(F3549,'Set up'!$A$2:$C$70,2,FALSE)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up'!$A$2:$C$70,3,FALSE)</f>
        <v>Cash</v>
      </c>
      <c r="J3549" s="5">
        <f>VLOOKUP(F3549,'Set up'!$A$2:$D$70,4,FALSE)</f>
        <v>0</v>
      </c>
      <c r="K3549" s="4">
        <f t="shared" si="911"/>
        <v>45654</v>
      </c>
      <c r="L3549" s="5">
        <f t="shared" si="912"/>
        <v>12</v>
      </c>
      <c r="M3549" s="5">
        <f t="shared" si="913"/>
        <v>2024</v>
      </c>
      <c r="N3549" s="12">
        <v>312.5</v>
      </c>
      <c r="O3549" s="6">
        <f t="shared" si="924"/>
        <v>-312.5</v>
      </c>
      <c r="P3549" s="12">
        <f t="shared" si="925"/>
        <v>0</v>
      </c>
      <c r="Q3549" s="7">
        <v>5827170.4500000002</v>
      </c>
      <c r="R3549" s="44" t="str">
        <f>VLOOKUP(F3549,'Set up'!$A$2:$E$70,5,FALSE)</f>
        <v>Cash</v>
      </c>
      <c r="S3549" s="1" t="s">
        <v>3423</v>
      </c>
    </row>
    <row r="3550" spans="1:21" ht="16.25" customHeight="1" x14ac:dyDescent="0.35">
      <c r="A3550" s="4" t="s">
        <v>3276</v>
      </c>
      <c r="B3550" s="5">
        <f t="shared" si="915"/>
        <v>12</v>
      </c>
      <c r="C3550" s="5">
        <f t="shared" si="916"/>
        <v>2024</v>
      </c>
      <c r="D3550" s="5" t="s">
        <v>3277</v>
      </c>
      <c r="E3550" s="5" t="str">
        <f>VLOOKUP(F3550,'Set up'!$A$2:$C$70,2,FALSE)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up'!$A$2:$C$70,3,FALSE)</f>
        <v>Cash</v>
      </c>
      <c r="J3550" s="5">
        <f>VLOOKUP(F3550,'Set up'!$A$2:$D$70,4,FALSE)</f>
        <v>0</v>
      </c>
      <c r="K3550" s="4">
        <f t="shared" si="911"/>
        <v>45656</v>
      </c>
      <c r="L3550" s="5">
        <f t="shared" si="912"/>
        <v>12</v>
      </c>
      <c r="M3550" s="5">
        <f t="shared" si="913"/>
        <v>2024</v>
      </c>
      <c r="N3550" s="12">
        <v>325</v>
      </c>
      <c r="O3550" s="6">
        <f>-N3550</f>
        <v>-325</v>
      </c>
      <c r="P3550" s="12">
        <f t="shared" si="925"/>
        <v>0</v>
      </c>
      <c r="Q3550" s="7">
        <v>5827495.4500000002</v>
      </c>
      <c r="R3550" s="44" t="str">
        <f>VLOOKUP(F3550,'Set up'!$A$2:$E$70,5,FALSE)</f>
        <v>Cash</v>
      </c>
      <c r="S3550" s="1" t="s">
        <v>3320</v>
      </c>
    </row>
    <row r="3551" spans="1:21" ht="16.25" customHeight="1" x14ac:dyDescent="0.35">
      <c r="A3551" s="4" t="s">
        <v>3278</v>
      </c>
      <c r="B3551" s="5">
        <f t="shared" si="915"/>
        <v>12</v>
      </c>
      <c r="C3551" s="5">
        <f t="shared" si="916"/>
        <v>2024</v>
      </c>
      <c r="D3551" s="5" t="s">
        <v>3279</v>
      </c>
      <c r="E3551" s="5" t="str">
        <f>VLOOKUP(F3551,'Set up'!$A$2:$C$70,2,FALSE)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up'!$A$2:$C$70,3,FALSE)</f>
        <v>45</v>
      </c>
      <c r="J3551" s="5">
        <f>VLOOKUP(F3551,'Set up'!$A$2:$D$70,4,FALSE)</f>
        <v>45</v>
      </c>
      <c r="K3551" s="4">
        <f t="shared" si="911"/>
        <v>45702</v>
      </c>
      <c r="L3551" s="5">
        <f t="shared" si="912"/>
        <v>2</v>
      </c>
      <c r="M3551" s="5">
        <f t="shared" si="913"/>
        <v>2025</v>
      </c>
      <c r="N3551" s="12">
        <v>1755</v>
      </c>
      <c r="O3551" s="6">
        <f>-N3551</f>
        <v>-1755</v>
      </c>
      <c r="P3551" s="12">
        <f t="shared" si="925"/>
        <v>0</v>
      </c>
      <c r="Q3551" s="7">
        <v>5829250.4500000002</v>
      </c>
      <c r="R3551" s="44" t="str">
        <f>VLOOKUP(F3551,'Set up'!$A$2:$E$70,5,FALSE)</f>
        <v>PD Chq</v>
      </c>
      <c r="S3551" s="1" t="s">
        <v>3477</v>
      </c>
      <c r="U3551" s="1" t="s">
        <v>3603</v>
      </c>
    </row>
    <row r="3552" spans="1:21" ht="16.25" customHeight="1" x14ac:dyDescent="0.35">
      <c r="A3552" s="4" t="s">
        <v>3278</v>
      </c>
      <c r="B3552" s="5">
        <f t="shared" si="915"/>
        <v>12</v>
      </c>
      <c r="C3552" s="5">
        <f t="shared" si="916"/>
        <v>2024</v>
      </c>
      <c r="D3552" s="5" t="s">
        <v>3279</v>
      </c>
      <c r="E3552" s="5" t="str">
        <f>VLOOKUP(F3552,'Set up'!$A$2:$C$70,2,FALSE)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up'!$A$2:$C$70,3,FALSE)</f>
        <v>45</v>
      </c>
      <c r="J3552" s="5">
        <f>VLOOKUP(F3552,'Set up'!$A$2:$D$70,4,FALSE)</f>
        <v>45</v>
      </c>
      <c r="K3552" s="4">
        <f t="shared" si="911"/>
        <v>45702</v>
      </c>
      <c r="L3552" s="5">
        <f t="shared" si="912"/>
        <v>2</v>
      </c>
      <c r="M3552" s="5">
        <f t="shared" si="913"/>
        <v>2025</v>
      </c>
      <c r="N3552" s="12">
        <v>220</v>
      </c>
      <c r="O3552" s="6">
        <f>-N3552</f>
        <v>-220</v>
      </c>
      <c r="P3552" s="12">
        <f t="shared" si="925"/>
        <v>0</v>
      </c>
      <c r="Q3552" s="7">
        <v>5829470.4500000002</v>
      </c>
      <c r="R3552" s="44" t="str">
        <f>VLOOKUP(F3552,'Set up'!$A$2:$E$70,5,FALSE)</f>
        <v>PD Chq</v>
      </c>
      <c r="S3552" s="1" t="s">
        <v>3480</v>
      </c>
      <c r="U3552" s="1" t="s">
        <v>3603</v>
      </c>
    </row>
    <row r="3553" spans="1:21" ht="16" customHeight="1" x14ac:dyDescent="0.35">
      <c r="A3553" s="4" t="s">
        <v>3278</v>
      </c>
      <c r="B3553" s="5">
        <f t="shared" si="915"/>
        <v>12</v>
      </c>
      <c r="C3553" s="5">
        <f t="shared" si="916"/>
        <v>2024</v>
      </c>
      <c r="D3553" s="5" t="s">
        <v>3279</v>
      </c>
      <c r="E3553" s="5" t="str">
        <f>VLOOKUP(F3553,'Set up'!$A$2:$C$70,2,FALSE)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up'!$A$2:$C$70,3,FALSE)</f>
        <v>45</v>
      </c>
      <c r="J3553" s="5">
        <f>VLOOKUP(F3553,'Set up'!$A$2:$D$70,4,FALSE)</f>
        <v>45</v>
      </c>
      <c r="K3553" s="4">
        <f t="shared" si="911"/>
        <v>45702</v>
      </c>
      <c r="L3553" s="5">
        <f t="shared" si="912"/>
        <v>2</v>
      </c>
      <c r="M3553" s="5">
        <f t="shared" si="913"/>
        <v>2025</v>
      </c>
      <c r="N3553" s="12">
        <v>130</v>
      </c>
      <c r="O3553" s="6">
        <f>-N3553</f>
        <v>-130</v>
      </c>
      <c r="P3553" s="12">
        <f t="shared" si="925"/>
        <v>0</v>
      </c>
      <c r="Q3553" s="7">
        <v>5829600.4500000002</v>
      </c>
      <c r="R3553" s="44" t="str">
        <f>VLOOKUP(F3553,'Set up'!$A$2:$E$70,5,FALSE)</f>
        <v>PD Chq</v>
      </c>
      <c r="S3553" s="1" t="s">
        <v>3479</v>
      </c>
      <c r="U3553" s="1" t="s">
        <v>3603</v>
      </c>
    </row>
    <row r="3554" spans="1:21" ht="16.25" customHeight="1" x14ac:dyDescent="0.35">
      <c r="A3554" s="4" t="s">
        <v>3278</v>
      </c>
      <c r="B3554" s="5">
        <f t="shared" si="915"/>
        <v>12</v>
      </c>
      <c r="C3554" s="5">
        <f t="shared" si="916"/>
        <v>2024</v>
      </c>
      <c r="D3554" s="5" t="s">
        <v>3280</v>
      </c>
      <c r="E3554" s="5" t="str">
        <f>VLOOKUP(F3554,'Set up'!$A$2:$C$70,2,FALSE)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up'!$A$2:$C$70,3,FALSE)</f>
        <v>Cash</v>
      </c>
      <c r="J3554" s="5">
        <f>VLOOKUP(F3554,'Set up'!$A$2:$D$70,4,FALSE)</f>
        <v>0</v>
      </c>
      <c r="K3554" s="4">
        <f t="shared" si="911"/>
        <v>45657</v>
      </c>
      <c r="L3554" s="5">
        <f t="shared" si="912"/>
        <v>12</v>
      </c>
      <c r="M3554" s="5">
        <f t="shared" si="913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up'!$A$2:$E$70,5,FALSE)</f>
        <v>Trsf</v>
      </c>
    </row>
    <row r="3555" spans="1:21" ht="16.25" customHeight="1" x14ac:dyDescent="0.35">
      <c r="A3555" s="4" t="s">
        <v>3278</v>
      </c>
      <c r="B3555" s="5">
        <f t="shared" si="915"/>
        <v>12</v>
      </c>
      <c r="C3555" s="5">
        <f t="shared" si="916"/>
        <v>2024</v>
      </c>
      <c r="D3555" s="5" t="s">
        <v>3281</v>
      </c>
      <c r="E3555" s="5" t="str">
        <f>VLOOKUP(F3555,'Set up'!$A$2:$C$70,2,FALSE)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up'!$A$2:$C$70,3,FALSE)</f>
        <v>Cash</v>
      </c>
      <c r="J3555" s="5">
        <f>VLOOKUP(F3555,'Set up'!$A$2:$D$70,4,FALSE)</f>
        <v>0</v>
      </c>
      <c r="K3555" s="4">
        <f t="shared" si="911"/>
        <v>45657</v>
      </c>
      <c r="L3555" s="5">
        <f t="shared" si="912"/>
        <v>12</v>
      </c>
      <c r="M3555" s="5">
        <f t="shared" si="913"/>
        <v>2024</v>
      </c>
      <c r="N3555" s="12">
        <v>360</v>
      </c>
      <c r="O3555" s="6">
        <f t="shared" ref="O3555" si="926">-N3555</f>
        <v>-360</v>
      </c>
      <c r="P3555" s="12">
        <f t="shared" ref="P3555" si="927">SUM(N3555+O3555)</f>
        <v>0</v>
      </c>
      <c r="Q3555" s="7">
        <v>5830365.4500000002</v>
      </c>
      <c r="R3555" s="44" t="str">
        <f>VLOOKUP(F3555,'Set up'!$A$2:$E$70,5,FALSE)</f>
        <v>Cash</v>
      </c>
      <c r="S3555" s="1" t="s">
        <v>3422</v>
      </c>
    </row>
    <row r="3556" spans="1:21" ht="16.25" customHeight="1" x14ac:dyDescent="0.35">
      <c r="A3556" s="140">
        <v>45659</v>
      </c>
      <c r="B3556" s="5">
        <f t="shared" si="915"/>
        <v>1</v>
      </c>
      <c r="C3556" s="5">
        <f t="shared" si="916"/>
        <v>2025</v>
      </c>
      <c r="D3556" s="105" t="s">
        <v>3333</v>
      </c>
      <c r="E3556" s="5" t="str">
        <f>VLOOKUP(F3556,'Set up'!$A$2:$C$70,2,FALSE)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up'!$A$2:$C$70,3,FALSE)</f>
        <v>45</v>
      </c>
      <c r="J3556" s="5">
        <f>VLOOKUP(F3556,'Set up'!$A$2:$D$70,4,FALSE)</f>
        <v>45</v>
      </c>
      <c r="K3556" s="4">
        <f t="shared" ref="K3556:K3619" si="928">A3556+J3556</f>
        <v>45704</v>
      </c>
      <c r="L3556" s="5">
        <f t="shared" ref="L3556:L3618" si="929">MONTH(K3556)</f>
        <v>2</v>
      </c>
      <c r="M3556" s="5">
        <f t="shared" ref="M3556:M3618" si="930">YEAR(K3556)</f>
        <v>2025</v>
      </c>
      <c r="N3556" s="135">
        <v>228</v>
      </c>
      <c r="O3556" s="6">
        <f>-N3556</f>
        <v>-228</v>
      </c>
      <c r="P3556" s="12">
        <f t="shared" ref="P3556:P3618" si="931">SUM(N3556+O3556)</f>
        <v>0</v>
      </c>
      <c r="Q3556" s="7">
        <f t="shared" ref="Q3556:Q3619" si="932">SUM(Q3555+N3556)</f>
        <v>5830593.4500000002</v>
      </c>
      <c r="R3556" s="44" t="str">
        <f>VLOOKUP(F3556,'Set up'!$A$2:$E$70,5,FALSE)</f>
        <v>PD Chq</v>
      </c>
      <c r="S3556" s="1" t="s">
        <v>3478</v>
      </c>
      <c r="U3556" s="1" t="s">
        <v>3603</v>
      </c>
    </row>
    <row r="3557" spans="1:21" ht="16.25" customHeight="1" x14ac:dyDescent="0.35">
      <c r="A3557" s="140">
        <v>45659</v>
      </c>
      <c r="B3557" s="5">
        <f t="shared" si="915"/>
        <v>1</v>
      </c>
      <c r="C3557" s="5">
        <f t="shared" si="916"/>
        <v>2025</v>
      </c>
      <c r="D3557" s="105" t="s">
        <v>3334</v>
      </c>
      <c r="E3557" s="5" t="str">
        <f>VLOOKUP(F3557,'Set up'!$A$2:$C$70,2,FALSE)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up'!$A$2:$C$70,3,FALSE)</f>
        <v>Cash</v>
      </c>
      <c r="J3557" s="5">
        <f>VLOOKUP(F3557,'Set up'!$A$2:$D$70,4,FALSE)</f>
        <v>0</v>
      </c>
      <c r="K3557" s="4">
        <f t="shared" si="928"/>
        <v>45659</v>
      </c>
      <c r="L3557" s="5">
        <f t="shared" si="929"/>
        <v>1</v>
      </c>
      <c r="M3557" s="5">
        <f t="shared" si="930"/>
        <v>2025</v>
      </c>
      <c r="N3557" s="135">
        <v>650</v>
      </c>
      <c r="O3557" s="6">
        <f>-N3557</f>
        <v>-650</v>
      </c>
      <c r="P3557" s="12">
        <f t="shared" si="931"/>
        <v>0</v>
      </c>
      <c r="Q3557" s="7">
        <f t="shared" si="932"/>
        <v>5831243.4500000002</v>
      </c>
      <c r="R3557" s="44" t="str">
        <f>VLOOKUP(F3557,'Set up'!$A$2:$E$70,5,FALSE)</f>
        <v>Cash</v>
      </c>
      <c r="S3557" s="1" t="s">
        <v>3433</v>
      </c>
    </row>
    <row r="3558" spans="1:21" ht="16.25" customHeight="1" x14ac:dyDescent="0.35">
      <c r="A3558" s="140">
        <v>45660</v>
      </c>
      <c r="B3558" s="5">
        <f t="shared" si="915"/>
        <v>1</v>
      </c>
      <c r="C3558" s="5">
        <f t="shared" si="916"/>
        <v>2025</v>
      </c>
      <c r="D3558" s="105" t="s">
        <v>3335</v>
      </c>
      <c r="E3558" s="5" t="str">
        <f>VLOOKUP(F3558,'Set up'!$A$2:$C$70,2,FALSE)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up'!$A$2:$C$70,3,FALSE)</f>
        <v>Cash</v>
      </c>
      <c r="J3558" s="5">
        <f>VLOOKUP(F3558,'Set up'!$A$2:$D$70,4,FALSE)</f>
        <v>0</v>
      </c>
      <c r="K3558" s="4">
        <f t="shared" si="928"/>
        <v>45660</v>
      </c>
      <c r="L3558" s="5">
        <f t="shared" si="929"/>
        <v>1</v>
      </c>
      <c r="M3558" s="5">
        <f t="shared" si="930"/>
        <v>2025</v>
      </c>
      <c r="N3558" s="135">
        <v>1755</v>
      </c>
      <c r="O3558" s="12"/>
      <c r="P3558" s="12">
        <f t="shared" si="931"/>
        <v>1755</v>
      </c>
      <c r="Q3558" s="7">
        <f t="shared" si="932"/>
        <v>5832998.4500000002</v>
      </c>
      <c r="R3558" s="44" t="str">
        <f>VLOOKUP(F3558,'Set up'!$A$2:$E$70,5,FALSE)</f>
        <v>Trsf</v>
      </c>
    </row>
    <row r="3559" spans="1:21" ht="16.25" customHeight="1" x14ac:dyDescent="0.35">
      <c r="A3559" s="140">
        <v>45660</v>
      </c>
      <c r="B3559" s="5">
        <f t="shared" si="915"/>
        <v>1</v>
      </c>
      <c r="C3559" s="5">
        <f t="shared" si="916"/>
        <v>2025</v>
      </c>
      <c r="D3559" s="105" t="s">
        <v>3335</v>
      </c>
      <c r="E3559" s="5" t="str">
        <f>VLOOKUP(F3559,'Set up'!$A$2:$C$70,2,FALSE)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up'!$A$2:$C$70,3,FALSE)</f>
        <v>Cash</v>
      </c>
      <c r="J3559" s="5">
        <f>VLOOKUP(F3559,'Set up'!$A$2:$D$70,4,FALSE)</f>
        <v>0</v>
      </c>
      <c r="K3559" s="4">
        <f t="shared" si="928"/>
        <v>45660</v>
      </c>
      <c r="L3559" s="5">
        <f t="shared" si="929"/>
        <v>1</v>
      </c>
      <c r="M3559" s="5">
        <f t="shared" si="930"/>
        <v>2025</v>
      </c>
      <c r="N3559" s="135">
        <v>110</v>
      </c>
      <c r="O3559" s="12"/>
      <c r="P3559" s="12">
        <f t="shared" si="931"/>
        <v>110</v>
      </c>
      <c r="Q3559" s="7">
        <f t="shared" si="932"/>
        <v>5833108.4500000002</v>
      </c>
      <c r="R3559" s="44" t="str">
        <f>VLOOKUP(F3559,'Set up'!$A$2:$E$70,5,FALSE)</f>
        <v>Trsf</v>
      </c>
    </row>
    <row r="3560" spans="1:21" ht="16.25" customHeight="1" x14ac:dyDescent="0.35">
      <c r="A3560" s="140">
        <v>45660</v>
      </c>
      <c r="B3560" s="5">
        <f t="shared" si="915"/>
        <v>1</v>
      </c>
      <c r="C3560" s="5">
        <f t="shared" si="916"/>
        <v>2025</v>
      </c>
      <c r="D3560" s="105" t="s">
        <v>3335</v>
      </c>
      <c r="E3560" s="5" t="str">
        <f>VLOOKUP(F3560,'Set up'!$A$2:$C$70,2,FALSE)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up'!$A$2:$C$70,3,FALSE)</f>
        <v>Cash</v>
      </c>
      <c r="J3560" s="5">
        <f>VLOOKUP(F3560,'Set up'!$A$2:$D$70,4,FALSE)</f>
        <v>0</v>
      </c>
      <c r="K3560" s="4">
        <f t="shared" si="928"/>
        <v>45660</v>
      </c>
      <c r="L3560" s="5">
        <f t="shared" si="929"/>
        <v>1</v>
      </c>
      <c r="M3560" s="5">
        <f t="shared" si="930"/>
        <v>2025</v>
      </c>
      <c r="N3560" s="135">
        <v>420</v>
      </c>
      <c r="O3560" s="12"/>
      <c r="P3560" s="12">
        <f t="shared" si="931"/>
        <v>420</v>
      </c>
      <c r="Q3560" s="7">
        <f t="shared" si="932"/>
        <v>5833528.4500000002</v>
      </c>
      <c r="R3560" s="44" t="str">
        <f>VLOOKUP(F3560,'Set up'!$A$2:$E$70,5,FALSE)</f>
        <v>Trsf</v>
      </c>
    </row>
    <row r="3561" spans="1:21" ht="16.25" customHeight="1" x14ac:dyDescent="0.35">
      <c r="A3561" s="140">
        <v>45660</v>
      </c>
      <c r="B3561" s="5">
        <f t="shared" si="915"/>
        <v>1</v>
      </c>
      <c r="C3561" s="5">
        <f t="shared" si="916"/>
        <v>2025</v>
      </c>
      <c r="D3561" s="105" t="s">
        <v>3336</v>
      </c>
      <c r="E3561" s="5" t="str">
        <f>VLOOKUP(F3561,'Set up'!$A$2:$C$70,2,FALSE)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up'!$A$2:$C$70,3,FALSE)</f>
        <v>Cash</v>
      </c>
      <c r="J3561" s="5">
        <f>VLOOKUP(F3561,'Set up'!$A$2:$D$70,4,FALSE)</f>
        <v>0</v>
      </c>
      <c r="K3561" s="4">
        <f t="shared" si="928"/>
        <v>45660</v>
      </c>
      <c r="L3561" s="5">
        <f t="shared" si="929"/>
        <v>1</v>
      </c>
      <c r="M3561" s="5">
        <f t="shared" si="930"/>
        <v>2025</v>
      </c>
      <c r="N3561" s="135">
        <v>312.5</v>
      </c>
      <c r="O3561" s="6">
        <f t="shared" ref="O3561" si="933">-N3561</f>
        <v>-312.5</v>
      </c>
      <c r="P3561" s="12">
        <f t="shared" si="931"/>
        <v>0</v>
      </c>
      <c r="Q3561" s="7">
        <f t="shared" si="932"/>
        <v>5833840.9500000002</v>
      </c>
      <c r="R3561" s="44" t="str">
        <f>VLOOKUP(F3561,'Set up'!$A$2:$E$70,5,FALSE)</f>
        <v>Trsf</v>
      </c>
      <c r="S3561" s="1" t="s">
        <v>3799</v>
      </c>
    </row>
    <row r="3562" spans="1:21" ht="16.25" customHeight="1" x14ac:dyDescent="0.35">
      <c r="A3562" s="140">
        <v>45660</v>
      </c>
      <c r="B3562" s="5">
        <f t="shared" si="915"/>
        <v>1</v>
      </c>
      <c r="C3562" s="5">
        <f t="shared" si="916"/>
        <v>2025</v>
      </c>
      <c r="D3562" s="105" t="s">
        <v>3337</v>
      </c>
      <c r="E3562" s="5" t="str">
        <f>VLOOKUP(F3562,'Set up'!$A$2:$C$70,2,FALSE)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up'!$A$2:$C$70,3,FALSE)</f>
        <v>Cash</v>
      </c>
      <c r="J3562" s="5">
        <f>VLOOKUP(F3562,'Set up'!$A$2:$D$70,4,FALSE)</f>
        <v>0</v>
      </c>
      <c r="K3562" s="4">
        <f t="shared" si="928"/>
        <v>45660</v>
      </c>
      <c r="L3562" s="5">
        <f t="shared" si="929"/>
        <v>1</v>
      </c>
      <c r="M3562" s="5">
        <f t="shared" si="930"/>
        <v>2025</v>
      </c>
      <c r="N3562" s="135">
        <v>12960</v>
      </c>
      <c r="O3562" s="12">
        <f>-7438.6-4500-1021.4</f>
        <v>-12960</v>
      </c>
      <c r="P3562" s="12">
        <f t="shared" si="931"/>
        <v>0</v>
      </c>
      <c r="Q3562" s="7">
        <f t="shared" si="932"/>
        <v>5846800.9500000002</v>
      </c>
      <c r="R3562" s="44" t="str">
        <f>VLOOKUP(F3562,'Set up'!$A$2:$E$70,5,FALSE)</f>
        <v>Trsf</v>
      </c>
      <c r="S3562" s="1" t="s">
        <v>3809</v>
      </c>
    </row>
    <row r="3563" spans="1:21" ht="16.25" customHeight="1" x14ac:dyDescent="0.35">
      <c r="A3563" s="140">
        <v>45660</v>
      </c>
      <c r="B3563" s="5">
        <f t="shared" si="915"/>
        <v>1</v>
      </c>
      <c r="C3563" s="5">
        <f t="shared" si="916"/>
        <v>2025</v>
      </c>
      <c r="D3563" s="105" t="s">
        <v>3337</v>
      </c>
      <c r="E3563" s="5" t="str">
        <f>VLOOKUP(F3563,'Set up'!$A$2:$C$70,2,FALSE)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up'!$A$2:$C$70,3,FALSE)</f>
        <v>Cash</v>
      </c>
      <c r="J3563" s="5">
        <f>VLOOKUP(F3563,'Set up'!$A$2:$D$70,4,FALSE)</f>
        <v>0</v>
      </c>
      <c r="K3563" s="4">
        <f t="shared" si="928"/>
        <v>45660</v>
      </c>
      <c r="L3563" s="5">
        <f t="shared" si="929"/>
        <v>1</v>
      </c>
      <c r="M3563" s="5">
        <f t="shared" si="930"/>
        <v>2025</v>
      </c>
      <c r="N3563" s="135">
        <v>5220</v>
      </c>
      <c r="O3563" s="12">
        <f>-1478.6-2000-1741.4</f>
        <v>-5220</v>
      </c>
      <c r="P3563" s="12">
        <f t="shared" si="931"/>
        <v>0</v>
      </c>
      <c r="Q3563" s="7">
        <f t="shared" si="932"/>
        <v>5852020.9500000002</v>
      </c>
      <c r="R3563" s="44" t="str">
        <f>VLOOKUP(F3563,'Set up'!$A$2:$E$70,5,FALSE)</f>
        <v>Trsf</v>
      </c>
      <c r="S3563" s="1" t="s">
        <v>3810</v>
      </c>
    </row>
    <row r="3564" spans="1:21" ht="16.25" customHeight="1" x14ac:dyDescent="0.35">
      <c r="A3564" s="140">
        <v>45660</v>
      </c>
      <c r="B3564" s="5">
        <f t="shared" si="915"/>
        <v>1</v>
      </c>
      <c r="C3564" s="5">
        <f t="shared" si="916"/>
        <v>2025</v>
      </c>
      <c r="D3564" s="105" t="s">
        <v>3337</v>
      </c>
      <c r="E3564" s="5" t="str">
        <f>VLOOKUP(F3564,'Set up'!$A$2:$C$70,2,FALSE)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up'!$A$2:$C$70,3,FALSE)</f>
        <v>Cash</v>
      </c>
      <c r="J3564" s="5">
        <f>VLOOKUP(F3564,'Set up'!$A$2:$D$70,4,FALSE)</f>
        <v>0</v>
      </c>
      <c r="K3564" s="4">
        <f t="shared" si="928"/>
        <v>45660</v>
      </c>
      <c r="L3564" s="5">
        <f t="shared" si="929"/>
        <v>1</v>
      </c>
      <c r="M3564" s="5">
        <f t="shared" si="930"/>
        <v>2025</v>
      </c>
      <c r="N3564" s="135">
        <v>3577.5</v>
      </c>
      <c r="O3564" s="6">
        <f t="shared" ref="O3564:O3565" si="934">-N3564</f>
        <v>-3577.5</v>
      </c>
      <c r="P3564" s="12">
        <f t="shared" si="931"/>
        <v>0</v>
      </c>
      <c r="Q3564" s="7">
        <f t="shared" si="932"/>
        <v>5855598.4500000002</v>
      </c>
      <c r="R3564" s="44" t="str">
        <f>VLOOKUP(F3564,'Set up'!$A$2:$E$70,5,FALSE)</f>
        <v>Trsf</v>
      </c>
      <c r="S3564" s="1" t="s">
        <v>3800</v>
      </c>
    </row>
    <row r="3565" spans="1:21" ht="16.25" customHeight="1" x14ac:dyDescent="0.35">
      <c r="A3565" s="140">
        <v>45660</v>
      </c>
      <c r="B3565" s="5">
        <f t="shared" si="915"/>
        <v>1</v>
      </c>
      <c r="C3565" s="5">
        <f t="shared" si="916"/>
        <v>2025</v>
      </c>
      <c r="D3565" s="105" t="s">
        <v>3337</v>
      </c>
      <c r="E3565" s="5" t="str">
        <f>VLOOKUP(F3565,'Set up'!$A$2:$C$70,2,FALSE)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up'!$A$2:$C$70,3,FALSE)</f>
        <v>Cash</v>
      </c>
      <c r="J3565" s="5">
        <f>VLOOKUP(F3565,'Set up'!$A$2:$D$70,4,FALSE)</f>
        <v>0</v>
      </c>
      <c r="K3565" s="4">
        <f t="shared" si="928"/>
        <v>45660</v>
      </c>
      <c r="L3565" s="5">
        <f t="shared" si="929"/>
        <v>1</v>
      </c>
      <c r="M3565" s="5">
        <f t="shared" si="930"/>
        <v>2025</v>
      </c>
      <c r="N3565" s="135">
        <v>575</v>
      </c>
      <c r="O3565" s="6">
        <f t="shared" si="934"/>
        <v>-575</v>
      </c>
      <c r="P3565" s="12">
        <f t="shared" si="931"/>
        <v>0</v>
      </c>
      <c r="Q3565" s="7">
        <f t="shared" si="932"/>
        <v>5856173.4500000002</v>
      </c>
      <c r="R3565" s="44" t="str">
        <f>VLOOKUP(F3565,'Set up'!$A$2:$E$70,5,FALSE)</f>
        <v>Trsf</v>
      </c>
      <c r="S3565" s="1" t="s">
        <v>3801</v>
      </c>
    </row>
    <row r="3566" spans="1:21" ht="16.25" customHeight="1" x14ac:dyDescent="0.35">
      <c r="A3566" s="140">
        <v>45660</v>
      </c>
      <c r="B3566" s="5">
        <f t="shared" si="915"/>
        <v>1</v>
      </c>
      <c r="C3566" s="5">
        <f t="shared" si="916"/>
        <v>2025</v>
      </c>
      <c r="D3566" s="105" t="s">
        <v>3337</v>
      </c>
      <c r="E3566" s="5" t="str">
        <f>VLOOKUP(F3566,'Set up'!$A$2:$C$70,2,FALSE)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up'!$A$2:$C$70,3,FALSE)</f>
        <v>Cash</v>
      </c>
      <c r="J3566" s="5">
        <f>VLOOKUP(F3566,'Set up'!$A$2:$D$70,4,FALSE)</f>
        <v>0</v>
      </c>
      <c r="K3566" s="4">
        <f t="shared" si="928"/>
        <v>45660</v>
      </c>
      <c r="L3566" s="5">
        <f t="shared" si="929"/>
        <v>1</v>
      </c>
      <c r="M3566" s="5">
        <f t="shared" si="930"/>
        <v>2025</v>
      </c>
      <c r="N3566" s="135">
        <v>1950</v>
      </c>
      <c r="O3566" s="12">
        <f>-1606.1-343.9</f>
        <v>-1950</v>
      </c>
      <c r="P3566" s="12">
        <f t="shared" si="931"/>
        <v>0</v>
      </c>
      <c r="Q3566" s="7">
        <f t="shared" si="932"/>
        <v>5858123.4500000002</v>
      </c>
      <c r="R3566" s="44" t="str">
        <f>VLOOKUP(F3566,'Set up'!$A$2:$E$70,5,FALSE)</f>
        <v>Trsf</v>
      </c>
      <c r="S3566" s="1" t="s">
        <v>3811</v>
      </c>
    </row>
    <row r="3567" spans="1:21" ht="16.25" customHeight="1" x14ac:dyDescent="0.35">
      <c r="A3567" s="140">
        <v>45664</v>
      </c>
      <c r="B3567" s="5">
        <f t="shared" si="915"/>
        <v>1</v>
      </c>
      <c r="C3567" s="5">
        <f t="shared" si="916"/>
        <v>2025</v>
      </c>
      <c r="D3567" s="105" t="s">
        <v>3338</v>
      </c>
      <c r="E3567" s="5" t="str">
        <f>VLOOKUP(F3567,'Set up'!$A$2:$C$70,2,FALSE)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up'!$A$2:$C$70,3,FALSE)</f>
        <v>Cash</v>
      </c>
      <c r="J3567" s="5">
        <f>VLOOKUP(F3567,'Set up'!$A$2:$D$70,4,FALSE)</f>
        <v>0</v>
      </c>
      <c r="K3567" s="4">
        <f t="shared" si="928"/>
        <v>45664</v>
      </c>
      <c r="L3567" s="5">
        <f t="shared" si="929"/>
        <v>1</v>
      </c>
      <c r="M3567" s="5">
        <f t="shared" si="930"/>
        <v>2025</v>
      </c>
      <c r="N3567" s="135">
        <v>3465</v>
      </c>
      <c r="O3567" s="12"/>
      <c r="P3567" s="12">
        <f t="shared" si="931"/>
        <v>3465</v>
      </c>
      <c r="Q3567" s="7">
        <f t="shared" si="932"/>
        <v>5861588.4500000002</v>
      </c>
      <c r="R3567" s="44" t="str">
        <f>VLOOKUP(F3567,'Set up'!$A$2:$E$70,5,FALSE)</f>
        <v>Trsf</v>
      </c>
    </row>
    <row r="3568" spans="1:21" ht="16.25" customHeight="1" x14ac:dyDescent="0.35">
      <c r="A3568" s="140">
        <v>45664</v>
      </c>
      <c r="B3568" s="5">
        <f t="shared" si="915"/>
        <v>1</v>
      </c>
      <c r="C3568" s="5">
        <f t="shared" si="916"/>
        <v>2025</v>
      </c>
      <c r="D3568" s="105" t="s">
        <v>3338</v>
      </c>
      <c r="E3568" s="5" t="str">
        <f>VLOOKUP(F3568,'Set up'!$A$2:$C$70,2,FALSE)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up'!$A$2:$C$70,3,FALSE)</f>
        <v>Cash</v>
      </c>
      <c r="J3568" s="5">
        <f>VLOOKUP(F3568,'Set up'!$A$2:$D$70,4,FALSE)</f>
        <v>0</v>
      </c>
      <c r="K3568" s="4">
        <f t="shared" si="928"/>
        <v>45664</v>
      </c>
      <c r="L3568" s="5">
        <f t="shared" si="929"/>
        <v>1</v>
      </c>
      <c r="M3568" s="5">
        <f t="shared" si="930"/>
        <v>2025</v>
      </c>
      <c r="N3568" s="135">
        <v>810</v>
      </c>
      <c r="O3568" s="12"/>
      <c r="P3568" s="12">
        <f t="shared" si="931"/>
        <v>810</v>
      </c>
      <c r="Q3568" s="7">
        <f t="shared" si="932"/>
        <v>5862398.4500000002</v>
      </c>
      <c r="R3568" s="44" t="str">
        <f>VLOOKUP(F3568,'Set up'!$A$2:$E$70,5,FALSE)</f>
        <v>Trsf</v>
      </c>
    </row>
    <row r="3569" spans="1:19" ht="16.25" customHeight="1" x14ac:dyDescent="0.35">
      <c r="A3569" s="140">
        <v>45664</v>
      </c>
      <c r="B3569" s="5">
        <f t="shared" si="915"/>
        <v>1</v>
      </c>
      <c r="C3569" s="5">
        <f t="shared" si="916"/>
        <v>2025</v>
      </c>
      <c r="D3569" s="105" t="s">
        <v>3338</v>
      </c>
      <c r="E3569" s="5" t="str">
        <f>VLOOKUP(F3569,'Set up'!$A$2:$C$70,2,FALSE)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up'!$A$2:$C$70,3,FALSE)</f>
        <v>Cash</v>
      </c>
      <c r="J3569" s="5">
        <f>VLOOKUP(F3569,'Set up'!$A$2:$D$70,4,FALSE)</f>
        <v>0</v>
      </c>
      <c r="K3569" s="4">
        <f t="shared" si="928"/>
        <v>45664</v>
      </c>
      <c r="L3569" s="5">
        <f t="shared" si="929"/>
        <v>1</v>
      </c>
      <c r="M3569" s="5">
        <f t="shared" si="930"/>
        <v>2025</v>
      </c>
      <c r="N3569" s="135">
        <v>280</v>
      </c>
      <c r="O3569" s="12"/>
      <c r="P3569" s="12">
        <f t="shared" si="931"/>
        <v>280</v>
      </c>
      <c r="Q3569" s="7">
        <f t="shared" si="932"/>
        <v>5862678.4500000002</v>
      </c>
      <c r="R3569" s="44" t="str">
        <f>VLOOKUP(F3569,'Set up'!$A$2:$E$70,5,FALSE)</f>
        <v>Trsf</v>
      </c>
    </row>
    <row r="3570" spans="1:19" ht="16.25" customHeight="1" x14ac:dyDescent="0.35">
      <c r="A3570" s="140">
        <v>45664</v>
      </c>
      <c r="B3570" s="5">
        <f t="shared" si="915"/>
        <v>1</v>
      </c>
      <c r="C3570" s="5">
        <f t="shared" si="916"/>
        <v>2025</v>
      </c>
      <c r="D3570" s="105" t="s">
        <v>3338</v>
      </c>
      <c r="E3570" s="5" t="str">
        <f>VLOOKUP(F3570,'Set up'!$A$2:$C$70,2,FALSE)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up'!$A$2:$C$70,3,FALSE)</f>
        <v>Cash</v>
      </c>
      <c r="J3570" s="5">
        <f>VLOOKUP(F3570,'Set up'!$A$2:$D$70,4,FALSE)</f>
        <v>0</v>
      </c>
      <c r="K3570" s="4">
        <f t="shared" si="928"/>
        <v>45664</v>
      </c>
      <c r="L3570" s="5">
        <f t="shared" si="929"/>
        <v>1</v>
      </c>
      <c r="M3570" s="5">
        <f t="shared" si="930"/>
        <v>2025</v>
      </c>
      <c r="N3570" s="135">
        <v>563.20000000000005</v>
      </c>
      <c r="O3570" s="12"/>
      <c r="P3570" s="12">
        <f t="shared" si="931"/>
        <v>563.20000000000005</v>
      </c>
      <c r="Q3570" s="7">
        <f t="shared" si="932"/>
        <v>5863241.6500000004</v>
      </c>
      <c r="R3570" s="44" t="str">
        <f>VLOOKUP(F3570,'Set up'!$A$2:$E$70,5,FALSE)</f>
        <v>Trsf</v>
      </c>
    </row>
    <row r="3571" spans="1:19" ht="16.25" customHeight="1" x14ac:dyDescent="0.35">
      <c r="A3571" s="140">
        <v>45664</v>
      </c>
      <c r="B3571" s="5">
        <f t="shared" si="915"/>
        <v>1</v>
      </c>
      <c r="C3571" s="5">
        <f t="shared" si="916"/>
        <v>2025</v>
      </c>
      <c r="D3571" s="105" t="s">
        <v>3338</v>
      </c>
      <c r="E3571" s="5" t="str">
        <f>VLOOKUP(F3571,'Set up'!$A$2:$C$70,2,FALSE)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up'!$A$2:$C$70,3,FALSE)</f>
        <v>Cash</v>
      </c>
      <c r="J3571" s="5">
        <f>VLOOKUP(F3571,'Set up'!$A$2:$D$70,4,FALSE)</f>
        <v>0</v>
      </c>
      <c r="K3571" s="4">
        <f t="shared" si="928"/>
        <v>45664</v>
      </c>
      <c r="L3571" s="5">
        <f t="shared" si="929"/>
        <v>1</v>
      </c>
      <c r="M3571" s="5">
        <f t="shared" si="930"/>
        <v>2025</v>
      </c>
      <c r="N3571" s="135">
        <v>190</v>
      </c>
      <c r="O3571" s="12"/>
      <c r="P3571" s="12">
        <f t="shared" si="931"/>
        <v>190</v>
      </c>
      <c r="Q3571" s="7">
        <f t="shared" si="932"/>
        <v>5863431.6500000004</v>
      </c>
      <c r="R3571" s="44" t="str">
        <f>VLOOKUP(F3571,'Set up'!$A$2:$E$70,5,FALSE)</f>
        <v>Trsf</v>
      </c>
    </row>
    <row r="3572" spans="1:19" ht="16.25" customHeight="1" x14ac:dyDescent="0.35">
      <c r="A3572" s="140">
        <v>45664</v>
      </c>
      <c r="B3572" s="5">
        <f t="shared" si="915"/>
        <v>1</v>
      </c>
      <c r="C3572" s="5">
        <f t="shared" si="916"/>
        <v>2025</v>
      </c>
      <c r="D3572" s="105" t="s">
        <v>3338</v>
      </c>
      <c r="E3572" s="5" t="str">
        <f>VLOOKUP(F3572,'Set up'!$A$2:$C$70,2,FALSE)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up'!$A$2:$C$70,3,FALSE)</f>
        <v>Cash</v>
      </c>
      <c r="J3572" s="5">
        <f>VLOOKUP(F3572,'Set up'!$A$2:$D$70,4,FALSE)</f>
        <v>0</v>
      </c>
      <c r="K3572" s="4">
        <f t="shared" si="928"/>
        <v>45664</v>
      </c>
      <c r="L3572" s="5">
        <f t="shared" si="929"/>
        <v>1</v>
      </c>
      <c r="M3572" s="5">
        <f t="shared" si="930"/>
        <v>2025</v>
      </c>
      <c r="N3572" s="135">
        <v>170</v>
      </c>
      <c r="O3572" s="12"/>
      <c r="P3572" s="12">
        <f t="shared" si="931"/>
        <v>170</v>
      </c>
      <c r="Q3572" s="7">
        <f t="shared" si="932"/>
        <v>5863601.6500000004</v>
      </c>
      <c r="R3572" s="44" t="str">
        <f>VLOOKUP(F3572,'Set up'!$A$2:$E$70,5,FALSE)</f>
        <v>Trsf</v>
      </c>
    </row>
    <row r="3573" spans="1:19" ht="16.25" customHeight="1" x14ac:dyDescent="0.35">
      <c r="A3573" s="140">
        <v>45664</v>
      </c>
      <c r="B3573" s="5">
        <f t="shared" si="915"/>
        <v>1</v>
      </c>
      <c r="C3573" s="5">
        <f t="shared" si="916"/>
        <v>2025</v>
      </c>
      <c r="D3573" s="105" t="s">
        <v>3338</v>
      </c>
      <c r="E3573" s="5" t="str">
        <f>VLOOKUP(F3573,'Set up'!$A$2:$C$70,2,FALSE)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up'!$A$2:$C$70,3,FALSE)</f>
        <v>Cash</v>
      </c>
      <c r="J3573" s="5">
        <f>VLOOKUP(F3573,'Set up'!$A$2:$D$70,4,FALSE)</f>
        <v>0</v>
      </c>
      <c r="K3573" s="4">
        <f t="shared" si="928"/>
        <v>45664</v>
      </c>
      <c r="L3573" s="5">
        <f t="shared" si="929"/>
        <v>1</v>
      </c>
      <c r="M3573" s="5">
        <f t="shared" si="930"/>
        <v>2025</v>
      </c>
      <c r="N3573" s="135">
        <v>320</v>
      </c>
      <c r="O3573" s="12"/>
      <c r="P3573" s="12">
        <f t="shared" si="931"/>
        <v>320</v>
      </c>
      <c r="Q3573" s="7">
        <f t="shared" si="932"/>
        <v>5863921.6500000004</v>
      </c>
      <c r="R3573" s="44" t="str">
        <f>VLOOKUP(F3573,'Set up'!$A$2:$E$70,5,FALSE)</f>
        <v>Trsf</v>
      </c>
    </row>
    <row r="3574" spans="1:19" ht="16.25" customHeight="1" x14ac:dyDescent="0.35">
      <c r="A3574" s="140">
        <v>45664</v>
      </c>
      <c r="B3574" s="5">
        <f t="shared" si="915"/>
        <v>1</v>
      </c>
      <c r="C3574" s="5">
        <f t="shared" si="916"/>
        <v>2025</v>
      </c>
      <c r="D3574" s="105" t="s">
        <v>3338</v>
      </c>
      <c r="E3574" s="5" t="str">
        <f>VLOOKUP(F3574,'Set up'!$A$2:$C$70,2,FALSE)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up'!$A$2:$C$70,3,FALSE)</f>
        <v>Cash</v>
      </c>
      <c r="J3574" s="5">
        <f>VLOOKUP(F3574,'Set up'!$A$2:$D$70,4,FALSE)</f>
        <v>0</v>
      </c>
      <c r="K3574" s="4">
        <f t="shared" si="928"/>
        <v>45664</v>
      </c>
      <c r="L3574" s="5">
        <f t="shared" si="929"/>
        <v>1</v>
      </c>
      <c r="M3574" s="5">
        <f t="shared" si="930"/>
        <v>2025</v>
      </c>
      <c r="N3574" s="135">
        <v>120</v>
      </c>
      <c r="O3574" s="12"/>
      <c r="P3574" s="12">
        <f t="shared" si="931"/>
        <v>120</v>
      </c>
      <c r="Q3574" s="7">
        <f t="shared" si="932"/>
        <v>5864041.6500000004</v>
      </c>
      <c r="R3574" s="44" t="str">
        <f>VLOOKUP(F3574,'Set up'!$A$2:$E$70,5,FALSE)</f>
        <v>Trsf</v>
      </c>
    </row>
    <row r="3575" spans="1:19" ht="16.25" customHeight="1" x14ac:dyDescent="0.35">
      <c r="A3575" s="140">
        <v>45664</v>
      </c>
      <c r="B3575" s="5">
        <f t="shared" si="915"/>
        <v>1</v>
      </c>
      <c r="C3575" s="5">
        <f t="shared" si="916"/>
        <v>2025</v>
      </c>
      <c r="D3575" s="105" t="s">
        <v>3338</v>
      </c>
      <c r="E3575" s="5" t="str">
        <f>VLOOKUP(F3575,'Set up'!$A$2:$C$70,2,FALSE)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up'!$A$2:$C$70,3,FALSE)</f>
        <v>Cash</v>
      </c>
      <c r="J3575" s="5">
        <f>VLOOKUP(F3575,'Set up'!$A$2:$D$70,4,FALSE)</f>
        <v>0</v>
      </c>
      <c r="K3575" s="4">
        <f t="shared" si="928"/>
        <v>45664</v>
      </c>
      <c r="L3575" s="5">
        <f t="shared" si="929"/>
        <v>1</v>
      </c>
      <c r="M3575" s="5">
        <f t="shared" si="930"/>
        <v>2025</v>
      </c>
      <c r="N3575" s="135">
        <v>420</v>
      </c>
      <c r="O3575" s="12"/>
      <c r="P3575" s="12">
        <f t="shared" si="931"/>
        <v>420</v>
      </c>
      <c r="Q3575" s="7">
        <f t="shared" si="932"/>
        <v>5864461.6500000004</v>
      </c>
      <c r="R3575" s="44" t="str">
        <f>VLOOKUP(F3575,'Set up'!$A$2:$E$70,5,FALSE)</f>
        <v>Trsf</v>
      </c>
    </row>
    <row r="3576" spans="1:19" ht="16.25" customHeight="1" x14ac:dyDescent="0.35">
      <c r="A3576" s="140">
        <v>45664</v>
      </c>
      <c r="B3576" s="5">
        <f t="shared" si="915"/>
        <v>1</v>
      </c>
      <c r="C3576" s="5">
        <f t="shared" si="916"/>
        <v>2025</v>
      </c>
      <c r="D3576" s="105" t="s">
        <v>3338</v>
      </c>
      <c r="E3576" s="5" t="str">
        <f>VLOOKUP(F3576,'Set up'!$A$2:$C$70,2,FALSE)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up'!$A$2:$C$70,3,FALSE)</f>
        <v>Cash</v>
      </c>
      <c r="J3576" s="5">
        <f>VLOOKUP(F3576,'Set up'!$A$2:$D$70,4,FALSE)</f>
        <v>0</v>
      </c>
      <c r="K3576" s="4">
        <f t="shared" si="928"/>
        <v>45664</v>
      </c>
      <c r="L3576" s="5">
        <f t="shared" si="929"/>
        <v>1</v>
      </c>
      <c r="M3576" s="5">
        <f t="shared" si="930"/>
        <v>2025</v>
      </c>
      <c r="N3576" s="135">
        <v>180</v>
      </c>
      <c r="O3576" s="12"/>
      <c r="P3576" s="12">
        <f t="shared" si="931"/>
        <v>180</v>
      </c>
      <c r="Q3576" s="7">
        <f t="shared" si="932"/>
        <v>5864641.6500000004</v>
      </c>
      <c r="R3576" s="44" t="str">
        <f>VLOOKUP(F3576,'Set up'!$A$2:$E$70,5,FALSE)</f>
        <v>Trsf</v>
      </c>
    </row>
    <row r="3577" spans="1:19" ht="16.25" customHeight="1" x14ac:dyDescent="0.35">
      <c r="A3577" s="140">
        <v>45665</v>
      </c>
      <c r="B3577" s="5">
        <f t="shared" si="915"/>
        <v>1</v>
      </c>
      <c r="C3577" s="5">
        <f t="shared" si="916"/>
        <v>2025</v>
      </c>
      <c r="D3577" s="105" t="s">
        <v>3341</v>
      </c>
      <c r="E3577" s="5" t="str">
        <f>VLOOKUP(F3577,'Set up'!$A$2:$C$70,2,FALSE)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up'!$A$2:$C$70,3,FALSE)</f>
        <v>Cash</v>
      </c>
      <c r="J3577" s="5">
        <f>VLOOKUP(F3577,'Set up'!$A$2:$D$70,4,FALSE)</f>
        <v>0</v>
      </c>
      <c r="K3577" s="4">
        <f t="shared" si="928"/>
        <v>45665</v>
      </c>
      <c r="L3577" s="5">
        <f t="shared" si="929"/>
        <v>1</v>
      </c>
      <c r="M3577" s="5">
        <f t="shared" si="930"/>
        <v>2025</v>
      </c>
      <c r="N3577" s="135">
        <v>125</v>
      </c>
      <c r="O3577" s="6">
        <f t="shared" ref="O3577:O3578" si="935">-N3577</f>
        <v>-125</v>
      </c>
      <c r="P3577" s="12">
        <f t="shared" si="931"/>
        <v>0</v>
      </c>
      <c r="Q3577" s="7">
        <f t="shared" si="932"/>
        <v>5864766.6500000004</v>
      </c>
      <c r="R3577" s="44" t="str">
        <f>VLOOKUP(F3577,'Set up'!$A$2:$E$70,5,FALSE)</f>
        <v>Trsf</v>
      </c>
      <c r="S3577" s="1" t="s">
        <v>3802</v>
      </c>
    </row>
    <row r="3578" spans="1:19" ht="16.25" customHeight="1" x14ac:dyDescent="0.35">
      <c r="A3578" s="140">
        <v>45665</v>
      </c>
      <c r="B3578" s="5">
        <f t="shared" si="915"/>
        <v>1</v>
      </c>
      <c r="C3578" s="5">
        <f t="shared" si="916"/>
        <v>2025</v>
      </c>
      <c r="D3578" s="105" t="s">
        <v>3342</v>
      </c>
      <c r="E3578" s="5" t="str">
        <f>VLOOKUP(F3578,'Set up'!$A$2:$C$70,2,FALSE)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up'!$A$2:$C$70,3,FALSE)</f>
        <v>Cash</v>
      </c>
      <c r="J3578" s="5">
        <f>VLOOKUP(F3578,'Set up'!$A$2:$D$70,4,FALSE)</f>
        <v>0</v>
      </c>
      <c r="K3578" s="4">
        <f t="shared" si="928"/>
        <v>45665</v>
      </c>
      <c r="L3578" s="5">
        <f t="shared" si="929"/>
        <v>1</v>
      </c>
      <c r="M3578" s="5">
        <f t="shared" si="930"/>
        <v>2025</v>
      </c>
      <c r="N3578" s="135">
        <v>8100</v>
      </c>
      <c r="O3578" s="6">
        <f t="shared" si="935"/>
        <v>-8100</v>
      </c>
      <c r="P3578" s="12">
        <f t="shared" si="931"/>
        <v>0</v>
      </c>
      <c r="Q3578" s="7">
        <f t="shared" si="932"/>
        <v>5872866.6500000004</v>
      </c>
      <c r="R3578" s="44" t="str">
        <f>VLOOKUP(F3578,'Set up'!$A$2:$E$70,5,FALSE)</f>
        <v>Trsf</v>
      </c>
      <c r="S3578" s="1" t="s">
        <v>3803</v>
      </c>
    </row>
    <row r="3579" spans="1:19" ht="16.25" customHeight="1" x14ac:dyDescent="0.35">
      <c r="A3579" s="140">
        <v>45665</v>
      </c>
      <c r="B3579" s="5">
        <f t="shared" si="915"/>
        <v>1</v>
      </c>
      <c r="C3579" s="5">
        <f t="shared" si="916"/>
        <v>2025</v>
      </c>
      <c r="D3579" s="105" t="s">
        <v>3342</v>
      </c>
      <c r="E3579" s="5" t="str">
        <f>VLOOKUP(F3579,'Set up'!$A$2:$C$70,2,FALSE)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up'!$A$2:$C$70,3,FALSE)</f>
        <v>Cash</v>
      </c>
      <c r="J3579" s="5">
        <f>VLOOKUP(F3579,'Set up'!$A$2:$D$70,4,FALSE)</f>
        <v>0</v>
      </c>
      <c r="K3579" s="4">
        <f t="shared" si="928"/>
        <v>45665</v>
      </c>
      <c r="L3579" s="5">
        <f t="shared" si="929"/>
        <v>1</v>
      </c>
      <c r="M3579" s="5">
        <f t="shared" si="930"/>
        <v>2025</v>
      </c>
      <c r="N3579" s="135">
        <v>2610</v>
      </c>
      <c r="O3579" s="12">
        <f>-1431.1-1178.9</f>
        <v>-2610</v>
      </c>
      <c r="P3579" s="12">
        <f t="shared" si="931"/>
        <v>0</v>
      </c>
      <c r="Q3579" s="7">
        <f t="shared" si="932"/>
        <v>5875476.6500000004</v>
      </c>
      <c r="R3579" s="44" t="str">
        <f>VLOOKUP(F3579,'Set up'!$A$2:$E$70,5,FALSE)</f>
        <v>Trsf</v>
      </c>
      <c r="S3579" s="1" t="s">
        <v>3812</v>
      </c>
    </row>
    <row r="3580" spans="1:19" ht="16.25" customHeight="1" x14ac:dyDescent="0.35">
      <c r="A3580" s="140">
        <v>45665</v>
      </c>
      <c r="B3580" s="5">
        <f t="shared" si="915"/>
        <v>1</v>
      </c>
      <c r="C3580" s="5">
        <f t="shared" si="916"/>
        <v>2025</v>
      </c>
      <c r="D3580" s="105" t="s">
        <v>3342</v>
      </c>
      <c r="E3580" s="5" t="str">
        <f>VLOOKUP(F3580,'Set up'!$A$2:$C$70,2,FALSE)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up'!$A$2:$C$70,3,FALSE)</f>
        <v>Cash</v>
      </c>
      <c r="J3580" s="5">
        <f>VLOOKUP(F3580,'Set up'!$A$2:$D$70,4,FALSE)</f>
        <v>0</v>
      </c>
      <c r="K3580" s="4">
        <f t="shared" si="928"/>
        <v>45665</v>
      </c>
      <c r="L3580" s="5">
        <f t="shared" si="929"/>
        <v>1</v>
      </c>
      <c r="M3580" s="5">
        <f t="shared" si="930"/>
        <v>2025</v>
      </c>
      <c r="N3580" s="135">
        <v>1732.5</v>
      </c>
      <c r="O3580" s="6">
        <f t="shared" ref="O3580:O3583" si="936">-N3580</f>
        <v>-1732.5</v>
      </c>
      <c r="P3580" s="12">
        <f t="shared" si="931"/>
        <v>0</v>
      </c>
      <c r="Q3580" s="7">
        <f t="shared" si="932"/>
        <v>5877209.1500000004</v>
      </c>
      <c r="R3580" s="44" t="str">
        <f>VLOOKUP(F3580,'Set up'!$A$2:$E$70,5,FALSE)</f>
        <v>Trsf</v>
      </c>
      <c r="S3580" s="1" t="s">
        <v>3804</v>
      </c>
    </row>
    <row r="3581" spans="1:19" ht="16.25" customHeight="1" x14ac:dyDescent="0.35">
      <c r="A3581" s="140">
        <v>45665</v>
      </c>
      <c r="B3581" s="5">
        <f t="shared" si="915"/>
        <v>1</v>
      </c>
      <c r="C3581" s="5">
        <f t="shared" si="916"/>
        <v>2025</v>
      </c>
      <c r="D3581" s="105" t="s">
        <v>3342</v>
      </c>
      <c r="E3581" s="5" t="str">
        <f>VLOOKUP(F3581,'Set up'!$A$2:$C$70,2,FALSE)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up'!$A$2:$C$70,3,FALSE)</f>
        <v>Cash</v>
      </c>
      <c r="J3581" s="5">
        <f>VLOOKUP(F3581,'Set up'!$A$2:$D$70,4,FALSE)</f>
        <v>0</v>
      </c>
      <c r="K3581" s="4">
        <f t="shared" si="928"/>
        <v>45665</v>
      </c>
      <c r="L3581" s="5">
        <f t="shared" si="929"/>
        <v>1</v>
      </c>
      <c r="M3581" s="5">
        <f t="shared" si="930"/>
        <v>2025</v>
      </c>
      <c r="N3581" s="135">
        <v>690</v>
      </c>
      <c r="O3581" s="6">
        <f t="shared" si="936"/>
        <v>-690</v>
      </c>
      <c r="P3581" s="12">
        <f t="shared" si="931"/>
        <v>0</v>
      </c>
      <c r="Q3581" s="7">
        <f t="shared" si="932"/>
        <v>5877899.1500000004</v>
      </c>
      <c r="R3581" s="44" t="str">
        <f>VLOOKUP(F3581,'Set up'!$A$2:$E$70,5,FALSE)</f>
        <v>Trsf</v>
      </c>
      <c r="S3581" s="1" t="s">
        <v>3805</v>
      </c>
    </row>
    <row r="3582" spans="1:19" ht="16.25" customHeight="1" x14ac:dyDescent="0.35">
      <c r="A3582" s="140">
        <v>45665</v>
      </c>
      <c r="B3582" s="5">
        <f t="shared" si="915"/>
        <v>1</v>
      </c>
      <c r="C3582" s="5">
        <f t="shared" si="916"/>
        <v>2025</v>
      </c>
      <c r="D3582" s="105" t="s">
        <v>3342</v>
      </c>
      <c r="E3582" s="5" t="str">
        <f>VLOOKUP(F3582,'Set up'!$A$2:$C$70,2,FALSE)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up'!$A$2:$C$70,3,FALSE)</f>
        <v>Cash</v>
      </c>
      <c r="J3582" s="5">
        <f>VLOOKUP(F3582,'Set up'!$A$2:$D$70,4,FALSE)</f>
        <v>0</v>
      </c>
      <c r="K3582" s="4">
        <f t="shared" si="928"/>
        <v>45665</v>
      </c>
      <c r="L3582" s="5">
        <f t="shared" si="929"/>
        <v>1</v>
      </c>
      <c r="M3582" s="5">
        <f t="shared" si="930"/>
        <v>2025</v>
      </c>
      <c r="N3582" s="135">
        <v>975</v>
      </c>
      <c r="O3582" s="6">
        <f t="shared" si="936"/>
        <v>-975</v>
      </c>
      <c r="P3582" s="12">
        <f t="shared" si="931"/>
        <v>0</v>
      </c>
      <c r="Q3582" s="7">
        <f t="shared" si="932"/>
        <v>5878874.1500000004</v>
      </c>
      <c r="R3582" s="44" t="str">
        <f>VLOOKUP(F3582,'Set up'!$A$2:$E$70,5,FALSE)</f>
        <v>Trsf</v>
      </c>
      <c r="S3582" s="1" t="s">
        <v>3806</v>
      </c>
    </row>
    <row r="3583" spans="1:19" ht="16.25" customHeight="1" x14ac:dyDescent="0.35">
      <c r="A3583" s="140">
        <v>45667</v>
      </c>
      <c r="B3583" s="5">
        <f t="shared" si="915"/>
        <v>1</v>
      </c>
      <c r="C3583" s="5">
        <f t="shared" si="916"/>
        <v>2025</v>
      </c>
      <c r="D3583" s="105" t="s">
        <v>3343</v>
      </c>
      <c r="E3583" s="5" t="str">
        <f>VLOOKUP(F3583,'Set up'!$A$2:$C$70,2,FALSE)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up'!$A$2:$C$70,3,FALSE)</f>
        <v>Cash</v>
      </c>
      <c r="J3583" s="5">
        <f>VLOOKUP(F3583,'Set up'!$A$2:$D$70,4,FALSE)</f>
        <v>0</v>
      </c>
      <c r="K3583" s="4">
        <f t="shared" si="928"/>
        <v>45667</v>
      </c>
      <c r="L3583" s="5">
        <f t="shared" si="929"/>
        <v>1</v>
      </c>
      <c r="M3583" s="5">
        <f t="shared" si="930"/>
        <v>2025</v>
      </c>
      <c r="N3583" s="135">
        <v>62.5</v>
      </c>
      <c r="O3583" s="6">
        <f t="shared" si="936"/>
        <v>-62.5</v>
      </c>
      <c r="P3583" s="12">
        <f t="shared" si="931"/>
        <v>0</v>
      </c>
      <c r="Q3583" s="7">
        <f t="shared" si="932"/>
        <v>5878936.6500000004</v>
      </c>
      <c r="R3583" s="44" t="str">
        <f>VLOOKUP(F3583,'Set up'!$A$2:$E$70,5,FALSE)</f>
        <v>Trsf</v>
      </c>
      <c r="S3583" s="1" t="s">
        <v>3807</v>
      </c>
    </row>
    <row r="3584" spans="1:19" ht="16.25" customHeight="1" x14ac:dyDescent="0.35">
      <c r="A3584" s="140">
        <v>45667</v>
      </c>
      <c r="B3584" s="5">
        <f t="shared" si="915"/>
        <v>1</v>
      </c>
      <c r="C3584" s="5">
        <f t="shared" si="916"/>
        <v>2025</v>
      </c>
      <c r="D3584" s="105" t="s">
        <v>3344</v>
      </c>
      <c r="E3584" s="5" t="str">
        <f>VLOOKUP(F3584,'Set up'!$A$2:$C$70,2,FALSE)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up'!$A$2:$C$70,3,FALSE)</f>
        <v>Cash</v>
      </c>
      <c r="J3584" s="5">
        <f>VLOOKUP(F3584,'Set up'!$A$2:$D$70,4,FALSE)</f>
        <v>0</v>
      </c>
      <c r="K3584" s="4">
        <f t="shared" si="928"/>
        <v>45667</v>
      </c>
      <c r="L3584" s="5">
        <f t="shared" si="929"/>
        <v>1</v>
      </c>
      <c r="M3584" s="5">
        <f t="shared" si="930"/>
        <v>2025</v>
      </c>
      <c r="N3584" s="135">
        <v>4860</v>
      </c>
      <c r="O3584" s="12">
        <f>-3861.1-998.9</f>
        <v>-4860</v>
      </c>
      <c r="P3584" s="12">
        <f t="shared" si="931"/>
        <v>0</v>
      </c>
      <c r="Q3584" s="7">
        <f t="shared" si="932"/>
        <v>5883796.6500000004</v>
      </c>
      <c r="R3584" s="44" t="str">
        <f>VLOOKUP(F3584,'Set up'!$A$2:$E$70,5,FALSE)</f>
        <v>Trsf</v>
      </c>
      <c r="S3584" s="1" t="s">
        <v>3813</v>
      </c>
    </row>
    <row r="3585" spans="1:19" ht="16.25" customHeight="1" x14ac:dyDescent="0.35">
      <c r="A3585" s="140">
        <v>45667</v>
      </c>
      <c r="B3585" s="5">
        <f t="shared" si="915"/>
        <v>1</v>
      </c>
      <c r="C3585" s="5">
        <f t="shared" si="916"/>
        <v>2025</v>
      </c>
      <c r="D3585" s="105" t="s">
        <v>3344</v>
      </c>
      <c r="E3585" s="5" t="str">
        <f>VLOOKUP(F3585,'Set up'!$A$2:$C$70,2,FALSE)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up'!$A$2:$C$70,3,FALSE)</f>
        <v>Cash</v>
      </c>
      <c r="J3585" s="5">
        <f>VLOOKUP(F3585,'Set up'!$A$2:$D$70,4,FALSE)</f>
        <v>0</v>
      </c>
      <c r="K3585" s="4">
        <f t="shared" si="928"/>
        <v>45667</v>
      </c>
      <c r="L3585" s="5">
        <f t="shared" si="929"/>
        <v>1</v>
      </c>
      <c r="M3585" s="5">
        <f t="shared" si="930"/>
        <v>2025</v>
      </c>
      <c r="N3585" s="135">
        <v>1566</v>
      </c>
      <c r="O3585" s="6">
        <f t="shared" ref="O3585:O3592" si="937">-N3585</f>
        <v>-1566</v>
      </c>
      <c r="P3585" s="12">
        <f t="shared" si="931"/>
        <v>0</v>
      </c>
      <c r="Q3585" s="7">
        <f t="shared" si="932"/>
        <v>5885362.6500000004</v>
      </c>
      <c r="R3585" s="44" t="str">
        <f>VLOOKUP(F3585,'Set up'!$A$2:$E$70,5,FALSE)</f>
        <v>Trsf</v>
      </c>
      <c r="S3585" s="1" t="s">
        <v>3814</v>
      </c>
    </row>
    <row r="3586" spans="1:19" ht="16.25" customHeight="1" x14ac:dyDescent="0.35">
      <c r="A3586" s="140">
        <v>45667</v>
      </c>
      <c r="B3586" s="5">
        <f t="shared" si="915"/>
        <v>1</v>
      </c>
      <c r="C3586" s="5">
        <f t="shared" si="916"/>
        <v>2025</v>
      </c>
      <c r="D3586" s="105" t="s">
        <v>3344</v>
      </c>
      <c r="E3586" s="5" t="str">
        <f>VLOOKUP(F3586,'Set up'!$A$2:$C$70,2,FALSE)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up'!$A$2:$C$70,3,FALSE)</f>
        <v>Cash</v>
      </c>
      <c r="J3586" s="5">
        <f>VLOOKUP(F3586,'Set up'!$A$2:$D$70,4,FALSE)</f>
        <v>0</v>
      </c>
      <c r="K3586" s="4">
        <f t="shared" si="928"/>
        <v>45667</v>
      </c>
      <c r="L3586" s="5">
        <f t="shared" si="929"/>
        <v>1</v>
      </c>
      <c r="M3586" s="5">
        <f t="shared" si="930"/>
        <v>2025</v>
      </c>
      <c r="N3586" s="135">
        <v>990</v>
      </c>
      <c r="O3586" s="6">
        <f t="shared" si="937"/>
        <v>-990</v>
      </c>
      <c r="P3586" s="12">
        <f t="shared" si="931"/>
        <v>0</v>
      </c>
      <c r="Q3586" s="7">
        <f t="shared" si="932"/>
        <v>5886352.6500000004</v>
      </c>
      <c r="R3586" s="44" t="str">
        <f>VLOOKUP(F3586,'Set up'!$A$2:$E$70,5,FALSE)</f>
        <v>Trsf</v>
      </c>
      <c r="S3586" s="1" t="s">
        <v>3815</v>
      </c>
    </row>
    <row r="3587" spans="1:19" ht="16.25" customHeight="1" x14ac:dyDescent="0.35">
      <c r="A3587" s="140">
        <v>45668</v>
      </c>
      <c r="B3587" s="5">
        <f t="shared" ref="B3587:B3650" si="938">MONTH(A3587)</f>
        <v>1</v>
      </c>
      <c r="C3587" s="5">
        <f t="shared" ref="C3587:C3650" si="939">YEAR(A3587)</f>
        <v>2025</v>
      </c>
      <c r="D3587" s="105" t="s">
        <v>3345</v>
      </c>
      <c r="E3587" s="5" t="str">
        <f>VLOOKUP(F3587,'Set up'!$A$2:$C$70,2,FALSE)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up'!$A$2:$C$70,3,FALSE)</f>
        <v>120</v>
      </c>
      <c r="J3587" s="5">
        <f>VLOOKUP(F3587,'Set up'!$A$2:$D$70,4,FALSE)</f>
        <v>120</v>
      </c>
      <c r="K3587" s="4">
        <f t="shared" si="928"/>
        <v>45788</v>
      </c>
      <c r="L3587" s="5">
        <f t="shared" si="929"/>
        <v>5</v>
      </c>
      <c r="M3587" s="5">
        <f t="shared" si="930"/>
        <v>2025</v>
      </c>
      <c r="N3587" s="135">
        <v>12960</v>
      </c>
      <c r="O3587" s="6">
        <f t="shared" si="937"/>
        <v>-12960</v>
      </c>
      <c r="P3587" s="12">
        <f t="shared" ref="P3587:P3592" si="940">SUM(N3587+O3587)</f>
        <v>0</v>
      </c>
      <c r="Q3587" s="7">
        <f t="shared" si="932"/>
        <v>5899312.6500000004</v>
      </c>
      <c r="R3587" s="44" t="str">
        <f>VLOOKUP(F3587,'Set up'!$A$2:$E$70,5,FALSE)</f>
        <v>Trsf</v>
      </c>
      <c r="S3587" s="1" t="s">
        <v>4070</v>
      </c>
    </row>
    <row r="3588" spans="1:19" ht="16.25" customHeight="1" x14ac:dyDescent="0.35">
      <c r="A3588" s="140">
        <v>45668</v>
      </c>
      <c r="B3588" s="5">
        <f t="shared" si="938"/>
        <v>1</v>
      </c>
      <c r="C3588" s="5">
        <f t="shared" si="939"/>
        <v>2025</v>
      </c>
      <c r="D3588" s="105" t="s">
        <v>3345</v>
      </c>
      <c r="E3588" s="5" t="str">
        <f>VLOOKUP(F3588,'Set up'!$A$2:$C$70,2,FALSE)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up'!$A$2:$C$70,3,FALSE)</f>
        <v>120</v>
      </c>
      <c r="J3588" s="5">
        <f>VLOOKUP(F3588,'Set up'!$A$2:$D$70,4,FALSE)</f>
        <v>120</v>
      </c>
      <c r="K3588" s="4">
        <f t="shared" si="928"/>
        <v>45788</v>
      </c>
      <c r="L3588" s="5">
        <f t="shared" si="929"/>
        <v>5</v>
      </c>
      <c r="M3588" s="5">
        <f t="shared" si="930"/>
        <v>2025</v>
      </c>
      <c r="N3588" s="135">
        <v>1740</v>
      </c>
      <c r="O3588" s="6">
        <f t="shared" si="937"/>
        <v>-1740</v>
      </c>
      <c r="P3588" s="12">
        <f t="shared" si="940"/>
        <v>0</v>
      </c>
      <c r="Q3588" s="7">
        <f t="shared" si="932"/>
        <v>5901052.6500000004</v>
      </c>
      <c r="R3588" s="44" t="str">
        <f>VLOOKUP(F3588,'Set up'!$A$2:$E$70,5,FALSE)</f>
        <v>Trsf</v>
      </c>
      <c r="S3588" s="1" t="s">
        <v>4070</v>
      </c>
    </row>
    <row r="3589" spans="1:19" ht="16.25" customHeight="1" x14ac:dyDescent="0.35">
      <c r="A3589" s="140">
        <v>45668</v>
      </c>
      <c r="B3589" s="5">
        <f t="shared" si="938"/>
        <v>1</v>
      </c>
      <c r="C3589" s="5">
        <f t="shared" si="939"/>
        <v>2025</v>
      </c>
      <c r="D3589" s="105" t="s">
        <v>3345</v>
      </c>
      <c r="E3589" s="5" t="str">
        <f>VLOOKUP(F3589,'Set up'!$A$2:$C$70,2,FALSE)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up'!$A$2:$C$70,3,FALSE)</f>
        <v>120</v>
      </c>
      <c r="J3589" s="5">
        <f>VLOOKUP(F3589,'Set up'!$A$2:$D$70,4,FALSE)</f>
        <v>120</v>
      </c>
      <c r="K3589" s="4">
        <f t="shared" si="928"/>
        <v>45788</v>
      </c>
      <c r="L3589" s="5">
        <f t="shared" si="929"/>
        <v>5</v>
      </c>
      <c r="M3589" s="5">
        <f t="shared" si="930"/>
        <v>2025</v>
      </c>
      <c r="N3589" s="135">
        <v>1150</v>
      </c>
      <c r="O3589" s="6">
        <f t="shared" si="937"/>
        <v>-1150</v>
      </c>
      <c r="P3589" s="12">
        <f t="shared" si="940"/>
        <v>0</v>
      </c>
      <c r="Q3589" s="7">
        <f t="shared" si="932"/>
        <v>5902202.6500000004</v>
      </c>
      <c r="R3589" s="44" t="str">
        <f>VLOOKUP(F3589,'Set up'!$A$2:$E$70,5,FALSE)</f>
        <v>Trsf</v>
      </c>
      <c r="S3589" s="1" t="s">
        <v>4070</v>
      </c>
    </row>
    <row r="3590" spans="1:19" ht="16.25" customHeight="1" x14ac:dyDescent="0.35">
      <c r="A3590" s="140">
        <v>45668</v>
      </c>
      <c r="B3590" s="5">
        <f t="shared" si="938"/>
        <v>1</v>
      </c>
      <c r="C3590" s="5">
        <f t="shared" si="939"/>
        <v>2025</v>
      </c>
      <c r="D3590" s="105" t="s">
        <v>3345</v>
      </c>
      <c r="E3590" s="5" t="str">
        <f>VLOOKUP(F3590,'Set up'!$A$2:$C$70,2,FALSE)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up'!$A$2:$C$70,3,FALSE)</f>
        <v>120</v>
      </c>
      <c r="J3590" s="5">
        <f>VLOOKUP(F3590,'Set up'!$A$2:$D$70,4,FALSE)</f>
        <v>120</v>
      </c>
      <c r="K3590" s="4">
        <f t="shared" si="928"/>
        <v>45788</v>
      </c>
      <c r="L3590" s="5">
        <f t="shared" si="929"/>
        <v>5</v>
      </c>
      <c r="M3590" s="5">
        <f t="shared" si="930"/>
        <v>2025</v>
      </c>
      <c r="N3590" s="135">
        <v>880</v>
      </c>
      <c r="O3590" s="6">
        <f t="shared" si="937"/>
        <v>-880</v>
      </c>
      <c r="P3590" s="12">
        <f t="shared" si="940"/>
        <v>0</v>
      </c>
      <c r="Q3590" s="7">
        <f t="shared" si="932"/>
        <v>5903082.6500000004</v>
      </c>
      <c r="R3590" s="44" t="str">
        <f>VLOOKUP(F3590,'Set up'!$A$2:$E$70,5,FALSE)</f>
        <v>Trsf</v>
      </c>
      <c r="S3590" s="1" t="s">
        <v>4070</v>
      </c>
    </row>
    <row r="3591" spans="1:19" ht="16.25" customHeight="1" x14ac:dyDescent="0.35">
      <c r="A3591" s="140">
        <v>45668</v>
      </c>
      <c r="B3591" s="5">
        <f t="shared" si="938"/>
        <v>1</v>
      </c>
      <c r="C3591" s="5">
        <f t="shared" si="939"/>
        <v>2025</v>
      </c>
      <c r="D3591" s="105" t="s">
        <v>3345</v>
      </c>
      <c r="E3591" s="5" t="str">
        <f>VLOOKUP(F3591,'Set up'!$A$2:$C$70,2,FALSE)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up'!$A$2:$C$70,3,FALSE)</f>
        <v>120</v>
      </c>
      <c r="J3591" s="5">
        <f>VLOOKUP(F3591,'Set up'!$A$2:$D$70,4,FALSE)</f>
        <v>120</v>
      </c>
      <c r="K3591" s="4">
        <f t="shared" si="928"/>
        <v>45788</v>
      </c>
      <c r="L3591" s="5">
        <f t="shared" si="929"/>
        <v>5</v>
      </c>
      <c r="M3591" s="5">
        <f t="shared" si="930"/>
        <v>2025</v>
      </c>
      <c r="N3591" s="135">
        <v>420</v>
      </c>
      <c r="O3591" s="6">
        <f t="shared" si="937"/>
        <v>-420</v>
      </c>
      <c r="P3591" s="12">
        <f t="shared" si="940"/>
        <v>0</v>
      </c>
      <c r="Q3591" s="7">
        <f t="shared" si="932"/>
        <v>5903502.6500000004</v>
      </c>
      <c r="R3591" s="44" t="str">
        <f>VLOOKUP(F3591,'Set up'!$A$2:$E$70,5,FALSE)</f>
        <v>Trsf</v>
      </c>
      <c r="S3591" s="1" t="s">
        <v>4070</v>
      </c>
    </row>
    <row r="3592" spans="1:19" ht="16.25" customHeight="1" x14ac:dyDescent="0.35">
      <c r="A3592" s="140">
        <v>45668</v>
      </c>
      <c r="B3592" s="5">
        <f t="shared" si="938"/>
        <v>1</v>
      </c>
      <c r="C3592" s="5">
        <f t="shared" si="939"/>
        <v>2025</v>
      </c>
      <c r="D3592" s="105" t="s">
        <v>3345</v>
      </c>
      <c r="E3592" s="5" t="str">
        <f>VLOOKUP(F3592,'Set up'!$A$2:$C$70,2,FALSE)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up'!$A$2:$C$70,3,FALSE)</f>
        <v>120</v>
      </c>
      <c r="J3592" s="5">
        <f>VLOOKUP(F3592,'Set up'!$A$2:$D$70,4,FALSE)</f>
        <v>120</v>
      </c>
      <c r="K3592" s="4">
        <f t="shared" si="928"/>
        <v>45788</v>
      </c>
      <c r="L3592" s="5">
        <f t="shared" si="929"/>
        <v>5</v>
      </c>
      <c r="M3592" s="5">
        <f t="shared" si="930"/>
        <v>2025</v>
      </c>
      <c r="N3592" s="135">
        <v>160</v>
      </c>
      <c r="O3592" s="6">
        <f t="shared" si="937"/>
        <v>-160</v>
      </c>
      <c r="P3592" s="12">
        <f t="shared" si="940"/>
        <v>0</v>
      </c>
      <c r="Q3592" s="7">
        <f t="shared" si="932"/>
        <v>5903662.6500000004</v>
      </c>
      <c r="R3592" s="44" t="str">
        <f>VLOOKUP(F3592,'Set up'!$A$2:$E$70,5,FALSE)</f>
        <v>Trsf</v>
      </c>
      <c r="S3592" s="1" t="s">
        <v>4070</v>
      </c>
    </row>
    <row r="3593" spans="1:19" ht="16.25" customHeight="1" x14ac:dyDescent="0.35">
      <c r="A3593" s="140">
        <v>45671</v>
      </c>
      <c r="B3593" s="5">
        <f t="shared" si="938"/>
        <v>1</v>
      </c>
      <c r="C3593" s="5">
        <f t="shared" si="939"/>
        <v>2025</v>
      </c>
      <c r="D3593" s="105" t="s">
        <v>3346</v>
      </c>
      <c r="E3593" s="5" t="str">
        <f>VLOOKUP(F3593,'Set up'!$A$2:$C$70,2,FALSE)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up'!$A$2:$C$70,3,FALSE)</f>
        <v>Cash</v>
      </c>
      <c r="J3593" s="5">
        <f>VLOOKUP(F3593,'Set up'!$A$2:$D$70,4,FALSE)</f>
        <v>0</v>
      </c>
      <c r="K3593" s="4">
        <f t="shared" si="928"/>
        <v>45671</v>
      </c>
      <c r="L3593" s="5">
        <f t="shared" si="929"/>
        <v>1</v>
      </c>
      <c r="M3593" s="5">
        <f t="shared" si="930"/>
        <v>2025</v>
      </c>
      <c r="N3593" s="135">
        <v>187.5</v>
      </c>
      <c r="O3593" s="6">
        <f t="shared" ref="O3593:O3598" si="941">-N3593</f>
        <v>-187.5</v>
      </c>
      <c r="P3593" s="12">
        <f t="shared" si="931"/>
        <v>0</v>
      </c>
      <c r="Q3593" s="7">
        <f t="shared" si="932"/>
        <v>5903850.1500000004</v>
      </c>
      <c r="R3593" s="44" t="str">
        <f>VLOOKUP(F3593,'Set up'!$A$2:$E$70,5,FALSE)</f>
        <v>Trsf</v>
      </c>
      <c r="S3593" s="1" t="s">
        <v>3816</v>
      </c>
    </row>
    <row r="3594" spans="1:19" ht="16.25" customHeight="1" x14ac:dyDescent="0.35">
      <c r="A3594" s="140">
        <v>45671</v>
      </c>
      <c r="B3594" s="5">
        <f t="shared" si="938"/>
        <v>1</v>
      </c>
      <c r="C3594" s="5">
        <f t="shared" si="939"/>
        <v>2025</v>
      </c>
      <c r="D3594" s="105" t="s">
        <v>3347</v>
      </c>
      <c r="E3594" s="5" t="str">
        <f>VLOOKUP(F3594,'Set up'!$A$2:$C$70,2,FALSE)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up'!$A$2:$C$70,3,FALSE)</f>
        <v>Cash</v>
      </c>
      <c r="J3594" s="5">
        <f>VLOOKUP(F3594,'Set up'!$A$2:$D$70,4,FALSE)</f>
        <v>0</v>
      </c>
      <c r="K3594" s="4">
        <f t="shared" si="928"/>
        <v>45671</v>
      </c>
      <c r="L3594" s="5">
        <f t="shared" si="929"/>
        <v>1</v>
      </c>
      <c r="M3594" s="5">
        <f t="shared" si="930"/>
        <v>2025</v>
      </c>
      <c r="N3594" s="135">
        <v>8100</v>
      </c>
      <c r="O3594" s="6">
        <f t="shared" si="941"/>
        <v>-8100</v>
      </c>
      <c r="P3594" s="12">
        <f t="shared" si="931"/>
        <v>0</v>
      </c>
      <c r="Q3594" s="7">
        <f t="shared" si="932"/>
        <v>5911950.1500000004</v>
      </c>
      <c r="R3594" s="44" t="str">
        <f>VLOOKUP(F3594,'Set up'!$A$2:$E$70,5,FALSE)</f>
        <v>Trsf</v>
      </c>
      <c r="S3594" s="1" t="s">
        <v>3817</v>
      </c>
    </row>
    <row r="3595" spans="1:19" ht="16.25" customHeight="1" x14ac:dyDescent="0.35">
      <c r="A3595" s="140">
        <v>45671</v>
      </c>
      <c r="B3595" s="5">
        <f t="shared" si="938"/>
        <v>1</v>
      </c>
      <c r="C3595" s="5">
        <f t="shared" si="939"/>
        <v>2025</v>
      </c>
      <c r="D3595" s="105" t="s">
        <v>3347</v>
      </c>
      <c r="E3595" s="5" t="str">
        <f>VLOOKUP(F3595,'Set up'!$A$2:$C$70,2,FALSE)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up'!$A$2:$C$70,3,FALSE)</f>
        <v>Cash</v>
      </c>
      <c r="J3595" s="5">
        <f>VLOOKUP(F3595,'Set up'!$A$2:$D$70,4,FALSE)</f>
        <v>0</v>
      </c>
      <c r="K3595" s="4">
        <f t="shared" si="928"/>
        <v>45671</v>
      </c>
      <c r="L3595" s="5">
        <f t="shared" si="929"/>
        <v>1</v>
      </c>
      <c r="M3595" s="5">
        <f t="shared" si="930"/>
        <v>2025</v>
      </c>
      <c r="N3595" s="135">
        <v>1566</v>
      </c>
      <c r="O3595" s="6">
        <f>-1157.6-408.4</f>
        <v>-1566</v>
      </c>
      <c r="P3595" s="12">
        <f t="shared" si="931"/>
        <v>0</v>
      </c>
      <c r="Q3595" s="7">
        <f t="shared" si="932"/>
        <v>5913516.1500000004</v>
      </c>
      <c r="R3595" s="44" t="str">
        <f>VLOOKUP(F3595,'Set up'!$A$2:$E$70,5,FALSE)</f>
        <v>Trsf</v>
      </c>
      <c r="S3595" s="1" t="s">
        <v>3904</v>
      </c>
    </row>
    <row r="3596" spans="1:19" ht="16.25" customHeight="1" x14ac:dyDescent="0.35">
      <c r="A3596" s="140">
        <v>45671</v>
      </c>
      <c r="B3596" s="5">
        <f t="shared" si="938"/>
        <v>1</v>
      </c>
      <c r="C3596" s="5">
        <f t="shared" si="939"/>
        <v>2025</v>
      </c>
      <c r="D3596" s="105" t="s">
        <v>3347</v>
      </c>
      <c r="E3596" s="5" t="str">
        <f>VLOOKUP(F3596,'Set up'!$A$2:$C$70,2,FALSE)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up'!$A$2:$C$70,3,FALSE)</f>
        <v>Cash</v>
      </c>
      <c r="J3596" s="5">
        <f>VLOOKUP(F3596,'Set up'!$A$2:$D$70,4,FALSE)</f>
        <v>0</v>
      </c>
      <c r="K3596" s="4">
        <f t="shared" si="928"/>
        <v>45671</v>
      </c>
      <c r="L3596" s="5">
        <f t="shared" si="929"/>
        <v>1</v>
      </c>
      <c r="M3596" s="5">
        <f t="shared" si="930"/>
        <v>2025</v>
      </c>
      <c r="N3596" s="135">
        <v>1980</v>
      </c>
      <c r="O3596" s="6">
        <f t="shared" si="941"/>
        <v>-1980</v>
      </c>
      <c r="P3596" s="12">
        <f t="shared" si="931"/>
        <v>0</v>
      </c>
      <c r="Q3596" s="7">
        <f t="shared" si="932"/>
        <v>5915496.1500000004</v>
      </c>
      <c r="R3596" s="44" t="str">
        <f>VLOOKUP(F3596,'Set up'!$A$2:$E$70,5,FALSE)</f>
        <v>Trsf</v>
      </c>
      <c r="S3596" s="1" t="s">
        <v>3905</v>
      </c>
    </row>
    <row r="3597" spans="1:19" ht="16.25" customHeight="1" x14ac:dyDescent="0.35">
      <c r="A3597" s="140">
        <v>45671</v>
      </c>
      <c r="B3597" s="5">
        <f t="shared" si="938"/>
        <v>1</v>
      </c>
      <c r="C3597" s="5">
        <f t="shared" si="939"/>
        <v>2025</v>
      </c>
      <c r="D3597" s="105" t="s">
        <v>3347</v>
      </c>
      <c r="E3597" s="5" t="str">
        <f>VLOOKUP(F3597,'Set up'!$A$2:$C$70,2,FALSE)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up'!$A$2:$C$70,3,FALSE)</f>
        <v>Cash</v>
      </c>
      <c r="J3597" s="5">
        <f>VLOOKUP(F3597,'Set up'!$A$2:$D$70,4,FALSE)</f>
        <v>0</v>
      </c>
      <c r="K3597" s="4">
        <f t="shared" si="928"/>
        <v>45671</v>
      </c>
      <c r="L3597" s="5">
        <f t="shared" si="929"/>
        <v>1</v>
      </c>
      <c r="M3597" s="5">
        <f t="shared" si="930"/>
        <v>2025</v>
      </c>
      <c r="N3597" s="135">
        <v>460</v>
      </c>
      <c r="O3597" s="6">
        <f t="shared" si="941"/>
        <v>-460</v>
      </c>
      <c r="P3597" s="12">
        <f t="shared" si="931"/>
        <v>0</v>
      </c>
      <c r="Q3597" s="7">
        <f t="shared" si="932"/>
        <v>5915956.1500000004</v>
      </c>
      <c r="R3597" s="44" t="str">
        <f>VLOOKUP(F3597,'Set up'!$A$2:$E$70,5,FALSE)</f>
        <v>Trsf</v>
      </c>
      <c r="S3597" s="1" t="s">
        <v>3906</v>
      </c>
    </row>
    <row r="3598" spans="1:19" ht="16.25" customHeight="1" x14ac:dyDescent="0.35">
      <c r="A3598" s="140">
        <v>45671</v>
      </c>
      <c r="B3598" s="5">
        <f t="shared" si="938"/>
        <v>1</v>
      </c>
      <c r="C3598" s="5">
        <f t="shared" si="939"/>
        <v>2025</v>
      </c>
      <c r="D3598" s="105" t="s">
        <v>3347</v>
      </c>
      <c r="E3598" s="5" t="str">
        <f>VLOOKUP(F3598,'Set up'!$A$2:$C$70,2,FALSE)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up'!$A$2:$C$70,3,FALSE)</f>
        <v>Cash</v>
      </c>
      <c r="J3598" s="5">
        <f>VLOOKUP(F3598,'Set up'!$A$2:$D$70,4,FALSE)</f>
        <v>0</v>
      </c>
      <c r="K3598" s="4">
        <f t="shared" si="928"/>
        <v>45671</v>
      </c>
      <c r="L3598" s="5">
        <f t="shared" si="929"/>
        <v>1</v>
      </c>
      <c r="M3598" s="5">
        <f t="shared" si="930"/>
        <v>2025</v>
      </c>
      <c r="N3598" s="135">
        <v>1000</v>
      </c>
      <c r="O3598" s="6">
        <f t="shared" si="941"/>
        <v>-1000</v>
      </c>
      <c r="P3598" s="12">
        <f t="shared" si="931"/>
        <v>0</v>
      </c>
      <c r="Q3598" s="7">
        <f t="shared" si="932"/>
        <v>5916956.1500000004</v>
      </c>
      <c r="R3598" s="44" t="str">
        <f>VLOOKUP(F3598,'Set up'!$A$2:$E$70,5,FALSE)</f>
        <v>Trsf</v>
      </c>
      <c r="S3598" s="1" t="s">
        <v>3907</v>
      </c>
    </row>
    <row r="3599" spans="1:19" ht="16.25" customHeight="1" x14ac:dyDescent="0.35">
      <c r="A3599" s="140">
        <v>45672</v>
      </c>
      <c r="B3599" s="5">
        <f t="shared" si="938"/>
        <v>1</v>
      </c>
      <c r="C3599" s="5">
        <f t="shared" si="939"/>
        <v>2025</v>
      </c>
      <c r="D3599" s="105" t="s">
        <v>3348</v>
      </c>
      <c r="E3599" s="5" t="str">
        <f>VLOOKUP(F3599,'Set up'!$A$2:$C$70,2,FALSE)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up'!$A$2:$C$70,3,FALSE)</f>
        <v>Cash</v>
      </c>
      <c r="J3599" s="5">
        <f>VLOOKUP(F3599,'Set up'!$A$2:$D$70,4,FALSE)</f>
        <v>0</v>
      </c>
      <c r="K3599" s="4">
        <f t="shared" si="928"/>
        <v>45672</v>
      </c>
      <c r="L3599" s="5">
        <f t="shared" si="929"/>
        <v>1</v>
      </c>
      <c r="M3599" s="5">
        <f t="shared" si="930"/>
        <v>2025</v>
      </c>
      <c r="N3599" s="135">
        <v>1755</v>
      </c>
      <c r="O3599" s="12"/>
      <c r="P3599" s="12">
        <f t="shared" si="931"/>
        <v>1755</v>
      </c>
      <c r="Q3599" s="7">
        <f t="shared" si="932"/>
        <v>5918711.1500000004</v>
      </c>
      <c r="R3599" s="44" t="str">
        <f>VLOOKUP(F3599,'Set up'!$A$2:$E$70,5,FALSE)</f>
        <v>Trsf</v>
      </c>
    </row>
    <row r="3600" spans="1:19" ht="16.25" customHeight="1" x14ac:dyDescent="0.35">
      <c r="A3600" s="140">
        <v>45672</v>
      </c>
      <c r="B3600" s="5">
        <f t="shared" si="938"/>
        <v>1</v>
      </c>
      <c r="C3600" s="5">
        <f t="shared" si="939"/>
        <v>2025</v>
      </c>
      <c r="D3600" s="105" t="s">
        <v>3348</v>
      </c>
      <c r="E3600" s="5" t="str">
        <f>VLOOKUP(F3600,'Set up'!$A$2:$C$70,2,FALSE)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up'!$A$2:$C$70,3,FALSE)</f>
        <v>Cash</v>
      </c>
      <c r="J3600" s="5">
        <f>VLOOKUP(F3600,'Set up'!$A$2:$D$70,4,FALSE)</f>
        <v>0</v>
      </c>
      <c r="K3600" s="4">
        <f t="shared" si="928"/>
        <v>45672</v>
      </c>
      <c r="L3600" s="5">
        <f t="shared" si="929"/>
        <v>1</v>
      </c>
      <c r="M3600" s="5">
        <f t="shared" si="930"/>
        <v>2025</v>
      </c>
      <c r="N3600" s="135">
        <v>405</v>
      </c>
      <c r="O3600" s="12"/>
      <c r="P3600" s="12">
        <f t="shared" si="931"/>
        <v>405</v>
      </c>
      <c r="Q3600" s="7">
        <f t="shared" si="932"/>
        <v>5919116.1500000004</v>
      </c>
      <c r="R3600" s="44" t="str">
        <f>VLOOKUP(F3600,'Set up'!$A$2:$E$70,5,FALSE)</f>
        <v>Trsf</v>
      </c>
    </row>
    <row r="3601" spans="1:19" ht="16.25" customHeight="1" x14ac:dyDescent="0.35">
      <c r="A3601" s="140">
        <v>45672</v>
      </c>
      <c r="B3601" s="5">
        <f t="shared" si="938"/>
        <v>1</v>
      </c>
      <c r="C3601" s="5">
        <f t="shared" si="939"/>
        <v>2025</v>
      </c>
      <c r="D3601" s="105" t="s">
        <v>3348</v>
      </c>
      <c r="E3601" s="5" t="str">
        <f>VLOOKUP(F3601,'Set up'!$A$2:$C$70,2,FALSE)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up'!$A$2:$C$70,3,FALSE)</f>
        <v>Cash</v>
      </c>
      <c r="J3601" s="5">
        <f>VLOOKUP(F3601,'Set up'!$A$2:$D$70,4,FALSE)</f>
        <v>0</v>
      </c>
      <c r="K3601" s="4">
        <f t="shared" si="928"/>
        <v>45672</v>
      </c>
      <c r="L3601" s="5">
        <f t="shared" si="929"/>
        <v>1</v>
      </c>
      <c r="M3601" s="5">
        <f t="shared" si="930"/>
        <v>2025</v>
      </c>
      <c r="N3601" s="135">
        <v>125</v>
      </c>
      <c r="O3601" s="12"/>
      <c r="P3601" s="12">
        <f t="shared" si="931"/>
        <v>125</v>
      </c>
      <c r="Q3601" s="7">
        <f t="shared" si="932"/>
        <v>5919241.1500000004</v>
      </c>
      <c r="R3601" s="44" t="str">
        <f>VLOOKUP(F3601,'Set up'!$A$2:$E$70,5,FALSE)</f>
        <v>Trsf</v>
      </c>
    </row>
    <row r="3602" spans="1:19" ht="16.25" customHeight="1" x14ac:dyDescent="0.35">
      <c r="A3602" s="140">
        <v>45672</v>
      </c>
      <c r="B3602" s="5">
        <f t="shared" si="938"/>
        <v>1</v>
      </c>
      <c r="C3602" s="5">
        <f t="shared" si="939"/>
        <v>2025</v>
      </c>
      <c r="D3602" s="105" t="s">
        <v>3348</v>
      </c>
      <c r="E3602" s="5" t="str">
        <f>VLOOKUP(F3602,'Set up'!$A$2:$C$70,2,FALSE)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up'!$A$2:$C$70,3,FALSE)</f>
        <v>Cash</v>
      </c>
      <c r="J3602" s="5">
        <f>VLOOKUP(F3602,'Set up'!$A$2:$D$70,4,FALSE)</f>
        <v>0</v>
      </c>
      <c r="K3602" s="4">
        <f t="shared" si="928"/>
        <v>45672</v>
      </c>
      <c r="L3602" s="5">
        <f t="shared" si="929"/>
        <v>1</v>
      </c>
      <c r="M3602" s="5">
        <f t="shared" si="930"/>
        <v>2025</v>
      </c>
      <c r="N3602" s="135">
        <v>390</v>
      </c>
      <c r="O3602" s="12"/>
      <c r="P3602" s="12">
        <f t="shared" si="931"/>
        <v>390</v>
      </c>
      <c r="Q3602" s="7">
        <f t="shared" si="932"/>
        <v>5919631.1500000004</v>
      </c>
      <c r="R3602" s="44" t="str">
        <f>VLOOKUP(F3602,'Set up'!$A$2:$E$70,5,FALSE)</f>
        <v>Trsf</v>
      </c>
    </row>
    <row r="3603" spans="1:19" ht="16.25" customHeight="1" x14ac:dyDescent="0.35">
      <c r="A3603" s="140">
        <v>45673</v>
      </c>
      <c r="B3603" s="5">
        <f t="shared" si="938"/>
        <v>1</v>
      </c>
      <c r="C3603" s="5">
        <f t="shared" si="939"/>
        <v>2025</v>
      </c>
      <c r="D3603" s="105" t="s">
        <v>3349</v>
      </c>
      <c r="E3603" s="5" t="str">
        <f>VLOOKUP(F3603,'Set up'!$A$2:$C$70,2,FALSE)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up'!$A$2:$C$70,3,FALSE)</f>
        <v>Cash</v>
      </c>
      <c r="J3603" s="5">
        <f>VLOOKUP(F3603,'Set up'!$A$2:$D$70,4,FALSE)</f>
        <v>0</v>
      </c>
      <c r="K3603" s="4">
        <f t="shared" si="928"/>
        <v>45673</v>
      </c>
      <c r="L3603" s="5">
        <f t="shared" si="929"/>
        <v>1</v>
      </c>
      <c r="M3603" s="5">
        <f t="shared" si="930"/>
        <v>2025</v>
      </c>
      <c r="N3603" s="135">
        <v>1732.5</v>
      </c>
      <c r="O3603" s="6">
        <f t="shared" ref="O3603" si="942">-N3603</f>
        <v>-1732.5</v>
      </c>
      <c r="P3603" s="12">
        <f t="shared" si="931"/>
        <v>0</v>
      </c>
      <c r="Q3603" s="7">
        <f t="shared" si="932"/>
        <v>5921363.6500000004</v>
      </c>
      <c r="R3603" s="44" t="str">
        <f>VLOOKUP(F3603,'Set up'!$A$2:$E$70,5,FALSE)</f>
        <v>Cash</v>
      </c>
      <c r="S3603" s="1" t="s">
        <v>3427</v>
      </c>
    </row>
    <row r="3604" spans="1:19" ht="16.25" customHeight="1" x14ac:dyDescent="0.35">
      <c r="A3604" s="140">
        <v>45673</v>
      </c>
      <c r="B3604" s="5">
        <f t="shared" si="938"/>
        <v>1</v>
      </c>
      <c r="C3604" s="5">
        <f t="shared" si="939"/>
        <v>2025</v>
      </c>
      <c r="D3604" s="105" t="s">
        <v>3349</v>
      </c>
      <c r="E3604" s="5" t="str">
        <f>VLOOKUP(F3604,'Set up'!$A$2:$C$70,2,FALSE)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up'!$A$2:$C$70,3,FALSE)</f>
        <v>Cash</v>
      </c>
      <c r="J3604" s="5">
        <f>VLOOKUP(F3604,'Set up'!$A$2:$D$70,4,FALSE)</f>
        <v>0</v>
      </c>
      <c r="K3604" s="4">
        <f t="shared" si="928"/>
        <v>45673</v>
      </c>
      <c r="L3604" s="5">
        <f t="shared" si="929"/>
        <v>1</v>
      </c>
      <c r="M3604" s="5">
        <f t="shared" si="930"/>
        <v>2025</v>
      </c>
      <c r="N3604" s="135">
        <v>216</v>
      </c>
      <c r="O3604" s="6">
        <f>-N3604</f>
        <v>-216</v>
      </c>
      <c r="P3604" s="12">
        <f t="shared" si="931"/>
        <v>0</v>
      </c>
      <c r="Q3604" s="7">
        <f t="shared" si="932"/>
        <v>5921579.6500000004</v>
      </c>
      <c r="R3604" s="44" t="str">
        <f>VLOOKUP(F3604,'Set up'!$A$2:$E$70,5,FALSE)</f>
        <v>Cash</v>
      </c>
      <c r="S3604" s="1" t="s">
        <v>3427</v>
      </c>
    </row>
    <row r="3605" spans="1:19" ht="16.25" customHeight="1" x14ac:dyDescent="0.35">
      <c r="A3605" s="140">
        <v>45673</v>
      </c>
      <c r="B3605" s="5">
        <f t="shared" si="938"/>
        <v>1</v>
      </c>
      <c r="C3605" s="5">
        <f t="shared" si="939"/>
        <v>2025</v>
      </c>
      <c r="D3605" s="105" t="s">
        <v>3349</v>
      </c>
      <c r="E3605" s="5" t="str">
        <f>VLOOKUP(F3605,'Set up'!$A$2:$C$70,2,FALSE)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up'!$A$2:$C$70,3,FALSE)</f>
        <v>Cash</v>
      </c>
      <c r="J3605" s="5">
        <f>VLOOKUP(F3605,'Set up'!$A$2:$D$70,4,FALSE)</f>
        <v>0</v>
      </c>
      <c r="K3605" s="4">
        <f t="shared" si="928"/>
        <v>45673</v>
      </c>
      <c r="L3605" s="5">
        <f t="shared" si="929"/>
        <v>1</v>
      </c>
      <c r="M3605" s="5">
        <f t="shared" si="930"/>
        <v>2025</v>
      </c>
      <c r="N3605" s="135">
        <v>110</v>
      </c>
      <c r="O3605" s="6">
        <f>-N3605</f>
        <v>-110</v>
      </c>
      <c r="P3605" s="12">
        <f t="shared" si="931"/>
        <v>0</v>
      </c>
      <c r="Q3605" s="7">
        <f t="shared" si="932"/>
        <v>5921689.6500000004</v>
      </c>
      <c r="R3605" s="44" t="str">
        <f>VLOOKUP(F3605,'Set up'!$A$2:$E$70,5,FALSE)</f>
        <v>Cash</v>
      </c>
      <c r="S3605" s="1" t="s">
        <v>3427</v>
      </c>
    </row>
    <row r="3606" spans="1:19" ht="16.25" customHeight="1" x14ac:dyDescent="0.35">
      <c r="A3606" s="140">
        <v>45673</v>
      </c>
      <c r="B3606" s="5">
        <f t="shared" si="938"/>
        <v>1</v>
      </c>
      <c r="C3606" s="5">
        <f t="shared" si="939"/>
        <v>2025</v>
      </c>
      <c r="D3606" s="105" t="s">
        <v>3349</v>
      </c>
      <c r="E3606" s="5" t="str">
        <f>VLOOKUP(F3606,'Set up'!$A$2:$C$70,2,FALSE)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up'!$A$2:$C$70,3,FALSE)</f>
        <v>Cash</v>
      </c>
      <c r="J3606" s="5">
        <f>VLOOKUP(F3606,'Set up'!$A$2:$D$70,4,FALSE)</f>
        <v>0</v>
      </c>
      <c r="K3606" s="4">
        <f t="shared" si="928"/>
        <v>45673</v>
      </c>
      <c r="L3606" s="5">
        <f t="shared" si="929"/>
        <v>1</v>
      </c>
      <c r="M3606" s="5">
        <f t="shared" si="930"/>
        <v>2025</v>
      </c>
      <c r="N3606" s="135">
        <v>165</v>
      </c>
      <c r="O3606" s="6">
        <f>-N3606</f>
        <v>-165</v>
      </c>
      <c r="P3606" s="12">
        <f t="shared" si="931"/>
        <v>0</v>
      </c>
      <c r="Q3606" s="7">
        <f t="shared" si="932"/>
        <v>5921854.6500000004</v>
      </c>
      <c r="R3606" s="44" t="str">
        <f>VLOOKUP(F3606,'Set up'!$A$2:$E$70,5,FALSE)</f>
        <v>Cash</v>
      </c>
      <c r="S3606" s="1" t="s">
        <v>3427</v>
      </c>
    </row>
    <row r="3607" spans="1:19" ht="16.25" customHeight="1" x14ac:dyDescent="0.35">
      <c r="A3607" s="140">
        <v>45673</v>
      </c>
      <c r="B3607" s="5">
        <f t="shared" si="938"/>
        <v>1</v>
      </c>
      <c r="C3607" s="5">
        <f t="shared" si="939"/>
        <v>2025</v>
      </c>
      <c r="D3607" s="105" t="s">
        <v>3350</v>
      </c>
      <c r="E3607" s="5" t="str">
        <f>VLOOKUP(F3607,'Set up'!$A$2:$C$70,2,FALSE)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up'!$A$2:$C$70,3,FALSE)</f>
        <v>Cash</v>
      </c>
      <c r="J3607" s="5">
        <f>VLOOKUP(F3607,'Set up'!$A$2:$D$70,4,FALSE)</f>
        <v>0</v>
      </c>
      <c r="K3607" s="4">
        <f t="shared" si="928"/>
        <v>45673</v>
      </c>
      <c r="L3607" s="5">
        <f t="shared" si="929"/>
        <v>1</v>
      </c>
      <c r="M3607" s="5">
        <f t="shared" si="930"/>
        <v>2025</v>
      </c>
      <c r="N3607" s="135">
        <v>3240</v>
      </c>
      <c r="O3607" s="6">
        <f t="shared" ref="O3607:O3612" si="943">-N3607</f>
        <v>-3240</v>
      </c>
      <c r="P3607" s="12">
        <f t="shared" si="931"/>
        <v>0</v>
      </c>
      <c r="Q3607" s="7">
        <f t="shared" si="932"/>
        <v>5925094.6500000004</v>
      </c>
      <c r="R3607" s="44" t="str">
        <f>VLOOKUP(F3607,'Set up'!$A$2:$E$70,5,FALSE)</f>
        <v>Trsf</v>
      </c>
      <c r="S3607" s="1" t="s">
        <v>3908</v>
      </c>
    </row>
    <row r="3608" spans="1:19" ht="16.25" customHeight="1" x14ac:dyDescent="0.35">
      <c r="A3608" s="140">
        <v>45673</v>
      </c>
      <c r="B3608" s="5">
        <f t="shared" si="938"/>
        <v>1</v>
      </c>
      <c r="C3608" s="5">
        <f t="shared" si="939"/>
        <v>2025</v>
      </c>
      <c r="D3608" s="105" t="s">
        <v>3350</v>
      </c>
      <c r="E3608" s="5" t="str">
        <f>VLOOKUP(F3608,'Set up'!$A$2:$C$70,2,FALSE)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up'!$A$2:$C$70,3,FALSE)</f>
        <v>Cash</v>
      </c>
      <c r="J3608" s="5">
        <f>VLOOKUP(F3608,'Set up'!$A$2:$D$70,4,FALSE)</f>
        <v>0</v>
      </c>
      <c r="K3608" s="4">
        <f t="shared" si="928"/>
        <v>45673</v>
      </c>
      <c r="L3608" s="5">
        <f t="shared" si="929"/>
        <v>1</v>
      </c>
      <c r="M3608" s="5">
        <f t="shared" si="930"/>
        <v>2025</v>
      </c>
      <c r="N3608" s="135">
        <v>696</v>
      </c>
      <c r="O3608" s="6">
        <f t="shared" si="943"/>
        <v>-696</v>
      </c>
      <c r="P3608" s="12">
        <f t="shared" si="931"/>
        <v>0</v>
      </c>
      <c r="Q3608" s="7">
        <f t="shared" si="932"/>
        <v>5925790.6500000004</v>
      </c>
      <c r="R3608" s="44" t="str">
        <f>VLOOKUP(F3608,'Set up'!$A$2:$E$70,5,FALSE)</f>
        <v>Trsf</v>
      </c>
      <c r="S3608" s="1" t="s">
        <v>3909</v>
      </c>
    </row>
    <row r="3609" spans="1:19" ht="16.25" customHeight="1" x14ac:dyDescent="0.35">
      <c r="A3609" s="140">
        <v>45673</v>
      </c>
      <c r="B3609" s="5">
        <f t="shared" si="938"/>
        <v>1</v>
      </c>
      <c r="C3609" s="5">
        <f t="shared" si="939"/>
        <v>2025</v>
      </c>
      <c r="D3609" s="105" t="s">
        <v>3350</v>
      </c>
      <c r="E3609" s="5" t="str">
        <f>VLOOKUP(F3609,'Set up'!$A$2:$C$70,2,FALSE)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up'!$A$2:$C$70,3,FALSE)</f>
        <v>Cash</v>
      </c>
      <c r="J3609" s="5">
        <f>VLOOKUP(F3609,'Set up'!$A$2:$D$70,4,FALSE)</f>
        <v>0</v>
      </c>
      <c r="K3609" s="4">
        <f t="shared" si="928"/>
        <v>45673</v>
      </c>
      <c r="L3609" s="5">
        <f t="shared" si="929"/>
        <v>1</v>
      </c>
      <c r="M3609" s="5">
        <f t="shared" si="930"/>
        <v>2025</v>
      </c>
      <c r="N3609" s="135">
        <v>495</v>
      </c>
      <c r="O3609" s="6">
        <f t="shared" si="943"/>
        <v>-495</v>
      </c>
      <c r="P3609" s="12">
        <f t="shared" si="931"/>
        <v>0</v>
      </c>
      <c r="Q3609" s="7">
        <f t="shared" si="932"/>
        <v>5926285.6500000004</v>
      </c>
      <c r="R3609" s="44" t="str">
        <f>VLOOKUP(F3609,'Set up'!$A$2:$E$70,5,FALSE)</f>
        <v>Trsf</v>
      </c>
      <c r="S3609" s="1" t="s">
        <v>3910</v>
      </c>
    </row>
    <row r="3610" spans="1:19" ht="16.25" customHeight="1" x14ac:dyDescent="0.35">
      <c r="A3610" s="140">
        <v>45673</v>
      </c>
      <c r="B3610" s="5">
        <f t="shared" si="938"/>
        <v>1</v>
      </c>
      <c r="C3610" s="5">
        <f t="shared" si="939"/>
        <v>2025</v>
      </c>
      <c r="D3610" s="105" t="s">
        <v>3350</v>
      </c>
      <c r="E3610" s="5" t="str">
        <f>VLOOKUP(F3610,'Set up'!$A$2:$C$70,2,FALSE)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up'!$A$2:$C$70,3,FALSE)</f>
        <v>Cash</v>
      </c>
      <c r="J3610" s="5">
        <f>VLOOKUP(F3610,'Set up'!$A$2:$D$70,4,FALSE)</f>
        <v>0</v>
      </c>
      <c r="K3610" s="4">
        <f t="shared" si="928"/>
        <v>45673</v>
      </c>
      <c r="L3610" s="5">
        <f t="shared" si="929"/>
        <v>1</v>
      </c>
      <c r="M3610" s="5">
        <f t="shared" si="930"/>
        <v>2025</v>
      </c>
      <c r="N3610" s="135">
        <v>460</v>
      </c>
      <c r="O3610" s="6">
        <f t="shared" si="943"/>
        <v>-460</v>
      </c>
      <c r="P3610" s="12">
        <f t="shared" si="931"/>
        <v>0</v>
      </c>
      <c r="Q3610" s="7">
        <f t="shared" si="932"/>
        <v>5926745.6500000004</v>
      </c>
      <c r="R3610" s="44" t="str">
        <f>VLOOKUP(F3610,'Set up'!$A$2:$E$70,5,FALSE)</f>
        <v>Trsf</v>
      </c>
      <c r="S3610" s="1" t="s">
        <v>3906</v>
      </c>
    </row>
    <row r="3611" spans="1:19" ht="16.25" customHeight="1" x14ac:dyDescent="0.35">
      <c r="A3611" s="140">
        <v>45673</v>
      </c>
      <c r="B3611" s="5">
        <f t="shared" si="938"/>
        <v>1</v>
      </c>
      <c r="C3611" s="5">
        <f t="shared" si="939"/>
        <v>2025</v>
      </c>
      <c r="D3611" s="105" t="s">
        <v>3350</v>
      </c>
      <c r="E3611" s="5" t="str">
        <f>VLOOKUP(F3611,'Set up'!$A$2:$C$70,2,FALSE)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up'!$A$2:$C$70,3,FALSE)</f>
        <v>Cash</v>
      </c>
      <c r="J3611" s="5">
        <f>VLOOKUP(F3611,'Set up'!$A$2:$D$70,4,FALSE)</f>
        <v>0</v>
      </c>
      <c r="K3611" s="4">
        <f t="shared" si="928"/>
        <v>45673</v>
      </c>
      <c r="L3611" s="5">
        <f t="shared" si="929"/>
        <v>1</v>
      </c>
      <c r="M3611" s="5">
        <f t="shared" si="930"/>
        <v>2025</v>
      </c>
      <c r="N3611" s="135">
        <v>975</v>
      </c>
      <c r="O3611" s="6">
        <f t="shared" si="943"/>
        <v>-975</v>
      </c>
      <c r="P3611" s="12">
        <f t="shared" si="931"/>
        <v>0</v>
      </c>
      <c r="Q3611" s="7">
        <f t="shared" si="932"/>
        <v>5927720.6500000004</v>
      </c>
      <c r="R3611" s="44" t="str">
        <f>VLOOKUP(F3611,'Set up'!$A$2:$E$70,5,FALSE)</f>
        <v>Trsf</v>
      </c>
      <c r="S3611" s="1" t="s">
        <v>3911</v>
      </c>
    </row>
    <row r="3612" spans="1:19" ht="16.25" customHeight="1" x14ac:dyDescent="0.35">
      <c r="A3612" s="140">
        <v>45674</v>
      </c>
      <c r="B3612" s="5">
        <f t="shared" si="938"/>
        <v>1</v>
      </c>
      <c r="C3612" s="5">
        <f t="shared" si="939"/>
        <v>2025</v>
      </c>
      <c r="D3612" s="105" t="s">
        <v>3351</v>
      </c>
      <c r="E3612" s="5" t="str">
        <f>VLOOKUP(F3612,'Set up'!$A$2:$C$70,2,FALSE)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up'!$A$2:$C$70,3,FALSE)</f>
        <v>Cash</v>
      </c>
      <c r="J3612" s="5">
        <f>VLOOKUP(F3612,'Set up'!$A$2:$D$70,4,FALSE)</f>
        <v>0</v>
      </c>
      <c r="K3612" s="4">
        <f t="shared" si="928"/>
        <v>45674</v>
      </c>
      <c r="L3612" s="5">
        <f t="shared" si="929"/>
        <v>1</v>
      </c>
      <c r="M3612" s="5">
        <f t="shared" si="930"/>
        <v>2025</v>
      </c>
      <c r="N3612" s="135">
        <v>62.5</v>
      </c>
      <c r="O3612" s="6">
        <f t="shared" si="943"/>
        <v>-62.5</v>
      </c>
      <c r="P3612" s="12">
        <f t="shared" si="931"/>
        <v>0</v>
      </c>
      <c r="Q3612" s="7">
        <f t="shared" si="932"/>
        <v>5927783.1500000004</v>
      </c>
      <c r="R3612" s="44" t="str">
        <f>VLOOKUP(F3612,'Set up'!$A$2:$E$70,5,FALSE)</f>
        <v>Trsf</v>
      </c>
      <c r="S3612" s="1" t="s">
        <v>3912</v>
      </c>
    </row>
    <row r="3613" spans="1:19" ht="16.25" customHeight="1" x14ac:dyDescent="0.35">
      <c r="A3613" s="140">
        <v>45674</v>
      </c>
      <c r="B3613" s="5">
        <f t="shared" si="938"/>
        <v>1</v>
      </c>
      <c r="C3613" s="5">
        <f t="shared" si="939"/>
        <v>2025</v>
      </c>
      <c r="D3613" s="105" t="s">
        <v>3352</v>
      </c>
      <c r="E3613" s="5" t="str">
        <f>VLOOKUP(F3613,'Set up'!$A$2:$C$70,2,FALSE)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up'!$A$2:$C$70,3,FALSE)</f>
        <v>Cash</v>
      </c>
      <c r="J3613" s="5">
        <f>VLOOKUP(F3613,'Set up'!$A$2:$D$70,4,FALSE)</f>
        <v>0</v>
      </c>
      <c r="K3613" s="4">
        <f t="shared" si="928"/>
        <v>45674</v>
      </c>
      <c r="L3613" s="5">
        <f t="shared" si="929"/>
        <v>1</v>
      </c>
      <c r="M3613" s="5">
        <f t="shared" si="930"/>
        <v>2025</v>
      </c>
      <c r="N3613" s="135">
        <v>4860</v>
      </c>
      <c r="O3613" s="12">
        <f>-4723.1-136.9</f>
        <v>-4860</v>
      </c>
      <c r="P3613" s="12">
        <f t="shared" si="931"/>
        <v>0</v>
      </c>
      <c r="Q3613" s="7">
        <f t="shared" si="932"/>
        <v>5932643.1500000004</v>
      </c>
      <c r="R3613" s="44" t="str">
        <f>VLOOKUP(F3613,'Set up'!$A$2:$E$70,5,FALSE)</f>
        <v>Trsf</v>
      </c>
      <c r="S3613" s="1" t="s">
        <v>3913</v>
      </c>
    </row>
    <row r="3614" spans="1:19" ht="16.25" customHeight="1" x14ac:dyDescent="0.35">
      <c r="A3614" s="140">
        <v>45674</v>
      </c>
      <c r="B3614" s="5">
        <f t="shared" si="938"/>
        <v>1</v>
      </c>
      <c r="C3614" s="5">
        <f t="shared" si="939"/>
        <v>2025</v>
      </c>
      <c r="D3614" s="105" t="s">
        <v>3352</v>
      </c>
      <c r="E3614" s="5" t="str">
        <f>VLOOKUP(F3614,'Set up'!$A$2:$C$70,2,FALSE)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up'!$A$2:$C$70,3,FALSE)</f>
        <v>Cash</v>
      </c>
      <c r="J3614" s="5">
        <f>VLOOKUP(F3614,'Set up'!$A$2:$D$70,4,FALSE)</f>
        <v>0</v>
      </c>
      <c r="K3614" s="4">
        <f t="shared" si="928"/>
        <v>45674</v>
      </c>
      <c r="L3614" s="5">
        <f t="shared" si="929"/>
        <v>1</v>
      </c>
      <c r="M3614" s="5">
        <f t="shared" si="930"/>
        <v>2025</v>
      </c>
      <c r="N3614" s="135">
        <v>1566</v>
      </c>
      <c r="O3614" s="6">
        <f t="shared" ref="O3614:O3617" si="944">-N3614</f>
        <v>-1566</v>
      </c>
      <c r="P3614" s="12">
        <f t="shared" si="931"/>
        <v>0</v>
      </c>
      <c r="Q3614" s="7">
        <f t="shared" si="932"/>
        <v>5934209.1500000004</v>
      </c>
      <c r="R3614" s="44" t="str">
        <f>VLOOKUP(F3614,'Set up'!$A$2:$E$70,5,FALSE)</f>
        <v>Trsf</v>
      </c>
      <c r="S3614" s="1" t="s">
        <v>3914</v>
      </c>
    </row>
    <row r="3615" spans="1:19" ht="16.25" customHeight="1" x14ac:dyDescent="0.35">
      <c r="A3615" s="140">
        <v>45674</v>
      </c>
      <c r="B3615" s="5">
        <f t="shared" si="938"/>
        <v>1</v>
      </c>
      <c r="C3615" s="5">
        <f t="shared" si="939"/>
        <v>2025</v>
      </c>
      <c r="D3615" s="105" t="s">
        <v>3352</v>
      </c>
      <c r="E3615" s="5" t="str">
        <f>VLOOKUP(F3615,'Set up'!$A$2:$C$70,2,FALSE)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up'!$A$2:$C$70,3,FALSE)</f>
        <v>Cash</v>
      </c>
      <c r="J3615" s="5">
        <f>VLOOKUP(F3615,'Set up'!$A$2:$D$70,4,FALSE)</f>
        <v>0</v>
      </c>
      <c r="K3615" s="4">
        <f t="shared" si="928"/>
        <v>45674</v>
      </c>
      <c r="L3615" s="5">
        <f t="shared" si="929"/>
        <v>1</v>
      </c>
      <c r="M3615" s="5">
        <f t="shared" si="930"/>
        <v>2025</v>
      </c>
      <c r="N3615" s="135">
        <v>990</v>
      </c>
      <c r="O3615" s="6">
        <f t="shared" si="944"/>
        <v>-990</v>
      </c>
      <c r="P3615" s="12">
        <f t="shared" si="931"/>
        <v>0</v>
      </c>
      <c r="Q3615" s="7">
        <f t="shared" si="932"/>
        <v>5935199.1500000004</v>
      </c>
      <c r="R3615" s="44" t="str">
        <f>VLOOKUP(F3615,'Set up'!$A$2:$E$70,5,FALSE)</f>
        <v>Trsf</v>
      </c>
      <c r="S3615" s="1" t="s">
        <v>3915</v>
      </c>
    </row>
    <row r="3616" spans="1:19" ht="16.25" customHeight="1" x14ac:dyDescent="0.35">
      <c r="A3616" s="140">
        <v>45674</v>
      </c>
      <c r="B3616" s="5">
        <f t="shared" si="938"/>
        <v>1</v>
      </c>
      <c r="C3616" s="5">
        <f t="shared" si="939"/>
        <v>2025</v>
      </c>
      <c r="D3616" s="105" t="s">
        <v>3352</v>
      </c>
      <c r="E3616" s="5" t="str">
        <f>VLOOKUP(F3616,'Set up'!$A$2:$C$70,2,FALSE)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up'!$A$2:$C$70,3,FALSE)</f>
        <v>Cash</v>
      </c>
      <c r="J3616" s="5">
        <f>VLOOKUP(F3616,'Set up'!$A$2:$D$70,4,FALSE)</f>
        <v>0</v>
      </c>
      <c r="K3616" s="4">
        <f t="shared" si="928"/>
        <v>45674</v>
      </c>
      <c r="L3616" s="5">
        <f t="shared" si="929"/>
        <v>1</v>
      </c>
      <c r="M3616" s="5">
        <f t="shared" si="930"/>
        <v>2025</v>
      </c>
      <c r="N3616" s="135">
        <v>460</v>
      </c>
      <c r="O3616" s="6">
        <f t="shared" si="944"/>
        <v>-460</v>
      </c>
      <c r="P3616" s="12">
        <f t="shared" si="931"/>
        <v>0</v>
      </c>
      <c r="Q3616" s="7">
        <f t="shared" si="932"/>
        <v>5935659.1500000004</v>
      </c>
      <c r="R3616" s="44" t="str">
        <f>VLOOKUP(F3616,'Set up'!$A$2:$E$70,5,FALSE)</f>
        <v>Trsf</v>
      </c>
      <c r="S3616" s="1" t="s">
        <v>3916</v>
      </c>
    </row>
    <row r="3617" spans="1:19" ht="16.25" customHeight="1" x14ac:dyDescent="0.35">
      <c r="A3617" s="140">
        <v>45674</v>
      </c>
      <c r="B3617" s="5">
        <f t="shared" si="938"/>
        <v>1</v>
      </c>
      <c r="C3617" s="5">
        <f t="shared" si="939"/>
        <v>2025</v>
      </c>
      <c r="D3617" s="105" t="s">
        <v>3352</v>
      </c>
      <c r="E3617" s="5" t="str">
        <f>VLOOKUP(F3617,'Set up'!$A$2:$C$70,2,FALSE)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up'!$A$2:$C$70,3,FALSE)</f>
        <v>Cash</v>
      </c>
      <c r="J3617" s="5">
        <f>VLOOKUP(F3617,'Set up'!$A$2:$D$70,4,FALSE)</f>
        <v>0</v>
      </c>
      <c r="K3617" s="4">
        <f t="shared" si="928"/>
        <v>45674</v>
      </c>
      <c r="L3617" s="5">
        <f t="shared" si="929"/>
        <v>1</v>
      </c>
      <c r="M3617" s="5">
        <f t="shared" si="930"/>
        <v>2025</v>
      </c>
      <c r="N3617" s="135">
        <v>1000</v>
      </c>
      <c r="O3617" s="6">
        <f t="shared" si="944"/>
        <v>-1000</v>
      </c>
      <c r="P3617" s="12">
        <f t="shared" si="931"/>
        <v>0</v>
      </c>
      <c r="Q3617" s="7">
        <f t="shared" si="932"/>
        <v>5936659.1500000004</v>
      </c>
      <c r="R3617" s="44" t="str">
        <f>VLOOKUP(F3617,'Set up'!$A$2:$E$70,5,FALSE)</f>
        <v>Trsf</v>
      </c>
      <c r="S3617" s="1" t="s">
        <v>3917</v>
      </c>
    </row>
    <row r="3618" spans="1:19" ht="16.25" customHeight="1" x14ac:dyDescent="0.35">
      <c r="A3618" s="140">
        <v>45678</v>
      </c>
      <c r="B3618" s="5">
        <f t="shared" si="938"/>
        <v>1</v>
      </c>
      <c r="C3618" s="5">
        <f t="shared" si="939"/>
        <v>2025</v>
      </c>
      <c r="D3618" s="105" t="s">
        <v>3353</v>
      </c>
      <c r="E3618" s="5" t="str">
        <f>VLOOKUP(F3618,'Set up'!$A$2:$C$70,2,FALSE)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up'!$A$2:$C$70,3,FALSE)</f>
        <v>Cash</v>
      </c>
      <c r="J3618" s="5">
        <f>VLOOKUP(F3618,'Set up'!$A$2:$D$70,4,FALSE)</f>
        <v>0</v>
      </c>
      <c r="K3618" s="4">
        <f t="shared" si="928"/>
        <v>45678</v>
      </c>
      <c r="L3618" s="5">
        <f t="shared" si="929"/>
        <v>1</v>
      </c>
      <c r="M3618" s="5">
        <f t="shared" si="930"/>
        <v>2025</v>
      </c>
      <c r="N3618" s="135">
        <v>3465</v>
      </c>
      <c r="O3618" s="12"/>
      <c r="P3618" s="12">
        <f t="shared" si="931"/>
        <v>3465</v>
      </c>
      <c r="Q3618" s="7">
        <f t="shared" si="932"/>
        <v>5940124.1500000004</v>
      </c>
      <c r="R3618" s="44" t="str">
        <f>VLOOKUP(F3618,'Set up'!$A$2:$E$70,5,FALSE)</f>
        <v>Trsf</v>
      </c>
    </row>
    <row r="3619" spans="1:19" ht="16.25" customHeight="1" x14ac:dyDescent="0.35">
      <c r="A3619" s="140">
        <v>45678</v>
      </c>
      <c r="B3619" s="5">
        <f t="shared" si="938"/>
        <v>1</v>
      </c>
      <c r="C3619" s="5">
        <f t="shared" si="939"/>
        <v>2025</v>
      </c>
      <c r="D3619" s="105" t="s">
        <v>3353</v>
      </c>
      <c r="E3619" s="5" t="str">
        <f>VLOOKUP(F3619,'Set up'!$A$2:$C$70,2,FALSE)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up'!$A$2:$C$70,3,FALSE)</f>
        <v>Cash</v>
      </c>
      <c r="J3619" s="5">
        <f>VLOOKUP(F3619,'Set up'!$A$2:$D$70,4,FALSE)</f>
        <v>0</v>
      </c>
      <c r="K3619" s="4">
        <f t="shared" si="928"/>
        <v>45678</v>
      </c>
      <c r="L3619" s="5">
        <f t="shared" ref="L3619:L3650" si="945">MONTH(K3619)</f>
        <v>1</v>
      </c>
      <c r="M3619" s="5">
        <f t="shared" ref="M3619:M3650" si="946">YEAR(K3619)</f>
        <v>2025</v>
      </c>
      <c r="N3619" s="135">
        <v>1215</v>
      </c>
      <c r="O3619" s="12"/>
      <c r="P3619" s="12">
        <f t="shared" ref="P3619:P3682" si="947">SUM(N3619+O3619)</f>
        <v>1215</v>
      </c>
      <c r="Q3619" s="7">
        <f t="shared" si="932"/>
        <v>5941339.1500000004</v>
      </c>
      <c r="R3619" s="44" t="str">
        <f>VLOOKUP(F3619,'Set up'!$A$2:$E$70,5,FALSE)</f>
        <v>Trsf</v>
      </c>
    </row>
    <row r="3620" spans="1:19" ht="16.25" customHeight="1" x14ac:dyDescent="0.35">
      <c r="A3620" s="140">
        <v>45678</v>
      </c>
      <c r="B3620" s="5">
        <f t="shared" si="938"/>
        <v>1</v>
      </c>
      <c r="C3620" s="5">
        <f t="shared" si="939"/>
        <v>2025</v>
      </c>
      <c r="D3620" s="105" t="s">
        <v>3353</v>
      </c>
      <c r="E3620" s="5" t="str">
        <f>VLOOKUP(F3620,'Set up'!$A$2:$C$70,2,FALSE)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up'!$A$2:$C$70,3,FALSE)</f>
        <v>Cash</v>
      </c>
      <c r="J3620" s="5">
        <f>VLOOKUP(F3620,'Set up'!$A$2:$D$70,4,FALSE)</f>
        <v>0</v>
      </c>
      <c r="K3620" s="4">
        <f t="shared" ref="K3620:K3683" si="948">A3620+J3620</f>
        <v>45678</v>
      </c>
      <c r="L3620" s="5">
        <f t="shared" si="945"/>
        <v>1</v>
      </c>
      <c r="M3620" s="5">
        <f t="shared" si="946"/>
        <v>2025</v>
      </c>
      <c r="N3620" s="135">
        <v>405</v>
      </c>
      <c r="O3620" s="12"/>
      <c r="P3620" s="12">
        <f t="shared" si="947"/>
        <v>405</v>
      </c>
      <c r="Q3620" s="7">
        <f t="shared" ref="Q3620:Q3683" si="949">SUM(Q3619+N3620)</f>
        <v>5941744.1500000004</v>
      </c>
      <c r="R3620" s="44" t="str">
        <f>VLOOKUP(F3620,'Set up'!$A$2:$E$70,5,FALSE)</f>
        <v>Trsf</v>
      </c>
    </row>
    <row r="3621" spans="1:19" ht="16.25" customHeight="1" x14ac:dyDescent="0.35">
      <c r="A3621" s="140">
        <v>45678</v>
      </c>
      <c r="B3621" s="5">
        <f t="shared" si="938"/>
        <v>1</v>
      </c>
      <c r="C3621" s="5">
        <f t="shared" si="939"/>
        <v>2025</v>
      </c>
      <c r="D3621" s="105" t="s">
        <v>3353</v>
      </c>
      <c r="E3621" s="5" t="str">
        <f>VLOOKUP(F3621,'Set up'!$A$2:$C$70,2,FALSE)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up'!$A$2:$C$70,3,FALSE)</f>
        <v>Cash</v>
      </c>
      <c r="J3621" s="5">
        <f>VLOOKUP(F3621,'Set up'!$A$2:$D$70,4,FALSE)</f>
        <v>0</v>
      </c>
      <c r="K3621" s="4">
        <f t="shared" si="948"/>
        <v>45678</v>
      </c>
      <c r="L3621" s="5">
        <f t="shared" si="945"/>
        <v>1</v>
      </c>
      <c r="M3621" s="5">
        <f t="shared" si="946"/>
        <v>2025</v>
      </c>
      <c r="N3621" s="135">
        <v>563.20000000000005</v>
      </c>
      <c r="O3621" s="12"/>
      <c r="P3621" s="12">
        <f t="shared" si="947"/>
        <v>563.20000000000005</v>
      </c>
      <c r="Q3621" s="7">
        <f t="shared" si="949"/>
        <v>5942307.3500000006</v>
      </c>
      <c r="R3621" s="44" t="str">
        <f>VLOOKUP(F3621,'Set up'!$A$2:$E$70,5,FALSE)</f>
        <v>Trsf</v>
      </c>
    </row>
    <row r="3622" spans="1:19" ht="16.25" customHeight="1" x14ac:dyDescent="0.35">
      <c r="A3622" s="140">
        <v>45678</v>
      </c>
      <c r="B3622" s="5">
        <f t="shared" si="938"/>
        <v>1</v>
      </c>
      <c r="C3622" s="5">
        <f t="shared" si="939"/>
        <v>2025</v>
      </c>
      <c r="D3622" s="105" t="s">
        <v>3353</v>
      </c>
      <c r="E3622" s="5" t="str">
        <f>VLOOKUP(F3622,'Set up'!$A$2:$C$70,2,FALSE)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up'!$A$2:$C$70,3,FALSE)</f>
        <v>Cash</v>
      </c>
      <c r="J3622" s="5">
        <f>VLOOKUP(F3622,'Set up'!$A$2:$D$70,4,FALSE)</f>
        <v>0</v>
      </c>
      <c r="K3622" s="4">
        <f t="shared" si="948"/>
        <v>45678</v>
      </c>
      <c r="L3622" s="5">
        <f t="shared" si="945"/>
        <v>1</v>
      </c>
      <c r="M3622" s="5">
        <f t="shared" si="946"/>
        <v>2025</v>
      </c>
      <c r="N3622" s="135">
        <v>62.5</v>
      </c>
      <c r="O3622" s="12"/>
      <c r="P3622" s="12">
        <f t="shared" si="947"/>
        <v>62.5</v>
      </c>
      <c r="Q3622" s="7">
        <f t="shared" si="949"/>
        <v>5942369.8500000006</v>
      </c>
      <c r="R3622" s="44" t="str">
        <f>VLOOKUP(F3622,'Set up'!$A$2:$E$70,5,FALSE)</f>
        <v>Trsf</v>
      </c>
    </row>
    <row r="3623" spans="1:19" ht="16.25" customHeight="1" x14ac:dyDescent="0.35">
      <c r="A3623" s="140">
        <v>45678</v>
      </c>
      <c r="B3623" s="5">
        <f t="shared" si="938"/>
        <v>1</v>
      </c>
      <c r="C3623" s="5">
        <f t="shared" si="939"/>
        <v>2025</v>
      </c>
      <c r="D3623" s="105" t="s">
        <v>3355</v>
      </c>
      <c r="E3623" s="5" t="str">
        <f>VLOOKUP(F3623,'Set up'!$A$2:$C$70,2,FALSE)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up'!$A$2:$C$70,3,FALSE)</f>
        <v>Cash</v>
      </c>
      <c r="J3623" s="5">
        <f>VLOOKUP(F3623,'Set up'!$A$2:$D$70,4,FALSE)</f>
        <v>0</v>
      </c>
      <c r="K3623" s="4">
        <f t="shared" si="948"/>
        <v>45678</v>
      </c>
      <c r="L3623" s="5">
        <f t="shared" si="945"/>
        <v>1</v>
      </c>
      <c r="M3623" s="5">
        <f t="shared" si="946"/>
        <v>2025</v>
      </c>
      <c r="N3623" s="135">
        <v>62.5</v>
      </c>
      <c r="O3623" s="6">
        <f t="shared" ref="O3623:O3631" si="950">-N3623</f>
        <v>-62.5</v>
      </c>
      <c r="P3623" s="12">
        <f t="shared" si="947"/>
        <v>0</v>
      </c>
      <c r="Q3623" s="7">
        <f t="shared" si="949"/>
        <v>5942432.3500000006</v>
      </c>
      <c r="R3623" s="44" t="str">
        <f>VLOOKUP(F3623,'Set up'!$A$2:$E$70,5,FALSE)</f>
        <v>Trsf</v>
      </c>
      <c r="S3623" s="1" t="s">
        <v>3918</v>
      </c>
    </row>
    <row r="3624" spans="1:19" ht="16.25" customHeight="1" x14ac:dyDescent="0.35">
      <c r="A3624" s="140">
        <v>45678</v>
      </c>
      <c r="B3624" s="5">
        <f t="shared" si="938"/>
        <v>1</v>
      </c>
      <c r="C3624" s="5">
        <f t="shared" si="939"/>
        <v>2025</v>
      </c>
      <c r="D3624" s="105" t="s">
        <v>3356</v>
      </c>
      <c r="E3624" s="5" t="str">
        <f>VLOOKUP(F3624,'Set up'!$A$2:$C$70,2,FALSE)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up'!$A$2:$C$70,3,FALSE)</f>
        <v>Cash</v>
      </c>
      <c r="J3624" s="5">
        <f>VLOOKUP(F3624,'Set up'!$A$2:$D$70,4,FALSE)</f>
        <v>0</v>
      </c>
      <c r="K3624" s="4">
        <f t="shared" si="948"/>
        <v>45678</v>
      </c>
      <c r="L3624" s="5">
        <f t="shared" si="945"/>
        <v>1</v>
      </c>
      <c r="M3624" s="5">
        <f t="shared" si="946"/>
        <v>2025</v>
      </c>
      <c r="N3624" s="135">
        <v>1620</v>
      </c>
      <c r="O3624" s="6">
        <f t="shared" si="950"/>
        <v>-1620</v>
      </c>
      <c r="P3624" s="12">
        <f t="shared" si="947"/>
        <v>0</v>
      </c>
      <c r="Q3624" s="7">
        <f t="shared" si="949"/>
        <v>5944052.3500000006</v>
      </c>
      <c r="R3624" s="44" t="str">
        <f>VLOOKUP(F3624,'Set up'!$A$2:$E$70,5,FALSE)</f>
        <v>Trsf</v>
      </c>
      <c r="S3624" s="1" t="s">
        <v>3919</v>
      </c>
    </row>
    <row r="3625" spans="1:19" ht="16.25" customHeight="1" x14ac:dyDescent="0.35">
      <c r="A3625" s="140">
        <v>45678</v>
      </c>
      <c r="B3625" s="5">
        <f t="shared" si="938"/>
        <v>1</v>
      </c>
      <c r="C3625" s="5">
        <f t="shared" si="939"/>
        <v>2025</v>
      </c>
      <c r="D3625" s="105" t="s">
        <v>3356</v>
      </c>
      <c r="E3625" s="5" t="str">
        <f>VLOOKUP(F3625,'Set up'!$A$2:$C$70,2,FALSE)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up'!$A$2:$C$70,3,FALSE)</f>
        <v>Cash</v>
      </c>
      <c r="J3625" s="5">
        <f>VLOOKUP(F3625,'Set up'!$A$2:$D$70,4,FALSE)</f>
        <v>0</v>
      </c>
      <c r="K3625" s="4">
        <f t="shared" si="948"/>
        <v>45678</v>
      </c>
      <c r="L3625" s="5">
        <f t="shared" si="945"/>
        <v>1</v>
      </c>
      <c r="M3625" s="5">
        <f t="shared" si="946"/>
        <v>2025</v>
      </c>
      <c r="N3625" s="135">
        <v>522</v>
      </c>
      <c r="O3625" s="6">
        <f t="shared" si="950"/>
        <v>-522</v>
      </c>
      <c r="P3625" s="12">
        <f t="shared" si="947"/>
        <v>0</v>
      </c>
      <c r="Q3625" s="7">
        <f t="shared" si="949"/>
        <v>5944574.3500000006</v>
      </c>
      <c r="R3625" s="44" t="str">
        <f>VLOOKUP(F3625,'Set up'!$A$2:$E$70,5,FALSE)</f>
        <v>Trsf</v>
      </c>
      <c r="S3625" s="1" t="s">
        <v>3920</v>
      </c>
    </row>
    <row r="3626" spans="1:19" ht="16.25" customHeight="1" x14ac:dyDescent="0.35">
      <c r="A3626" s="140">
        <v>45678</v>
      </c>
      <c r="B3626" s="5">
        <f t="shared" si="938"/>
        <v>1</v>
      </c>
      <c r="C3626" s="5">
        <f t="shared" si="939"/>
        <v>2025</v>
      </c>
      <c r="D3626" s="105" t="s">
        <v>3356</v>
      </c>
      <c r="E3626" s="5" t="str">
        <f>VLOOKUP(F3626,'Set up'!$A$2:$C$70,2,FALSE)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up'!$A$2:$C$70,3,FALSE)</f>
        <v>Cash</v>
      </c>
      <c r="J3626" s="5">
        <f>VLOOKUP(F3626,'Set up'!$A$2:$D$70,4,FALSE)</f>
        <v>0</v>
      </c>
      <c r="K3626" s="4">
        <f t="shared" si="948"/>
        <v>45678</v>
      </c>
      <c r="L3626" s="5">
        <f t="shared" si="945"/>
        <v>1</v>
      </c>
      <c r="M3626" s="5">
        <f t="shared" si="946"/>
        <v>2025</v>
      </c>
      <c r="N3626" s="135">
        <v>247.5</v>
      </c>
      <c r="O3626" s="6">
        <f t="shared" si="950"/>
        <v>-247.5</v>
      </c>
      <c r="P3626" s="12">
        <f t="shared" si="947"/>
        <v>0</v>
      </c>
      <c r="Q3626" s="7">
        <f t="shared" si="949"/>
        <v>5944821.8500000006</v>
      </c>
      <c r="R3626" s="44" t="str">
        <f>VLOOKUP(F3626,'Set up'!$A$2:$E$70,5,FALSE)</f>
        <v>Trsf</v>
      </c>
      <c r="S3626" s="1" t="s">
        <v>3921</v>
      </c>
    </row>
    <row r="3627" spans="1:19" ht="16.25" customHeight="1" x14ac:dyDescent="0.35">
      <c r="A3627" s="140">
        <v>45678</v>
      </c>
      <c r="B3627" s="5">
        <f t="shared" si="938"/>
        <v>1</v>
      </c>
      <c r="C3627" s="5">
        <f t="shared" si="939"/>
        <v>2025</v>
      </c>
      <c r="D3627" s="105" t="s">
        <v>3356</v>
      </c>
      <c r="E3627" s="5" t="str">
        <f>VLOOKUP(F3627,'Set up'!$A$2:$C$70,2,FALSE)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up'!$A$2:$C$70,3,FALSE)</f>
        <v>Cash</v>
      </c>
      <c r="J3627" s="5">
        <f>VLOOKUP(F3627,'Set up'!$A$2:$D$70,4,FALSE)</f>
        <v>0</v>
      </c>
      <c r="K3627" s="4">
        <f t="shared" si="948"/>
        <v>45678</v>
      </c>
      <c r="L3627" s="5">
        <f t="shared" si="945"/>
        <v>1</v>
      </c>
      <c r="M3627" s="5">
        <f t="shared" si="946"/>
        <v>2025</v>
      </c>
      <c r="N3627" s="135">
        <v>975</v>
      </c>
      <c r="O3627" s="6">
        <f t="shared" si="950"/>
        <v>-975</v>
      </c>
      <c r="P3627" s="12">
        <f t="shared" si="947"/>
        <v>0</v>
      </c>
      <c r="Q3627" s="7">
        <f t="shared" si="949"/>
        <v>5945796.8500000006</v>
      </c>
      <c r="R3627" s="44" t="str">
        <f>VLOOKUP(F3627,'Set up'!$A$2:$E$70,5,FALSE)</f>
        <v>Trsf</v>
      </c>
      <c r="S3627" s="1" t="s">
        <v>3922</v>
      </c>
    </row>
    <row r="3628" spans="1:19" ht="16.25" customHeight="1" x14ac:dyDescent="0.35">
      <c r="A3628" s="140">
        <v>45679</v>
      </c>
      <c r="B3628" s="5">
        <f t="shared" si="938"/>
        <v>1</v>
      </c>
      <c r="C3628" s="5">
        <f t="shared" si="939"/>
        <v>2025</v>
      </c>
      <c r="D3628" s="105" t="s">
        <v>3357</v>
      </c>
      <c r="E3628" s="5" t="str">
        <f>VLOOKUP(F3628,'Set up'!$A$2:$C$70,2,FALSE)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up'!$A$2:$C$70,3,FALSE)</f>
        <v>120</v>
      </c>
      <c r="J3628" s="5">
        <f>VLOOKUP(F3628,'Set up'!$A$2:$D$70,4,FALSE)</f>
        <v>120</v>
      </c>
      <c r="K3628" s="4">
        <f t="shared" si="948"/>
        <v>45799</v>
      </c>
      <c r="L3628" s="5">
        <f t="shared" si="945"/>
        <v>5</v>
      </c>
      <c r="M3628" s="5">
        <f t="shared" si="946"/>
        <v>2025</v>
      </c>
      <c r="N3628" s="135">
        <v>9720</v>
      </c>
      <c r="O3628" s="6">
        <f t="shared" si="950"/>
        <v>-9720</v>
      </c>
      <c r="P3628" s="12">
        <f t="shared" ref="P3628:P3629" si="951">SUM(N3628+O3628)</f>
        <v>0</v>
      </c>
      <c r="Q3628" s="7">
        <f t="shared" si="949"/>
        <v>5955516.8500000006</v>
      </c>
      <c r="R3628" s="44" t="str">
        <f>VLOOKUP(F3628,'Set up'!$A$2:$E$70,5,FALSE)</f>
        <v>Trsf</v>
      </c>
      <c r="S3628" s="1" t="s">
        <v>4070</v>
      </c>
    </row>
    <row r="3629" spans="1:19" ht="16.25" customHeight="1" x14ac:dyDescent="0.35">
      <c r="A3629" s="140">
        <v>45679</v>
      </c>
      <c r="B3629" s="5">
        <f t="shared" si="938"/>
        <v>1</v>
      </c>
      <c r="C3629" s="5">
        <f t="shared" si="939"/>
        <v>2025</v>
      </c>
      <c r="D3629" s="105" t="s">
        <v>3357</v>
      </c>
      <c r="E3629" s="5" t="str">
        <f>VLOOKUP(F3629,'Set up'!$A$2:$C$70,2,FALSE)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up'!$A$2:$C$70,3,FALSE)</f>
        <v>120</v>
      </c>
      <c r="J3629" s="5">
        <f>VLOOKUP(F3629,'Set up'!$A$2:$D$70,4,FALSE)</f>
        <v>120</v>
      </c>
      <c r="K3629" s="4">
        <f t="shared" si="948"/>
        <v>45799</v>
      </c>
      <c r="L3629" s="5">
        <f t="shared" si="945"/>
        <v>5</v>
      </c>
      <c r="M3629" s="5">
        <f t="shared" si="946"/>
        <v>2025</v>
      </c>
      <c r="N3629" s="135">
        <v>1740</v>
      </c>
      <c r="O3629" s="6">
        <f t="shared" si="950"/>
        <v>-1740</v>
      </c>
      <c r="P3629" s="12">
        <f t="shared" si="951"/>
        <v>0</v>
      </c>
      <c r="Q3629" s="7">
        <f t="shared" si="949"/>
        <v>5957256.8500000006</v>
      </c>
      <c r="R3629" s="44" t="str">
        <f>VLOOKUP(F3629,'Set up'!$A$2:$E$70,5,FALSE)</f>
        <v>Trsf</v>
      </c>
      <c r="S3629" s="1" t="s">
        <v>4070</v>
      </c>
    </row>
    <row r="3630" spans="1:19" ht="16.25" customHeight="1" x14ac:dyDescent="0.35">
      <c r="A3630" s="140">
        <v>45679</v>
      </c>
      <c r="B3630" s="5">
        <f t="shared" si="938"/>
        <v>1</v>
      </c>
      <c r="C3630" s="5">
        <f t="shared" si="939"/>
        <v>2025</v>
      </c>
      <c r="D3630" s="105" t="s">
        <v>3357</v>
      </c>
      <c r="E3630" s="5" t="str">
        <f>VLOOKUP(F3630,'Set up'!$A$2:$C$70,2,FALSE)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up'!$A$2:$C$70,3,FALSE)</f>
        <v>120</v>
      </c>
      <c r="J3630" s="5">
        <f>VLOOKUP(F3630,'Set up'!$A$2:$D$70,4,FALSE)</f>
        <v>120</v>
      </c>
      <c r="K3630" s="4">
        <f t="shared" si="948"/>
        <v>45799</v>
      </c>
      <c r="L3630" s="5">
        <f t="shared" si="945"/>
        <v>5</v>
      </c>
      <c r="M3630" s="5">
        <f t="shared" si="946"/>
        <v>2025</v>
      </c>
      <c r="N3630" s="135">
        <v>575</v>
      </c>
      <c r="O3630" s="6">
        <f t="shared" si="950"/>
        <v>-575</v>
      </c>
      <c r="P3630" s="12">
        <f t="shared" si="947"/>
        <v>0</v>
      </c>
      <c r="Q3630" s="7">
        <f t="shared" si="949"/>
        <v>5957831.8500000006</v>
      </c>
      <c r="R3630" s="44" t="str">
        <f>VLOOKUP(F3630,'Set up'!$A$2:$E$70,5,FALSE)</f>
        <v>Trsf</v>
      </c>
      <c r="S3630" s="1" t="s">
        <v>4070</v>
      </c>
    </row>
    <row r="3631" spans="1:19" ht="16.25" customHeight="1" x14ac:dyDescent="0.35">
      <c r="A3631" s="140">
        <v>45679</v>
      </c>
      <c r="B3631" s="5">
        <f t="shared" si="938"/>
        <v>1</v>
      </c>
      <c r="C3631" s="5">
        <f t="shared" si="939"/>
        <v>2025</v>
      </c>
      <c r="D3631" s="105" t="s">
        <v>3357</v>
      </c>
      <c r="E3631" s="5" t="str">
        <f>VLOOKUP(F3631,'Set up'!$A$2:$C$70,2,FALSE)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up'!$A$2:$C$70,3,FALSE)</f>
        <v>120</v>
      </c>
      <c r="J3631" s="5">
        <f>VLOOKUP(F3631,'Set up'!$A$2:$D$70,4,FALSE)</f>
        <v>120</v>
      </c>
      <c r="K3631" s="4">
        <f t="shared" si="948"/>
        <v>45799</v>
      </c>
      <c r="L3631" s="5">
        <f t="shared" si="945"/>
        <v>5</v>
      </c>
      <c r="M3631" s="5">
        <f t="shared" si="946"/>
        <v>2025</v>
      </c>
      <c r="N3631" s="135">
        <v>440</v>
      </c>
      <c r="O3631" s="6">
        <f t="shared" si="950"/>
        <v>-440</v>
      </c>
      <c r="P3631" s="12">
        <f t="shared" si="947"/>
        <v>0</v>
      </c>
      <c r="Q3631" s="7">
        <f t="shared" si="949"/>
        <v>5958271.8500000006</v>
      </c>
      <c r="R3631" s="44" t="str">
        <f>VLOOKUP(F3631,'Set up'!$A$2:$E$70,5,FALSE)</f>
        <v>Trsf</v>
      </c>
      <c r="S3631" s="1" t="s">
        <v>4070</v>
      </c>
    </row>
    <row r="3632" spans="1:19" ht="16.25" customHeight="1" x14ac:dyDescent="0.35">
      <c r="A3632" s="140">
        <v>45679</v>
      </c>
      <c r="B3632" s="5">
        <f t="shared" si="938"/>
        <v>1</v>
      </c>
      <c r="C3632" s="5">
        <f t="shared" si="939"/>
        <v>2025</v>
      </c>
      <c r="D3632" s="105" t="s">
        <v>3357</v>
      </c>
      <c r="E3632" s="5" t="str">
        <f>VLOOKUP(F3632,'Set up'!$A$2:$C$70,2,FALSE)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up'!$A$2:$C$70,3,FALSE)</f>
        <v>120</v>
      </c>
      <c r="J3632" s="5">
        <f>VLOOKUP(F3632,'Set up'!$A$2:$D$70,4,FALSE)</f>
        <v>120</v>
      </c>
      <c r="K3632" s="4">
        <f t="shared" si="948"/>
        <v>45799</v>
      </c>
      <c r="L3632" s="5">
        <f t="shared" si="945"/>
        <v>5</v>
      </c>
      <c r="M3632" s="5">
        <f t="shared" si="946"/>
        <v>2025</v>
      </c>
      <c r="N3632" s="135">
        <v>696</v>
      </c>
      <c r="O3632" s="6">
        <f t="shared" ref="O3632" si="952">-N3632</f>
        <v>-696</v>
      </c>
      <c r="P3632" s="12">
        <f t="shared" si="947"/>
        <v>0</v>
      </c>
      <c r="Q3632" s="7">
        <f t="shared" si="949"/>
        <v>5958967.8500000006</v>
      </c>
      <c r="R3632" s="44" t="str">
        <f>VLOOKUP(F3632,'Set up'!$A$2:$E$70,5,FALSE)</f>
        <v>Trsf</v>
      </c>
      <c r="S3632" s="1" t="s">
        <v>4070</v>
      </c>
    </row>
    <row r="3633" spans="1:21" ht="16.25" customHeight="1" x14ac:dyDescent="0.35">
      <c r="A3633" s="140">
        <v>45681</v>
      </c>
      <c r="B3633" s="5">
        <f t="shared" si="938"/>
        <v>1</v>
      </c>
      <c r="C3633" s="5">
        <f t="shared" si="939"/>
        <v>2025</v>
      </c>
      <c r="D3633" s="105" t="s">
        <v>3358</v>
      </c>
      <c r="E3633" s="5" t="str">
        <f>VLOOKUP(F3633,'Set up'!$A$2:$C$70,2,FALSE)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up'!$A$2:$C$70,3,FALSE)</f>
        <v>Cash</v>
      </c>
      <c r="J3633" s="5">
        <f>VLOOKUP(F3633,'Set up'!$A$2:$D$70,4,FALSE)</f>
        <v>0</v>
      </c>
      <c r="K3633" s="4">
        <f t="shared" si="948"/>
        <v>45681</v>
      </c>
      <c r="L3633" s="5">
        <f t="shared" si="945"/>
        <v>1</v>
      </c>
      <c r="M3633" s="5">
        <f t="shared" si="946"/>
        <v>2025</v>
      </c>
      <c r="N3633" s="135">
        <v>1755</v>
      </c>
      <c r="O3633" s="12"/>
      <c r="P3633" s="12">
        <f t="shared" si="947"/>
        <v>1755</v>
      </c>
      <c r="Q3633" s="7">
        <f t="shared" si="949"/>
        <v>5960722.8500000006</v>
      </c>
      <c r="R3633" s="44" t="str">
        <f>VLOOKUP(F3633,'Set up'!$A$2:$E$70,5,FALSE)</f>
        <v>Trsf</v>
      </c>
    </row>
    <row r="3634" spans="1:21" ht="16.25" customHeight="1" x14ac:dyDescent="0.35">
      <c r="A3634" s="140">
        <v>45681</v>
      </c>
      <c r="B3634" s="5">
        <f t="shared" si="938"/>
        <v>1</v>
      </c>
      <c r="C3634" s="5">
        <f t="shared" si="939"/>
        <v>2025</v>
      </c>
      <c r="D3634" s="105" t="s">
        <v>3358</v>
      </c>
      <c r="E3634" s="5" t="str">
        <f>VLOOKUP(F3634,'Set up'!$A$2:$C$70,2,FALSE)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up'!$A$2:$C$70,3,FALSE)</f>
        <v>Cash</v>
      </c>
      <c r="J3634" s="5">
        <f>VLOOKUP(F3634,'Set up'!$A$2:$D$70,4,FALSE)</f>
        <v>0</v>
      </c>
      <c r="K3634" s="4">
        <f t="shared" si="948"/>
        <v>45681</v>
      </c>
      <c r="L3634" s="5">
        <f t="shared" si="945"/>
        <v>1</v>
      </c>
      <c r="M3634" s="5">
        <f t="shared" si="946"/>
        <v>2025</v>
      </c>
      <c r="N3634" s="135">
        <v>405</v>
      </c>
      <c r="O3634" s="12"/>
      <c r="P3634" s="12">
        <f t="shared" si="947"/>
        <v>405</v>
      </c>
      <c r="Q3634" s="7">
        <f t="shared" si="949"/>
        <v>5961127.8500000006</v>
      </c>
      <c r="R3634" s="44" t="str">
        <f>VLOOKUP(F3634,'Set up'!$A$2:$E$70,5,FALSE)</f>
        <v>Trsf</v>
      </c>
    </row>
    <row r="3635" spans="1:21" ht="16.25" customHeight="1" x14ac:dyDescent="0.35">
      <c r="A3635" s="140">
        <v>45681</v>
      </c>
      <c r="B3635" s="5">
        <f t="shared" si="938"/>
        <v>1</v>
      </c>
      <c r="C3635" s="5">
        <f t="shared" si="939"/>
        <v>2025</v>
      </c>
      <c r="D3635" s="105" t="s">
        <v>3358</v>
      </c>
      <c r="E3635" s="5" t="str">
        <f>VLOOKUP(F3635,'Set up'!$A$2:$C$70,2,FALSE)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up'!$A$2:$C$70,3,FALSE)</f>
        <v>Cash</v>
      </c>
      <c r="J3635" s="5">
        <f>VLOOKUP(F3635,'Set up'!$A$2:$D$70,4,FALSE)</f>
        <v>0</v>
      </c>
      <c r="K3635" s="4">
        <f t="shared" si="948"/>
        <v>45681</v>
      </c>
      <c r="L3635" s="5">
        <f t="shared" si="945"/>
        <v>1</v>
      </c>
      <c r="M3635" s="5">
        <f t="shared" si="946"/>
        <v>2025</v>
      </c>
      <c r="N3635" s="135">
        <v>110</v>
      </c>
      <c r="O3635" s="12"/>
      <c r="P3635" s="12">
        <f t="shared" si="947"/>
        <v>110</v>
      </c>
      <c r="Q3635" s="7">
        <f t="shared" si="949"/>
        <v>5961237.8500000006</v>
      </c>
      <c r="R3635" s="44" t="str">
        <f>VLOOKUP(F3635,'Set up'!$A$2:$E$70,5,FALSE)</f>
        <v>Trsf</v>
      </c>
    </row>
    <row r="3636" spans="1:21" ht="16.25" customHeight="1" x14ac:dyDescent="0.35">
      <c r="A3636" s="140">
        <v>45681</v>
      </c>
      <c r="B3636" s="5">
        <f t="shared" si="938"/>
        <v>1</v>
      </c>
      <c r="C3636" s="5">
        <f t="shared" si="939"/>
        <v>2025</v>
      </c>
      <c r="D3636" s="105" t="s">
        <v>3358</v>
      </c>
      <c r="E3636" s="5" t="str">
        <f>VLOOKUP(F3636,'Set up'!$A$2:$C$70,2,FALSE)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up'!$A$2:$C$70,3,FALSE)</f>
        <v>Cash</v>
      </c>
      <c r="J3636" s="5">
        <f>VLOOKUP(F3636,'Set up'!$A$2:$D$70,4,FALSE)</f>
        <v>0</v>
      </c>
      <c r="K3636" s="4">
        <f t="shared" si="948"/>
        <v>45681</v>
      </c>
      <c r="L3636" s="5">
        <f t="shared" si="945"/>
        <v>1</v>
      </c>
      <c r="M3636" s="5">
        <f t="shared" si="946"/>
        <v>2025</v>
      </c>
      <c r="N3636" s="135">
        <v>390</v>
      </c>
      <c r="O3636" s="12"/>
      <c r="P3636" s="12">
        <f t="shared" si="947"/>
        <v>390</v>
      </c>
      <c r="Q3636" s="7">
        <f t="shared" si="949"/>
        <v>5961627.8500000006</v>
      </c>
      <c r="R3636" s="44" t="str">
        <f>VLOOKUP(F3636,'Set up'!$A$2:$E$70,5,FALSE)</f>
        <v>Trsf</v>
      </c>
    </row>
    <row r="3637" spans="1:21" ht="16.25" customHeight="1" x14ac:dyDescent="0.35">
      <c r="A3637" s="140">
        <v>45681</v>
      </c>
      <c r="B3637" s="5">
        <f t="shared" si="938"/>
        <v>1</v>
      </c>
      <c r="C3637" s="5">
        <f t="shared" si="939"/>
        <v>2025</v>
      </c>
      <c r="D3637" s="105" t="s">
        <v>3358</v>
      </c>
      <c r="E3637" s="5" t="str">
        <f>VLOOKUP(F3637,'Set up'!$A$2:$C$70,2,FALSE)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up'!$A$2:$C$70,3,FALSE)</f>
        <v>Cash</v>
      </c>
      <c r="J3637" s="5">
        <f>VLOOKUP(F3637,'Set up'!$A$2:$D$70,4,FALSE)</f>
        <v>0</v>
      </c>
      <c r="K3637" s="4">
        <f t="shared" si="948"/>
        <v>45681</v>
      </c>
      <c r="L3637" s="5">
        <f t="shared" si="945"/>
        <v>1</v>
      </c>
      <c r="M3637" s="5">
        <f t="shared" si="946"/>
        <v>2025</v>
      </c>
      <c r="N3637" s="135">
        <v>125</v>
      </c>
      <c r="O3637" s="12"/>
      <c r="P3637" s="12">
        <f t="shared" si="947"/>
        <v>125</v>
      </c>
      <c r="Q3637" s="7">
        <f t="shared" si="949"/>
        <v>5961752.8500000006</v>
      </c>
      <c r="R3637" s="44" t="str">
        <f>VLOOKUP(F3637,'Set up'!$A$2:$E$70,5,FALSE)</f>
        <v>Trsf</v>
      </c>
    </row>
    <row r="3638" spans="1:21" ht="16.25" customHeight="1" x14ac:dyDescent="0.35">
      <c r="A3638" s="140">
        <v>45681</v>
      </c>
      <c r="B3638" s="5">
        <f t="shared" si="938"/>
        <v>1</v>
      </c>
      <c r="C3638" s="5">
        <f t="shared" si="939"/>
        <v>2025</v>
      </c>
      <c r="D3638" s="105" t="s">
        <v>3358</v>
      </c>
      <c r="E3638" s="5" t="str">
        <f>VLOOKUP(F3638,'Set up'!$A$2:$C$70,2,FALSE)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up'!$A$2:$C$70,3,FALSE)</f>
        <v>Cash</v>
      </c>
      <c r="J3638" s="5">
        <f>VLOOKUP(F3638,'Set up'!$A$2:$D$70,4,FALSE)</f>
        <v>0</v>
      </c>
      <c r="K3638" s="4">
        <f t="shared" si="948"/>
        <v>45681</v>
      </c>
      <c r="L3638" s="5">
        <f t="shared" si="945"/>
        <v>1</v>
      </c>
      <c r="M3638" s="5">
        <f t="shared" si="946"/>
        <v>2025</v>
      </c>
      <c r="N3638" s="135">
        <v>160</v>
      </c>
      <c r="O3638" s="12"/>
      <c r="P3638" s="12">
        <f t="shared" si="947"/>
        <v>160</v>
      </c>
      <c r="Q3638" s="7">
        <f t="shared" si="949"/>
        <v>5961912.8500000006</v>
      </c>
      <c r="R3638" s="44" t="str">
        <f>VLOOKUP(F3638,'Set up'!$A$2:$E$70,5,FALSE)</f>
        <v>Trsf</v>
      </c>
    </row>
    <row r="3639" spans="1:21" ht="16.25" customHeight="1" x14ac:dyDescent="0.35">
      <c r="A3639" s="140">
        <v>45682</v>
      </c>
      <c r="B3639" s="5">
        <f t="shared" si="938"/>
        <v>1</v>
      </c>
      <c r="C3639" s="5">
        <f t="shared" si="939"/>
        <v>2025</v>
      </c>
      <c r="D3639" s="105" t="s">
        <v>3359</v>
      </c>
      <c r="E3639" s="5" t="str">
        <f>VLOOKUP(F3639,'Set up'!$A$2:$C$70,2,FALSE)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up'!$A$2:$C$70,3,FALSE)</f>
        <v>45</v>
      </c>
      <c r="J3639" s="5">
        <f>VLOOKUP(F3639,'Set up'!$A$2:$D$70,4,FALSE)</f>
        <v>45</v>
      </c>
      <c r="K3639" s="4">
        <f t="shared" si="948"/>
        <v>45727</v>
      </c>
      <c r="L3639" s="5">
        <f t="shared" si="945"/>
        <v>3</v>
      </c>
      <c r="M3639" s="5">
        <f t="shared" si="946"/>
        <v>2025</v>
      </c>
      <c r="N3639" s="135">
        <v>1755</v>
      </c>
      <c r="O3639" s="12">
        <f>-1000-755</f>
        <v>-1755</v>
      </c>
      <c r="P3639" s="12">
        <f t="shared" si="947"/>
        <v>0</v>
      </c>
      <c r="Q3639" s="7">
        <f t="shared" si="949"/>
        <v>5963667.8500000006</v>
      </c>
      <c r="R3639" s="44" t="str">
        <f>VLOOKUP(F3639,'Set up'!$A$2:$E$70,5,FALSE)</f>
        <v>PD Chq</v>
      </c>
      <c r="S3639" s="1" t="s">
        <v>3604</v>
      </c>
      <c r="U3639" s="1" t="s">
        <v>3603</v>
      </c>
    </row>
    <row r="3640" spans="1:21" ht="16.25" customHeight="1" x14ac:dyDescent="0.35">
      <c r="A3640" s="140">
        <v>45682</v>
      </c>
      <c r="B3640" s="5">
        <f t="shared" si="938"/>
        <v>1</v>
      </c>
      <c r="C3640" s="5">
        <f t="shared" si="939"/>
        <v>2025</v>
      </c>
      <c r="D3640" s="105" t="s">
        <v>3359</v>
      </c>
      <c r="E3640" s="5" t="str">
        <f>VLOOKUP(F3640,'Set up'!$A$2:$C$70,2,FALSE)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up'!$A$2:$C$70,3,FALSE)</f>
        <v>45</v>
      </c>
      <c r="J3640" s="5">
        <f>VLOOKUP(F3640,'Set up'!$A$2:$D$70,4,FALSE)</f>
        <v>45</v>
      </c>
      <c r="K3640" s="4">
        <f t="shared" si="948"/>
        <v>45727</v>
      </c>
      <c r="L3640" s="5">
        <f t="shared" si="945"/>
        <v>3</v>
      </c>
      <c r="M3640" s="5">
        <f t="shared" si="946"/>
        <v>2025</v>
      </c>
      <c r="N3640" s="135">
        <v>220</v>
      </c>
      <c r="O3640" s="6">
        <f>-N3640</f>
        <v>-220</v>
      </c>
      <c r="P3640" s="12">
        <f t="shared" si="947"/>
        <v>0</v>
      </c>
      <c r="Q3640" s="7">
        <f t="shared" si="949"/>
        <v>5963887.8500000006</v>
      </c>
      <c r="R3640" s="44" t="str">
        <f>VLOOKUP(F3640,'Set up'!$A$2:$E$70,5,FALSE)</f>
        <v>PD Chq</v>
      </c>
      <c r="S3640" s="1" t="s">
        <v>3685</v>
      </c>
    </row>
    <row r="3641" spans="1:21" ht="16.25" customHeight="1" x14ac:dyDescent="0.35">
      <c r="A3641" s="140">
        <v>45682</v>
      </c>
      <c r="B3641" s="5">
        <f t="shared" si="938"/>
        <v>1</v>
      </c>
      <c r="C3641" s="5">
        <f t="shared" si="939"/>
        <v>2025</v>
      </c>
      <c r="D3641" s="105" t="s">
        <v>3359</v>
      </c>
      <c r="E3641" s="5" t="str">
        <f>VLOOKUP(F3641,'Set up'!$A$2:$C$70,2,FALSE)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up'!$A$2:$C$70,3,FALSE)</f>
        <v>45</v>
      </c>
      <c r="J3641" s="5">
        <f>VLOOKUP(F3641,'Set up'!$A$2:$D$70,4,FALSE)</f>
        <v>45</v>
      </c>
      <c r="K3641" s="4">
        <f t="shared" si="948"/>
        <v>45727</v>
      </c>
      <c r="L3641" s="5">
        <f t="shared" si="945"/>
        <v>3</v>
      </c>
      <c r="M3641" s="5">
        <f t="shared" si="946"/>
        <v>2025</v>
      </c>
      <c r="N3641" s="135">
        <v>130</v>
      </c>
      <c r="O3641" s="6">
        <f>-N3641</f>
        <v>-130</v>
      </c>
      <c r="P3641" s="12">
        <f t="shared" si="947"/>
        <v>0</v>
      </c>
      <c r="Q3641" s="7">
        <f t="shared" si="949"/>
        <v>5964017.8500000006</v>
      </c>
      <c r="R3641" s="44" t="str">
        <f>VLOOKUP(F3641,'Set up'!$A$2:$E$70,5,FALSE)</f>
        <v>PD Chq</v>
      </c>
      <c r="S3641" s="1" t="s">
        <v>3686</v>
      </c>
    </row>
    <row r="3642" spans="1:21" ht="16.25" customHeight="1" x14ac:dyDescent="0.35">
      <c r="A3642" s="140">
        <v>45682</v>
      </c>
      <c r="B3642" s="5">
        <f t="shared" si="938"/>
        <v>1</v>
      </c>
      <c r="C3642" s="5">
        <f t="shared" si="939"/>
        <v>2025</v>
      </c>
      <c r="D3642" s="5" t="s">
        <v>3360</v>
      </c>
      <c r="E3642" s="5" t="str">
        <f>VLOOKUP(F3642,'Set up'!$A$2:$C$70,2,FALSE)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up'!$A$2:$C$70,3,FALSE)</f>
        <v>Cash</v>
      </c>
      <c r="J3642" s="5">
        <f>VLOOKUP(F3642,'Set up'!$A$2:$D$70,4,FALSE)</f>
        <v>0</v>
      </c>
      <c r="K3642" s="4">
        <f t="shared" si="948"/>
        <v>45682</v>
      </c>
      <c r="L3642" s="5">
        <f t="shared" si="945"/>
        <v>1</v>
      </c>
      <c r="M3642" s="5">
        <f t="shared" si="946"/>
        <v>2025</v>
      </c>
      <c r="N3642" s="136">
        <v>3082.5</v>
      </c>
      <c r="O3642" s="6">
        <f t="shared" ref="O3642" si="953">-N3642</f>
        <v>-3082.5</v>
      </c>
      <c r="P3642" s="1">
        <f t="shared" si="947"/>
        <v>0</v>
      </c>
      <c r="Q3642" s="7">
        <f t="shared" si="949"/>
        <v>5967100.3500000006</v>
      </c>
      <c r="R3642" s="44" t="str">
        <f>VLOOKUP(F3642,'Set up'!$A$2:$E$70,5,FALSE)</f>
        <v>Cash</v>
      </c>
      <c r="S3642" s="1" t="s">
        <v>3429</v>
      </c>
    </row>
    <row r="3643" spans="1:21" ht="16.25" customHeight="1" x14ac:dyDescent="0.35">
      <c r="A3643" s="140">
        <v>45682</v>
      </c>
      <c r="B3643" s="5">
        <f t="shared" si="938"/>
        <v>1</v>
      </c>
      <c r="C3643" s="5">
        <f t="shared" si="939"/>
        <v>2025</v>
      </c>
      <c r="D3643" s="105" t="s">
        <v>3361</v>
      </c>
      <c r="E3643" s="5" t="str">
        <f>VLOOKUP(F3643,'Set up'!$A$2:$C$70,2,FALSE)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up'!$A$2:$C$70,3,FALSE)</f>
        <v>Cash</v>
      </c>
      <c r="J3643" s="5">
        <f>VLOOKUP(F3643,'Set up'!$A$2:$D$70,4,FALSE)</f>
        <v>0</v>
      </c>
      <c r="K3643" s="4">
        <f t="shared" si="948"/>
        <v>45682</v>
      </c>
      <c r="L3643" s="5">
        <f t="shared" si="945"/>
        <v>1</v>
      </c>
      <c r="M3643" s="5">
        <f t="shared" si="946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949"/>
        <v>5968832.8500000006</v>
      </c>
      <c r="R3643" s="44" t="str">
        <f>VLOOKUP(F3643,'Set up'!$A$2:$E$70,5,FALSE)</f>
        <v>Cash</v>
      </c>
      <c r="S3643" s="1" t="s">
        <v>3428</v>
      </c>
    </row>
    <row r="3644" spans="1:21" ht="16.25" customHeight="1" x14ac:dyDescent="0.35">
      <c r="A3644" s="140">
        <v>45682</v>
      </c>
      <c r="B3644" s="5">
        <f t="shared" si="938"/>
        <v>1</v>
      </c>
      <c r="C3644" s="5">
        <f t="shared" si="939"/>
        <v>2025</v>
      </c>
      <c r="D3644" s="105" t="s">
        <v>3361</v>
      </c>
      <c r="E3644" s="5" t="str">
        <f>VLOOKUP(F3644,'Set up'!$A$2:$C$70,2,FALSE)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up'!$A$2:$C$70,3,FALSE)</f>
        <v>Cash</v>
      </c>
      <c r="J3644" s="5">
        <f>VLOOKUP(F3644,'Set up'!$A$2:$D$70,4,FALSE)</f>
        <v>0</v>
      </c>
      <c r="K3644" s="4">
        <f t="shared" si="948"/>
        <v>45682</v>
      </c>
      <c r="L3644" s="5">
        <f t="shared" si="945"/>
        <v>1</v>
      </c>
      <c r="M3644" s="5">
        <f t="shared" si="946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949"/>
        <v>5969232.8500000006</v>
      </c>
      <c r="R3644" s="44" t="str">
        <f>VLOOKUP(F3644,'Set up'!$A$2:$E$70,5,FALSE)</f>
        <v>Cash</v>
      </c>
      <c r="S3644" s="1" t="s">
        <v>3428</v>
      </c>
    </row>
    <row r="3645" spans="1:21" ht="16.25" customHeight="1" x14ac:dyDescent="0.35">
      <c r="A3645" s="140">
        <v>45682</v>
      </c>
      <c r="B3645" s="5">
        <f t="shared" si="938"/>
        <v>1</v>
      </c>
      <c r="C3645" s="5">
        <f t="shared" si="939"/>
        <v>2025</v>
      </c>
      <c r="D3645" s="105" t="s">
        <v>3361</v>
      </c>
      <c r="E3645" s="5" t="str">
        <f>VLOOKUP(F3645,'Set up'!$A$2:$C$70,2,FALSE)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up'!$A$2:$C$70,3,FALSE)</f>
        <v>Cash</v>
      </c>
      <c r="J3645" s="5">
        <f>VLOOKUP(F3645,'Set up'!$A$2:$D$70,4,FALSE)</f>
        <v>0</v>
      </c>
      <c r="K3645" s="4">
        <f t="shared" si="948"/>
        <v>45682</v>
      </c>
      <c r="L3645" s="5">
        <f t="shared" si="945"/>
        <v>1</v>
      </c>
      <c r="M3645" s="5">
        <f t="shared" si="946"/>
        <v>2025</v>
      </c>
      <c r="N3645" s="135">
        <v>62.5</v>
      </c>
      <c r="O3645" s="6">
        <f>-N3645</f>
        <v>-62.5</v>
      </c>
      <c r="P3645" s="12">
        <f t="shared" si="947"/>
        <v>0</v>
      </c>
      <c r="Q3645" s="7">
        <f t="shared" si="949"/>
        <v>5969295.3500000006</v>
      </c>
      <c r="R3645" s="44" t="str">
        <f>VLOOKUP(F3645,'Set up'!$A$2:$E$70,5,FALSE)</f>
        <v>Cash</v>
      </c>
      <c r="S3645" s="1" t="s">
        <v>3428</v>
      </c>
    </row>
    <row r="3646" spans="1:21" ht="16.25" customHeight="1" x14ac:dyDescent="0.35">
      <c r="A3646" s="140">
        <v>45684</v>
      </c>
      <c r="B3646" s="5">
        <f t="shared" si="938"/>
        <v>1</v>
      </c>
      <c r="C3646" s="5">
        <f t="shared" si="939"/>
        <v>2025</v>
      </c>
      <c r="D3646" s="105" t="s">
        <v>3362</v>
      </c>
      <c r="E3646" s="5" t="str">
        <f>VLOOKUP(F3646,'Set up'!$A$2:$C$70,2,FALSE)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up'!$A$2:$C$70,3,FALSE)</f>
        <v>Cash</v>
      </c>
      <c r="J3646" s="5">
        <f>VLOOKUP(F3646,'Set up'!$A$2:$D$70,4,FALSE)</f>
        <v>0</v>
      </c>
      <c r="K3646" s="4">
        <f t="shared" si="948"/>
        <v>45684</v>
      </c>
      <c r="L3646" s="5">
        <f t="shared" si="945"/>
        <v>1</v>
      </c>
      <c r="M3646" s="5">
        <f t="shared" si="946"/>
        <v>2025</v>
      </c>
      <c r="N3646" s="135">
        <v>187.5</v>
      </c>
      <c r="O3646" s="6">
        <f t="shared" ref="O3646:O3661" si="954">-N3646</f>
        <v>-187.5</v>
      </c>
      <c r="P3646" s="12">
        <f t="shared" si="947"/>
        <v>0</v>
      </c>
      <c r="Q3646" s="7">
        <f t="shared" si="949"/>
        <v>5969482.8500000006</v>
      </c>
      <c r="R3646" s="44" t="str">
        <f>VLOOKUP(F3646,'Set up'!$A$2:$E$70,5,FALSE)</f>
        <v>Trsf</v>
      </c>
      <c r="S3646" s="1" t="s">
        <v>3923</v>
      </c>
    </row>
    <row r="3647" spans="1:21" ht="16.25" customHeight="1" x14ac:dyDescent="0.35">
      <c r="A3647" s="140">
        <v>45684</v>
      </c>
      <c r="B3647" s="5">
        <f t="shared" si="938"/>
        <v>1</v>
      </c>
      <c r="C3647" s="5">
        <f t="shared" si="939"/>
        <v>2025</v>
      </c>
      <c r="D3647" s="105" t="s">
        <v>3363</v>
      </c>
      <c r="E3647" s="5" t="str">
        <f>VLOOKUP(F3647,'Set up'!$A$2:$C$70,2,FALSE)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up'!$A$2:$C$70,3,FALSE)</f>
        <v>Cash</v>
      </c>
      <c r="J3647" s="5">
        <f>VLOOKUP(F3647,'Set up'!$A$2:$D$70,4,FALSE)</f>
        <v>0</v>
      </c>
      <c r="K3647" s="4">
        <f t="shared" si="948"/>
        <v>45684</v>
      </c>
      <c r="L3647" s="5">
        <f t="shared" si="945"/>
        <v>1</v>
      </c>
      <c r="M3647" s="5">
        <f t="shared" si="946"/>
        <v>2025</v>
      </c>
      <c r="N3647" s="135">
        <v>11340</v>
      </c>
      <c r="O3647" s="12">
        <f>-2232.6-6700-2407.4</f>
        <v>-11340</v>
      </c>
      <c r="P3647" s="12">
        <f t="shared" si="947"/>
        <v>0</v>
      </c>
      <c r="Q3647" s="7">
        <f t="shared" si="949"/>
        <v>5980822.8500000006</v>
      </c>
      <c r="R3647" s="44" t="str">
        <f>VLOOKUP(F3647,'Set up'!$A$2:$E$70,5,FALSE)</f>
        <v>Trsf</v>
      </c>
      <c r="S3647" s="1" t="s">
        <v>3957</v>
      </c>
    </row>
    <row r="3648" spans="1:21" ht="16.25" customHeight="1" x14ac:dyDescent="0.35">
      <c r="A3648" s="140">
        <v>45684</v>
      </c>
      <c r="B3648" s="5">
        <f t="shared" si="938"/>
        <v>1</v>
      </c>
      <c r="C3648" s="5">
        <f t="shared" si="939"/>
        <v>2025</v>
      </c>
      <c r="D3648" s="105" t="s">
        <v>3363</v>
      </c>
      <c r="E3648" s="5" t="str">
        <f>VLOOKUP(F3648,'Set up'!$A$2:$C$70,2,FALSE)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up'!$A$2:$C$70,3,FALSE)</f>
        <v>Cash</v>
      </c>
      <c r="J3648" s="5">
        <f>VLOOKUP(F3648,'Set up'!$A$2:$D$70,4,FALSE)</f>
        <v>0</v>
      </c>
      <c r="K3648" s="4">
        <f t="shared" si="948"/>
        <v>45684</v>
      </c>
      <c r="L3648" s="5">
        <f t="shared" si="945"/>
        <v>1</v>
      </c>
      <c r="M3648" s="5">
        <f t="shared" si="946"/>
        <v>2025</v>
      </c>
      <c r="N3648" s="135">
        <v>3480</v>
      </c>
      <c r="O3648" s="6">
        <f t="shared" si="954"/>
        <v>-3480</v>
      </c>
      <c r="P3648" s="12">
        <f t="shared" si="947"/>
        <v>0</v>
      </c>
      <c r="Q3648" s="7">
        <f t="shared" si="949"/>
        <v>5984302.8500000006</v>
      </c>
      <c r="R3648" s="44" t="str">
        <f>VLOOKUP(F3648,'Set up'!$A$2:$E$70,5,FALSE)</f>
        <v>Trsf</v>
      </c>
      <c r="S3648" s="1" t="s">
        <v>3956</v>
      </c>
    </row>
    <row r="3649" spans="1:19" ht="16.25" customHeight="1" x14ac:dyDescent="0.35">
      <c r="A3649" s="140">
        <v>45684</v>
      </c>
      <c r="B3649" s="5">
        <f t="shared" si="938"/>
        <v>1</v>
      </c>
      <c r="C3649" s="5">
        <f t="shared" si="939"/>
        <v>2025</v>
      </c>
      <c r="D3649" s="105" t="s">
        <v>3363</v>
      </c>
      <c r="E3649" s="5" t="str">
        <f>VLOOKUP(F3649,'Set up'!$A$2:$C$70,2,FALSE)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up'!$A$2:$C$70,3,FALSE)</f>
        <v>Cash</v>
      </c>
      <c r="J3649" s="5">
        <f>VLOOKUP(F3649,'Set up'!$A$2:$D$70,4,FALSE)</f>
        <v>0</v>
      </c>
      <c r="K3649" s="4">
        <f t="shared" si="948"/>
        <v>45684</v>
      </c>
      <c r="L3649" s="5">
        <f t="shared" si="945"/>
        <v>1</v>
      </c>
      <c r="M3649" s="5">
        <f t="shared" si="946"/>
        <v>2025</v>
      </c>
      <c r="N3649" s="135">
        <v>2475</v>
      </c>
      <c r="O3649" s="6">
        <f t="shared" si="954"/>
        <v>-2475</v>
      </c>
      <c r="P3649" s="12">
        <f t="shared" si="947"/>
        <v>0</v>
      </c>
      <c r="Q3649" s="7">
        <f t="shared" si="949"/>
        <v>5986777.8500000006</v>
      </c>
      <c r="R3649" s="44" t="str">
        <f>VLOOKUP(F3649,'Set up'!$A$2:$E$70,5,FALSE)</f>
        <v>Trsf</v>
      </c>
      <c r="S3649" s="1" t="s">
        <v>3958</v>
      </c>
    </row>
    <row r="3650" spans="1:19" ht="16.25" customHeight="1" x14ac:dyDescent="0.35">
      <c r="A3650" s="140">
        <v>45684</v>
      </c>
      <c r="B3650" s="5">
        <f t="shared" si="938"/>
        <v>1</v>
      </c>
      <c r="C3650" s="5">
        <f t="shared" si="939"/>
        <v>2025</v>
      </c>
      <c r="D3650" s="105" t="s">
        <v>3363</v>
      </c>
      <c r="E3650" s="5" t="str">
        <f>VLOOKUP(F3650,'Set up'!$A$2:$C$70,2,FALSE)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up'!$A$2:$C$70,3,FALSE)</f>
        <v>Cash</v>
      </c>
      <c r="J3650" s="5">
        <f>VLOOKUP(F3650,'Set up'!$A$2:$D$70,4,FALSE)</f>
        <v>0</v>
      </c>
      <c r="K3650" s="4">
        <f t="shared" si="948"/>
        <v>45684</v>
      </c>
      <c r="L3650" s="5">
        <f t="shared" si="945"/>
        <v>1</v>
      </c>
      <c r="M3650" s="5">
        <f t="shared" si="946"/>
        <v>2025</v>
      </c>
      <c r="N3650" s="135">
        <v>1000</v>
      </c>
      <c r="O3650" s="6">
        <f t="shared" si="954"/>
        <v>-1000</v>
      </c>
      <c r="P3650" s="12">
        <f t="shared" si="947"/>
        <v>0</v>
      </c>
      <c r="Q3650" s="7">
        <f t="shared" si="949"/>
        <v>5987777.8500000006</v>
      </c>
      <c r="R3650" s="44" t="str">
        <f>VLOOKUP(F3650,'Set up'!$A$2:$E$70,5,FALSE)</f>
        <v>Trsf</v>
      </c>
      <c r="S3650" s="1" t="s">
        <v>3959</v>
      </c>
    </row>
    <row r="3651" spans="1:19" ht="16.25" customHeight="1" x14ac:dyDescent="0.35">
      <c r="A3651" s="140">
        <v>45691</v>
      </c>
      <c r="B3651" s="5">
        <f t="shared" ref="B3651:B3714" si="955">MONTH(A3651)</f>
        <v>2</v>
      </c>
      <c r="C3651" s="5">
        <f t="shared" ref="C3651:C3714" si="956">YEAR(A3651)</f>
        <v>2025</v>
      </c>
      <c r="D3651" s="105" t="s">
        <v>3442</v>
      </c>
      <c r="E3651" s="5" t="str">
        <f>VLOOKUP(F3651,'Set up'!$A$2:$C$70,2,FALSE)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up'!$A$2:$C$70,3,FALSE)</f>
        <v>45</v>
      </c>
      <c r="J3651" s="5">
        <f>VLOOKUP(F3651,'Set up'!$A$2:$D$70,4,FALSE)</f>
        <v>45</v>
      </c>
      <c r="K3651" s="4">
        <f t="shared" si="948"/>
        <v>45736</v>
      </c>
      <c r="L3651" s="5">
        <f t="shared" ref="L3651:L3714" si="957">MONTH(K3651)</f>
        <v>3</v>
      </c>
      <c r="M3651" s="5">
        <f t="shared" ref="M3651:M3714" si="958">YEAR(K3651)</f>
        <v>2025</v>
      </c>
      <c r="N3651" s="135">
        <v>1450</v>
      </c>
      <c r="O3651" s="6">
        <f>-N3651</f>
        <v>-1450</v>
      </c>
      <c r="P3651" s="12">
        <f t="shared" si="947"/>
        <v>0</v>
      </c>
      <c r="Q3651" s="7">
        <f t="shared" si="949"/>
        <v>5989227.8500000006</v>
      </c>
      <c r="R3651" s="44" t="str">
        <f>VLOOKUP(F3651,'Set up'!$A$2:$E$70,5,FALSE)</f>
        <v>PD Chq</v>
      </c>
      <c r="S3651" s="1" t="s">
        <v>3684</v>
      </c>
    </row>
    <row r="3652" spans="1:19" ht="16.25" customHeight="1" x14ac:dyDescent="0.35">
      <c r="A3652" s="140">
        <v>45691</v>
      </c>
      <c r="B3652" s="5">
        <f t="shared" si="955"/>
        <v>2</v>
      </c>
      <c r="C3652" s="5">
        <f t="shared" si="956"/>
        <v>2025</v>
      </c>
      <c r="D3652" s="105" t="s">
        <v>3443</v>
      </c>
      <c r="E3652" s="5" t="str">
        <f>VLOOKUP(F3652,'Set up'!$A$2:$C$70,2,FALSE)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up'!$A$2:$C$70,3,FALSE)</f>
        <v>Cash</v>
      </c>
      <c r="J3652" s="5">
        <f>VLOOKUP(F3652,'Set up'!$A$2:$D$70,4,FALSE)</f>
        <v>0</v>
      </c>
      <c r="K3652" s="4">
        <f t="shared" si="948"/>
        <v>45691</v>
      </c>
      <c r="L3652" s="5">
        <f t="shared" si="957"/>
        <v>2</v>
      </c>
      <c r="M3652" s="5">
        <f t="shared" si="958"/>
        <v>2025</v>
      </c>
      <c r="N3652" s="135">
        <v>125</v>
      </c>
      <c r="O3652" s="6">
        <f t="shared" si="954"/>
        <v>-125</v>
      </c>
      <c r="P3652" s="12">
        <f t="shared" si="947"/>
        <v>0</v>
      </c>
      <c r="Q3652" s="7">
        <f t="shared" si="949"/>
        <v>5989352.8500000006</v>
      </c>
      <c r="R3652" s="44" t="str">
        <f>VLOOKUP(F3652,'Set up'!$A$2:$E$70,5,FALSE)</f>
        <v>Trsf</v>
      </c>
      <c r="S3652" s="1" t="s">
        <v>3960</v>
      </c>
    </row>
    <row r="3653" spans="1:19" ht="16.25" customHeight="1" x14ac:dyDescent="0.35">
      <c r="A3653" s="140">
        <v>45691</v>
      </c>
      <c r="B3653" s="5">
        <f t="shared" si="955"/>
        <v>2</v>
      </c>
      <c r="C3653" s="5">
        <f t="shared" si="956"/>
        <v>2025</v>
      </c>
      <c r="D3653" s="105" t="s">
        <v>3444</v>
      </c>
      <c r="E3653" s="5" t="str">
        <f>VLOOKUP(F3653,'Set up'!$A$2:$C$70,2,FALSE)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up'!$A$2:$C$70,3,FALSE)</f>
        <v>Cash</v>
      </c>
      <c r="J3653" s="5">
        <f>VLOOKUP(F3653,'Set up'!$A$2:$D$70,4,FALSE)</f>
        <v>0</v>
      </c>
      <c r="K3653" s="4">
        <f t="shared" si="948"/>
        <v>45691</v>
      </c>
      <c r="L3653" s="5">
        <f t="shared" si="957"/>
        <v>2</v>
      </c>
      <c r="M3653" s="5">
        <f t="shared" si="958"/>
        <v>2025</v>
      </c>
      <c r="N3653" s="135">
        <v>6480</v>
      </c>
      <c r="O3653" s="141">
        <f>-6112.6-367.4</f>
        <v>-6480</v>
      </c>
      <c r="P3653" s="12">
        <f t="shared" si="947"/>
        <v>0</v>
      </c>
      <c r="Q3653" s="7">
        <f t="shared" si="949"/>
        <v>5995832.8500000006</v>
      </c>
      <c r="R3653" s="44" t="str">
        <f>VLOOKUP(F3653,'Set up'!$A$2:$E$70,5,FALSE)</f>
        <v>Trsf</v>
      </c>
      <c r="S3653" s="1" t="s">
        <v>3961</v>
      </c>
    </row>
    <row r="3654" spans="1:19" ht="16.25" customHeight="1" x14ac:dyDescent="0.35">
      <c r="A3654" s="140">
        <v>45691</v>
      </c>
      <c r="B3654" s="5">
        <f t="shared" si="955"/>
        <v>2</v>
      </c>
      <c r="C3654" s="5">
        <f t="shared" si="956"/>
        <v>2025</v>
      </c>
      <c r="D3654" s="105" t="s">
        <v>3444</v>
      </c>
      <c r="E3654" s="5" t="str">
        <f>VLOOKUP(F3654,'Set up'!$A$2:$C$70,2,FALSE)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up'!$A$2:$C$70,3,FALSE)</f>
        <v>Cash</v>
      </c>
      <c r="J3654" s="5">
        <f>VLOOKUP(F3654,'Set up'!$A$2:$D$70,4,FALSE)</f>
        <v>0</v>
      </c>
      <c r="K3654" s="4">
        <f t="shared" si="948"/>
        <v>45691</v>
      </c>
      <c r="L3654" s="5">
        <f t="shared" si="957"/>
        <v>2</v>
      </c>
      <c r="M3654" s="5">
        <f t="shared" si="958"/>
        <v>2025</v>
      </c>
      <c r="N3654" s="135">
        <v>2088</v>
      </c>
      <c r="O3654" s="6">
        <f t="shared" si="954"/>
        <v>-2088</v>
      </c>
      <c r="P3654" s="12">
        <f t="shared" si="947"/>
        <v>0</v>
      </c>
      <c r="Q3654" s="7">
        <f t="shared" si="949"/>
        <v>5997920.8500000006</v>
      </c>
      <c r="R3654" s="44" t="str">
        <f>VLOOKUP(F3654,'Set up'!$A$2:$E$70,5,FALSE)</f>
        <v>Trsf</v>
      </c>
      <c r="S3654" s="1" t="s">
        <v>3924</v>
      </c>
    </row>
    <row r="3655" spans="1:19" ht="16.25" customHeight="1" x14ac:dyDescent="0.35">
      <c r="A3655" s="140">
        <v>45691</v>
      </c>
      <c r="B3655" s="5">
        <f t="shared" si="955"/>
        <v>2</v>
      </c>
      <c r="C3655" s="5">
        <f t="shared" si="956"/>
        <v>2025</v>
      </c>
      <c r="D3655" s="105" t="s">
        <v>3444</v>
      </c>
      <c r="E3655" s="5" t="str">
        <f>VLOOKUP(F3655,'Set up'!$A$2:$C$70,2,FALSE)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up'!$A$2:$C$70,3,FALSE)</f>
        <v>Cash</v>
      </c>
      <c r="J3655" s="5">
        <f>VLOOKUP(F3655,'Set up'!$A$2:$D$70,4,FALSE)</f>
        <v>0</v>
      </c>
      <c r="K3655" s="4">
        <f t="shared" si="948"/>
        <v>45691</v>
      </c>
      <c r="L3655" s="5">
        <f t="shared" si="957"/>
        <v>2</v>
      </c>
      <c r="M3655" s="5">
        <f t="shared" si="958"/>
        <v>2025</v>
      </c>
      <c r="N3655" s="135">
        <v>1485</v>
      </c>
      <c r="O3655" s="6">
        <f t="shared" si="954"/>
        <v>-1485</v>
      </c>
      <c r="P3655" s="12">
        <f t="shared" si="947"/>
        <v>0</v>
      </c>
      <c r="Q3655" s="7">
        <f t="shared" si="949"/>
        <v>5999405.8500000006</v>
      </c>
      <c r="R3655" s="44" t="str">
        <f>VLOOKUP(F3655,'Set up'!$A$2:$E$70,5,FALSE)</f>
        <v>Trsf</v>
      </c>
      <c r="S3655" s="1" t="s">
        <v>3925</v>
      </c>
    </row>
    <row r="3656" spans="1:19" ht="16.25" customHeight="1" x14ac:dyDescent="0.35">
      <c r="A3656" s="140">
        <v>45691</v>
      </c>
      <c r="B3656" s="5">
        <f t="shared" si="955"/>
        <v>2</v>
      </c>
      <c r="C3656" s="5">
        <f t="shared" si="956"/>
        <v>2025</v>
      </c>
      <c r="D3656" s="105" t="s">
        <v>3444</v>
      </c>
      <c r="E3656" s="5" t="str">
        <f>VLOOKUP(F3656,'Set up'!$A$2:$C$70,2,FALSE)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up'!$A$2:$C$70,3,FALSE)</f>
        <v>Cash</v>
      </c>
      <c r="J3656" s="5">
        <f>VLOOKUP(F3656,'Set up'!$A$2:$D$70,4,FALSE)</f>
        <v>0</v>
      </c>
      <c r="K3656" s="4">
        <f t="shared" si="948"/>
        <v>45691</v>
      </c>
      <c r="L3656" s="5">
        <f t="shared" si="957"/>
        <v>2</v>
      </c>
      <c r="M3656" s="5">
        <f t="shared" si="958"/>
        <v>2025</v>
      </c>
      <c r="N3656" s="135">
        <v>460</v>
      </c>
      <c r="O3656" s="6">
        <f t="shared" si="954"/>
        <v>-460</v>
      </c>
      <c r="P3656" s="12">
        <f t="shared" si="947"/>
        <v>0</v>
      </c>
      <c r="Q3656" s="7">
        <f t="shared" si="949"/>
        <v>5999865.8500000006</v>
      </c>
      <c r="R3656" s="44" t="str">
        <f>VLOOKUP(F3656,'Set up'!$A$2:$E$70,5,FALSE)</f>
        <v>Trsf</v>
      </c>
      <c r="S3656" s="1" t="s">
        <v>3926</v>
      </c>
    </row>
    <row r="3657" spans="1:19" ht="16.25" customHeight="1" x14ac:dyDescent="0.35">
      <c r="A3657" s="140">
        <v>45691</v>
      </c>
      <c r="B3657" s="5">
        <f t="shared" si="955"/>
        <v>2</v>
      </c>
      <c r="C3657" s="5">
        <f t="shared" si="956"/>
        <v>2025</v>
      </c>
      <c r="D3657" s="105" t="s">
        <v>3444</v>
      </c>
      <c r="E3657" s="5" t="str">
        <f>VLOOKUP(F3657,'Set up'!$A$2:$C$70,2,FALSE)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up'!$A$2:$C$70,3,FALSE)</f>
        <v>Cash</v>
      </c>
      <c r="J3657" s="5">
        <f>VLOOKUP(F3657,'Set up'!$A$2:$D$70,4,FALSE)</f>
        <v>0</v>
      </c>
      <c r="K3657" s="4">
        <f t="shared" si="948"/>
        <v>45691</v>
      </c>
      <c r="L3657" s="5">
        <f t="shared" si="957"/>
        <v>2</v>
      </c>
      <c r="M3657" s="5">
        <f t="shared" si="958"/>
        <v>2025</v>
      </c>
      <c r="N3657" s="135">
        <v>1000</v>
      </c>
      <c r="O3657" s="6">
        <f t="shared" si="954"/>
        <v>-1000</v>
      </c>
      <c r="P3657" s="12">
        <f t="shared" si="947"/>
        <v>0</v>
      </c>
      <c r="Q3657" s="7">
        <f t="shared" si="949"/>
        <v>6000865.8500000006</v>
      </c>
      <c r="R3657" s="44" t="str">
        <f>VLOOKUP(F3657,'Set up'!$A$2:$E$70,5,FALSE)</f>
        <v>Trsf</v>
      </c>
      <c r="S3657" s="1" t="s">
        <v>3927</v>
      </c>
    </row>
    <row r="3658" spans="1:19" ht="16.25" customHeight="1" x14ac:dyDescent="0.35">
      <c r="A3658" s="140">
        <v>45693</v>
      </c>
      <c r="B3658" s="5">
        <f t="shared" si="955"/>
        <v>2</v>
      </c>
      <c r="C3658" s="5">
        <f t="shared" si="956"/>
        <v>2025</v>
      </c>
      <c r="D3658" s="105" t="s">
        <v>3445</v>
      </c>
      <c r="E3658" s="5" t="str">
        <f>VLOOKUP(F3658,'Set up'!$A$2:$C$70,2,FALSE)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up'!$A$2:$C$70,3,FALSE)</f>
        <v>Cash</v>
      </c>
      <c r="J3658" s="5">
        <f>VLOOKUP(F3658,'Set up'!$A$2:$D$70,4,FALSE)</f>
        <v>0</v>
      </c>
      <c r="K3658" s="4">
        <f t="shared" si="948"/>
        <v>45693</v>
      </c>
      <c r="L3658" s="5">
        <f t="shared" si="957"/>
        <v>2</v>
      </c>
      <c r="M3658" s="5">
        <f t="shared" si="958"/>
        <v>2025</v>
      </c>
      <c r="N3658" s="135">
        <v>62.5</v>
      </c>
      <c r="O3658" s="6">
        <f t="shared" si="954"/>
        <v>-62.5</v>
      </c>
      <c r="P3658" s="12">
        <f t="shared" si="947"/>
        <v>0</v>
      </c>
      <c r="Q3658" s="7">
        <f t="shared" si="949"/>
        <v>6000928.3500000006</v>
      </c>
      <c r="R3658" s="44" t="str">
        <f>VLOOKUP(F3658,'Set up'!$A$2:$E$70,5,FALSE)</f>
        <v>Trsf</v>
      </c>
      <c r="S3658" s="1" t="s">
        <v>3928</v>
      </c>
    </row>
    <row r="3659" spans="1:19" ht="16.25" customHeight="1" x14ac:dyDescent="0.35">
      <c r="A3659" s="140">
        <v>45693</v>
      </c>
      <c r="B3659" s="5">
        <f t="shared" si="955"/>
        <v>2</v>
      </c>
      <c r="C3659" s="5">
        <f t="shared" si="956"/>
        <v>2025</v>
      </c>
      <c r="D3659" s="105" t="s">
        <v>3446</v>
      </c>
      <c r="E3659" s="5" t="str">
        <f>VLOOKUP(F3659,'Set up'!$A$2:$C$70,2,FALSE)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up'!$A$2:$C$70,3,FALSE)</f>
        <v>Cash</v>
      </c>
      <c r="J3659" s="5">
        <f>VLOOKUP(F3659,'Set up'!$A$2:$D$70,4,FALSE)</f>
        <v>0</v>
      </c>
      <c r="K3659" s="4">
        <f t="shared" si="948"/>
        <v>45693</v>
      </c>
      <c r="L3659" s="5">
        <f t="shared" si="957"/>
        <v>2</v>
      </c>
      <c r="M3659" s="5">
        <f t="shared" si="958"/>
        <v>2025</v>
      </c>
      <c r="N3659" s="135">
        <v>4860</v>
      </c>
      <c r="O3659" s="6">
        <f t="shared" si="954"/>
        <v>-4860</v>
      </c>
      <c r="P3659" s="12">
        <f t="shared" si="947"/>
        <v>0</v>
      </c>
      <c r="Q3659" s="7">
        <f t="shared" si="949"/>
        <v>6005788.3500000006</v>
      </c>
      <c r="R3659" s="44" t="str">
        <f>VLOOKUP(F3659,'Set up'!$A$2:$E$70,5,FALSE)</f>
        <v>Trsf</v>
      </c>
      <c r="S3659" s="1" t="s">
        <v>3929</v>
      </c>
    </row>
    <row r="3660" spans="1:19" ht="16.25" customHeight="1" x14ac:dyDescent="0.35">
      <c r="A3660" s="140">
        <v>45693</v>
      </c>
      <c r="B3660" s="5">
        <f t="shared" si="955"/>
        <v>2</v>
      </c>
      <c r="C3660" s="5">
        <f t="shared" si="956"/>
        <v>2025</v>
      </c>
      <c r="D3660" s="105" t="s">
        <v>3446</v>
      </c>
      <c r="E3660" s="5" t="str">
        <f>VLOOKUP(F3660,'Set up'!$A$2:$C$70,2,FALSE)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up'!$A$2:$C$70,3,FALSE)</f>
        <v>Cash</v>
      </c>
      <c r="J3660" s="5">
        <f>VLOOKUP(F3660,'Set up'!$A$2:$D$70,4,FALSE)</f>
        <v>0</v>
      </c>
      <c r="K3660" s="4">
        <f t="shared" si="948"/>
        <v>45693</v>
      </c>
      <c r="L3660" s="5">
        <f t="shared" si="957"/>
        <v>2</v>
      </c>
      <c r="M3660" s="5">
        <f t="shared" si="958"/>
        <v>2025</v>
      </c>
      <c r="N3660" s="135">
        <v>1566</v>
      </c>
      <c r="O3660" s="6">
        <f t="shared" si="954"/>
        <v>-1566</v>
      </c>
      <c r="P3660" s="12">
        <f t="shared" si="947"/>
        <v>0</v>
      </c>
      <c r="Q3660" s="7">
        <f t="shared" si="949"/>
        <v>6007354.3500000006</v>
      </c>
      <c r="R3660" s="44" t="str">
        <f>VLOOKUP(F3660,'Set up'!$A$2:$E$70,5,FALSE)</f>
        <v>Trsf</v>
      </c>
      <c r="S3660" s="1" t="s">
        <v>3930</v>
      </c>
    </row>
    <row r="3661" spans="1:19" ht="16.25" customHeight="1" x14ac:dyDescent="0.35">
      <c r="A3661" s="140">
        <v>45693</v>
      </c>
      <c r="B3661" s="5">
        <f t="shared" si="955"/>
        <v>2</v>
      </c>
      <c r="C3661" s="5">
        <f t="shared" si="956"/>
        <v>2025</v>
      </c>
      <c r="D3661" s="105" t="s">
        <v>3446</v>
      </c>
      <c r="E3661" s="5" t="str">
        <f>VLOOKUP(F3661,'Set up'!$A$2:$C$70,2,FALSE)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up'!$A$2:$C$70,3,FALSE)</f>
        <v>Cash</v>
      </c>
      <c r="J3661" s="5">
        <f>VLOOKUP(F3661,'Set up'!$A$2:$D$70,4,FALSE)</f>
        <v>0</v>
      </c>
      <c r="K3661" s="4">
        <f t="shared" si="948"/>
        <v>45693</v>
      </c>
      <c r="L3661" s="5">
        <f t="shared" si="957"/>
        <v>2</v>
      </c>
      <c r="M3661" s="5">
        <f t="shared" si="958"/>
        <v>2025</v>
      </c>
      <c r="N3661" s="135">
        <v>990</v>
      </c>
      <c r="O3661" s="6">
        <f t="shared" si="954"/>
        <v>-990</v>
      </c>
      <c r="P3661" s="12">
        <f t="shared" si="947"/>
        <v>0</v>
      </c>
      <c r="Q3661" s="7">
        <f t="shared" si="949"/>
        <v>6008344.3500000006</v>
      </c>
      <c r="R3661" s="44" t="str">
        <f>VLOOKUP(F3661,'Set up'!$A$2:$E$70,5,FALSE)</f>
        <v>Trsf</v>
      </c>
      <c r="S3661" s="1" t="s">
        <v>3931</v>
      </c>
    </row>
    <row r="3662" spans="1:19" ht="16.25" customHeight="1" x14ac:dyDescent="0.35">
      <c r="A3662" s="140">
        <v>45695</v>
      </c>
      <c r="B3662" s="5">
        <f t="shared" si="955"/>
        <v>2</v>
      </c>
      <c r="C3662" s="5">
        <f t="shared" si="956"/>
        <v>2025</v>
      </c>
      <c r="D3662" s="105" t="s">
        <v>3447</v>
      </c>
      <c r="E3662" s="5" t="str">
        <f>VLOOKUP(F3662,'Set up'!$A$2:$C$70,2,FALSE)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up'!$A$2:$C$70,3,FALSE)</f>
        <v>Cash</v>
      </c>
      <c r="J3662" s="5">
        <f>VLOOKUP(F3662,'Set up'!$A$2:$D$70,4,FALSE)</f>
        <v>0</v>
      </c>
      <c r="K3662" s="4">
        <f t="shared" si="948"/>
        <v>45695</v>
      </c>
      <c r="L3662" s="5">
        <f t="shared" si="957"/>
        <v>2</v>
      </c>
      <c r="M3662" s="5">
        <f t="shared" si="958"/>
        <v>2025</v>
      </c>
      <c r="N3662" s="135">
        <v>300</v>
      </c>
      <c r="O3662" s="99"/>
      <c r="P3662" s="12">
        <f t="shared" si="947"/>
        <v>300</v>
      </c>
      <c r="Q3662" s="7">
        <f t="shared" si="949"/>
        <v>6008644.3500000006</v>
      </c>
      <c r="R3662" s="44" t="str">
        <f>VLOOKUP(F3662,'Set up'!$A$2:$E$70,5,FALSE)</f>
        <v>Cash</v>
      </c>
    </row>
    <row r="3663" spans="1:19" ht="16.25" customHeight="1" x14ac:dyDescent="0.35">
      <c r="A3663" s="140">
        <v>45695</v>
      </c>
      <c r="B3663" s="5">
        <f t="shared" si="955"/>
        <v>2</v>
      </c>
      <c r="C3663" s="5">
        <f t="shared" si="956"/>
        <v>2025</v>
      </c>
      <c r="D3663" s="105" t="s">
        <v>3447</v>
      </c>
      <c r="E3663" s="5" t="str">
        <f>VLOOKUP(F3663,'Set up'!$A$2:$C$70,2,FALSE)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up'!$A$2:$C$70,3,FALSE)</f>
        <v>Cash</v>
      </c>
      <c r="J3663" s="5">
        <f>VLOOKUP(F3663,'Set up'!$A$2:$D$70,4,FALSE)</f>
        <v>0</v>
      </c>
      <c r="K3663" s="4">
        <f t="shared" si="948"/>
        <v>45695</v>
      </c>
      <c r="L3663" s="5">
        <f t="shared" si="957"/>
        <v>2</v>
      </c>
      <c r="M3663" s="5">
        <f t="shared" si="958"/>
        <v>2025</v>
      </c>
      <c r="N3663" s="135">
        <v>225</v>
      </c>
      <c r="O3663" s="99"/>
      <c r="P3663" s="12">
        <f t="shared" si="947"/>
        <v>225</v>
      </c>
      <c r="Q3663" s="7">
        <f t="shared" si="949"/>
        <v>6008869.3500000006</v>
      </c>
      <c r="R3663" s="44" t="str">
        <f>VLOOKUP(F3663,'Set up'!$A$2:$E$70,5,FALSE)</f>
        <v>Cash</v>
      </c>
    </row>
    <row r="3664" spans="1:19" ht="16.25" customHeight="1" x14ac:dyDescent="0.35">
      <c r="A3664" s="140">
        <v>45695</v>
      </c>
      <c r="B3664" s="5">
        <f t="shared" si="955"/>
        <v>2</v>
      </c>
      <c r="C3664" s="5">
        <f t="shared" si="956"/>
        <v>2025</v>
      </c>
      <c r="D3664" s="105" t="s">
        <v>3448</v>
      </c>
      <c r="E3664" s="5" t="str">
        <f>VLOOKUP(F3664,'Set up'!$A$2:$C$70,2,FALSE)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up'!$A$2:$C$70,3,FALSE)</f>
        <v>Cash</v>
      </c>
      <c r="J3664" s="5">
        <f>VLOOKUP(F3664,'Set up'!$A$2:$D$70,4,FALSE)</f>
        <v>0</v>
      </c>
      <c r="K3664" s="4">
        <f t="shared" si="948"/>
        <v>45695</v>
      </c>
      <c r="L3664" s="5">
        <f t="shared" si="957"/>
        <v>2</v>
      </c>
      <c r="M3664" s="5">
        <f t="shared" si="958"/>
        <v>2025</v>
      </c>
      <c r="N3664" s="135">
        <v>1755</v>
      </c>
      <c r="O3664" s="99"/>
      <c r="P3664" s="12">
        <f t="shared" si="947"/>
        <v>1755</v>
      </c>
      <c r="Q3664" s="7">
        <f t="shared" si="949"/>
        <v>6010624.3500000006</v>
      </c>
      <c r="R3664" s="44" t="str">
        <f>VLOOKUP(F3664,'Set up'!$A$2:$E$70,5,FALSE)</f>
        <v>Trsf</v>
      </c>
    </row>
    <row r="3665" spans="1:19" ht="16.25" customHeight="1" x14ac:dyDescent="0.35">
      <c r="A3665" s="140">
        <v>45695</v>
      </c>
      <c r="B3665" s="5">
        <f t="shared" si="955"/>
        <v>2</v>
      </c>
      <c r="C3665" s="5">
        <f t="shared" si="956"/>
        <v>2025</v>
      </c>
      <c r="D3665" s="105" t="s">
        <v>3448</v>
      </c>
      <c r="E3665" s="5" t="str">
        <f>VLOOKUP(F3665,'Set up'!$A$2:$C$70,2,FALSE)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up'!$A$2:$C$70,3,FALSE)</f>
        <v>Cash</v>
      </c>
      <c r="J3665" s="5">
        <f>VLOOKUP(F3665,'Set up'!$A$2:$D$70,4,FALSE)</f>
        <v>0</v>
      </c>
      <c r="K3665" s="4">
        <f t="shared" si="948"/>
        <v>45695</v>
      </c>
      <c r="L3665" s="5">
        <f t="shared" si="957"/>
        <v>2</v>
      </c>
      <c r="M3665" s="5">
        <f t="shared" si="958"/>
        <v>2025</v>
      </c>
      <c r="N3665" s="135">
        <v>405</v>
      </c>
      <c r="O3665" s="99"/>
      <c r="P3665" s="12">
        <f t="shared" si="947"/>
        <v>405</v>
      </c>
      <c r="Q3665" s="7">
        <f t="shared" si="949"/>
        <v>6011029.3500000006</v>
      </c>
      <c r="R3665" s="44" t="str">
        <f>VLOOKUP(F3665,'Set up'!$A$2:$E$70,5,FALSE)</f>
        <v>Trsf</v>
      </c>
    </row>
    <row r="3666" spans="1:19" ht="16.25" customHeight="1" x14ac:dyDescent="0.35">
      <c r="A3666" s="140">
        <v>45695</v>
      </c>
      <c r="B3666" s="5">
        <f t="shared" si="955"/>
        <v>2</v>
      </c>
      <c r="C3666" s="5">
        <f t="shared" si="956"/>
        <v>2025</v>
      </c>
      <c r="D3666" s="105" t="s">
        <v>3448</v>
      </c>
      <c r="E3666" s="5" t="str">
        <f>VLOOKUP(F3666,'Set up'!$A$2:$C$70,2,FALSE)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up'!$A$2:$C$70,3,FALSE)</f>
        <v>Cash</v>
      </c>
      <c r="J3666" s="5">
        <f>VLOOKUP(F3666,'Set up'!$A$2:$D$70,4,FALSE)</f>
        <v>0</v>
      </c>
      <c r="K3666" s="4">
        <f t="shared" si="948"/>
        <v>45695</v>
      </c>
      <c r="L3666" s="5">
        <f t="shared" si="957"/>
        <v>2</v>
      </c>
      <c r="M3666" s="5">
        <f t="shared" si="958"/>
        <v>2025</v>
      </c>
      <c r="N3666" s="135">
        <v>110</v>
      </c>
      <c r="O3666" s="99"/>
      <c r="P3666" s="12">
        <f t="shared" si="947"/>
        <v>110</v>
      </c>
      <c r="Q3666" s="7">
        <f t="shared" si="949"/>
        <v>6011139.3500000006</v>
      </c>
      <c r="R3666" s="44" t="str">
        <f>VLOOKUP(F3666,'Set up'!$A$2:$E$70,5,FALSE)</f>
        <v>Trsf</v>
      </c>
    </row>
    <row r="3667" spans="1:19" ht="16.25" customHeight="1" x14ac:dyDescent="0.35">
      <c r="A3667" s="140">
        <v>45695</v>
      </c>
      <c r="B3667" s="5">
        <f t="shared" si="955"/>
        <v>2</v>
      </c>
      <c r="C3667" s="5">
        <f t="shared" si="956"/>
        <v>2025</v>
      </c>
      <c r="D3667" s="105" t="s">
        <v>3448</v>
      </c>
      <c r="E3667" s="5" t="str">
        <f>VLOOKUP(F3667,'Set up'!$A$2:$C$70,2,FALSE)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up'!$A$2:$C$70,3,FALSE)</f>
        <v>Cash</v>
      </c>
      <c r="J3667" s="5">
        <f>VLOOKUP(F3667,'Set up'!$A$2:$D$70,4,FALSE)</f>
        <v>0</v>
      </c>
      <c r="K3667" s="4">
        <f t="shared" si="948"/>
        <v>45695</v>
      </c>
      <c r="L3667" s="5">
        <f t="shared" si="957"/>
        <v>2</v>
      </c>
      <c r="M3667" s="5">
        <f t="shared" si="958"/>
        <v>2025</v>
      </c>
      <c r="N3667" s="135">
        <v>187.5</v>
      </c>
      <c r="O3667" s="99"/>
      <c r="P3667" s="12">
        <f t="shared" si="947"/>
        <v>187.5</v>
      </c>
      <c r="Q3667" s="7">
        <f t="shared" si="949"/>
        <v>6011326.8500000006</v>
      </c>
      <c r="R3667" s="44" t="str">
        <f>VLOOKUP(F3667,'Set up'!$A$2:$E$70,5,FALSE)</f>
        <v>Trsf</v>
      </c>
    </row>
    <row r="3668" spans="1:19" ht="16.25" customHeight="1" x14ac:dyDescent="0.35">
      <c r="A3668" s="140">
        <v>45699</v>
      </c>
      <c r="B3668" s="5">
        <f t="shared" si="955"/>
        <v>2</v>
      </c>
      <c r="C3668" s="5">
        <f t="shared" si="956"/>
        <v>2025</v>
      </c>
      <c r="D3668" s="105" t="s">
        <v>3449</v>
      </c>
      <c r="E3668" s="5" t="str">
        <f>VLOOKUP(F3668,'Set up'!$A$2:$C$70,2,FALSE)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up'!$A$2:$C$70,3,FALSE)</f>
        <v>Cash</v>
      </c>
      <c r="J3668" s="5">
        <f>VLOOKUP(F3668,'Set up'!$A$2:$D$70,4,FALSE)</f>
        <v>0</v>
      </c>
      <c r="K3668" s="4">
        <f t="shared" si="948"/>
        <v>45699</v>
      </c>
      <c r="L3668" s="5">
        <f t="shared" si="957"/>
        <v>2</v>
      </c>
      <c r="M3668" s="5">
        <f t="shared" si="958"/>
        <v>2025</v>
      </c>
      <c r="N3668" s="135">
        <v>375</v>
      </c>
      <c r="O3668" s="6">
        <f t="shared" ref="O3668" si="959">-N3668</f>
        <v>-375</v>
      </c>
      <c r="P3668" s="12">
        <f t="shared" si="947"/>
        <v>0</v>
      </c>
      <c r="Q3668" s="7">
        <f t="shared" si="949"/>
        <v>6011701.8500000006</v>
      </c>
      <c r="R3668" s="44" t="str">
        <f>VLOOKUP(F3668,'Set up'!$A$2:$E$70,5,FALSE)</f>
        <v>Trsf</v>
      </c>
      <c r="S3668" s="1" t="s">
        <v>3932</v>
      </c>
    </row>
    <row r="3669" spans="1:19" ht="16.25" customHeight="1" x14ac:dyDescent="0.35">
      <c r="A3669" s="140">
        <v>45699</v>
      </c>
      <c r="B3669" s="5">
        <f t="shared" si="955"/>
        <v>2</v>
      </c>
      <c r="C3669" s="5">
        <f t="shared" si="956"/>
        <v>2025</v>
      </c>
      <c r="D3669" s="105" t="s">
        <v>3450</v>
      </c>
      <c r="E3669" s="5" t="str">
        <f>VLOOKUP(F3669,'Set up'!$A$2:$C$70,2,FALSE)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up'!$A$2:$C$70,3,FALSE)</f>
        <v>Cash</v>
      </c>
      <c r="J3669" s="5">
        <f>VLOOKUP(F3669,'Set up'!$A$2:$D$70,4,FALSE)</f>
        <v>0</v>
      </c>
      <c r="K3669" s="4">
        <f t="shared" si="948"/>
        <v>45699</v>
      </c>
      <c r="L3669" s="5">
        <f t="shared" si="957"/>
        <v>2</v>
      </c>
      <c r="M3669" s="5">
        <f t="shared" si="958"/>
        <v>2025</v>
      </c>
      <c r="N3669" s="135">
        <v>19440</v>
      </c>
      <c r="O3669" s="141">
        <f>-6746.1-12693.9</f>
        <v>-19440</v>
      </c>
      <c r="P3669" s="12">
        <f t="shared" si="947"/>
        <v>0</v>
      </c>
      <c r="Q3669" s="7">
        <f t="shared" si="949"/>
        <v>6031141.8500000006</v>
      </c>
      <c r="R3669" s="44" t="str">
        <f>VLOOKUP(F3669,'Set up'!$A$2:$E$70,5,FALSE)</f>
        <v>Trsf</v>
      </c>
      <c r="S3669" s="1" t="s">
        <v>3962</v>
      </c>
    </row>
    <row r="3670" spans="1:19" ht="16.25" customHeight="1" x14ac:dyDescent="0.35">
      <c r="A3670" s="140">
        <v>45699</v>
      </c>
      <c r="B3670" s="5">
        <f t="shared" si="955"/>
        <v>2</v>
      </c>
      <c r="C3670" s="5">
        <f t="shared" si="956"/>
        <v>2025</v>
      </c>
      <c r="D3670" s="105" t="s">
        <v>3450</v>
      </c>
      <c r="E3670" s="5" t="str">
        <f>VLOOKUP(F3670,'Set up'!$A$2:$C$70,2,FALSE)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up'!$A$2:$C$70,3,FALSE)</f>
        <v>Cash</v>
      </c>
      <c r="J3670" s="5">
        <f>VLOOKUP(F3670,'Set up'!$A$2:$D$70,4,FALSE)</f>
        <v>0</v>
      </c>
      <c r="K3670" s="4">
        <f t="shared" si="948"/>
        <v>45699</v>
      </c>
      <c r="L3670" s="5">
        <f t="shared" si="957"/>
        <v>2</v>
      </c>
      <c r="M3670" s="5">
        <f t="shared" si="958"/>
        <v>2025</v>
      </c>
      <c r="N3670" s="135">
        <v>6264</v>
      </c>
      <c r="O3670" s="6">
        <f t="shared" ref="O3670" si="960">-N3670</f>
        <v>-6264</v>
      </c>
      <c r="P3670" s="12">
        <f t="shared" si="947"/>
        <v>0</v>
      </c>
      <c r="Q3670" s="7">
        <f t="shared" si="949"/>
        <v>6037405.8500000006</v>
      </c>
      <c r="R3670" s="44" t="str">
        <f>VLOOKUP(F3670,'Set up'!$A$2:$E$70,5,FALSE)</f>
        <v>Trsf</v>
      </c>
      <c r="S3670" s="1" t="s">
        <v>3933</v>
      </c>
    </row>
    <row r="3671" spans="1:19" ht="16.25" customHeight="1" x14ac:dyDescent="0.35">
      <c r="A3671" s="140">
        <v>45699</v>
      </c>
      <c r="B3671" s="5">
        <f t="shared" si="955"/>
        <v>2</v>
      </c>
      <c r="C3671" s="5">
        <f t="shared" si="956"/>
        <v>2025</v>
      </c>
      <c r="D3671" s="105" t="s">
        <v>3450</v>
      </c>
      <c r="E3671" s="5" t="str">
        <f>VLOOKUP(F3671,'Set up'!$A$2:$C$70,2,FALSE)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up'!$A$2:$C$70,3,FALSE)</f>
        <v>Cash</v>
      </c>
      <c r="J3671" s="5">
        <f>VLOOKUP(F3671,'Set up'!$A$2:$D$70,4,FALSE)</f>
        <v>0</v>
      </c>
      <c r="K3671" s="4">
        <f t="shared" si="948"/>
        <v>45699</v>
      </c>
      <c r="L3671" s="5">
        <f t="shared" si="957"/>
        <v>2</v>
      </c>
      <c r="M3671" s="5">
        <f t="shared" si="958"/>
        <v>2025</v>
      </c>
      <c r="N3671" s="135">
        <v>4455</v>
      </c>
      <c r="O3671" s="141">
        <f>-2042.1-2412.9</f>
        <v>-4455</v>
      </c>
      <c r="P3671" s="12">
        <f>SUM(N3671+O3671)</f>
        <v>0</v>
      </c>
      <c r="Q3671" s="7">
        <f t="shared" si="949"/>
        <v>6041860.8500000006</v>
      </c>
      <c r="R3671" s="44" t="str">
        <f>VLOOKUP(F3671,'Set up'!$A$2:$E$70,5,FALSE)</f>
        <v>Trsf</v>
      </c>
      <c r="S3671" s="1" t="s">
        <v>3963</v>
      </c>
    </row>
    <row r="3672" spans="1:19" ht="16.25" customHeight="1" x14ac:dyDescent="0.35">
      <c r="A3672" s="140">
        <v>45699</v>
      </c>
      <c r="B3672" s="5">
        <f t="shared" si="955"/>
        <v>2</v>
      </c>
      <c r="C3672" s="5">
        <f t="shared" si="956"/>
        <v>2025</v>
      </c>
      <c r="D3672" s="105" t="s">
        <v>3450</v>
      </c>
      <c r="E3672" s="5" t="str">
        <f>VLOOKUP(F3672,'Set up'!$A$2:$C$70,2,FALSE)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up'!$A$2:$C$70,3,FALSE)</f>
        <v>Cash</v>
      </c>
      <c r="J3672" s="5">
        <f>VLOOKUP(F3672,'Set up'!$A$2:$D$70,4,FALSE)</f>
        <v>0</v>
      </c>
      <c r="K3672" s="4">
        <f t="shared" si="948"/>
        <v>45699</v>
      </c>
      <c r="L3672" s="5">
        <f t="shared" si="957"/>
        <v>2</v>
      </c>
      <c r="M3672" s="5">
        <f t="shared" si="958"/>
        <v>2025</v>
      </c>
      <c r="N3672" s="135">
        <v>920</v>
      </c>
      <c r="O3672" s="6">
        <f t="shared" ref="O3672:O3673" si="961">-N3672</f>
        <v>-920</v>
      </c>
      <c r="P3672" s="12">
        <f t="shared" si="947"/>
        <v>0</v>
      </c>
      <c r="Q3672" s="7">
        <f t="shared" si="949"/>
        <v>6042780.8500000006</v>
      </c>
      <c r="R3672" s="44" t="str">
        <f>VLOOKUP(F3672,'Set up'!$A$2:$E$70,5,FALSE)</f>
        <v>Trsf</v>
      </c>
      <c r="S3672" s="1" t="s">
        <v>3934</v>
      </c>
    </row>
    <row r="3673" spans="1:19" ht="16.25" customHeight="1" x14ac:dyDescent="0.35">
      <c r="A3673" s="140">
        <v>45699</v>
      </c>
      <c r="B3673" s="5">
        <f t="shared" si="955"/>
        <v>2</v>
      </c>
      <c r="C3673" s="5">
        <f t="shared" si="956"/>
        <v>2025</v>
      </c>
      <c r="D3673" s="105" t="s">
        <v>3450</v>
      </c>
      <c r="E3673" s="5" t="str">
        <f>VLOOKUP(F3673,'Set up'!$A$2:$C$70,2,FALSE)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up'!$A$2:$C$70,3,FALSE)</f>
        <v>Cash</v>
      </c>
      <c r="J3673" s="5">
        <f>VLOOKUP(F3673,'Set up'!$A$2:$D$70,4,FALSE)</f>
        <v>0</v>
      </c>
      <c r="K3673" s="4">
        <f t="shared" si="948"/>
        <v>45699</v>
      </c>
      <c r="L3673" s="5">
        <f t="shared" si="957"/>
        <v>2</v>
      </c>
      <c r="M3673" s="5">
        <f t="shared" si="958"/>
        <v>2025</v>
      </c>
      <c r="N3673" s="135">
        <v>1950</v>
      </c>
      <c r="O3673" s="6">
        <f t="shared" si="961"/>
        <v>-1950</v>
      </c>
      <c r="P3673" s="12">
        <f t="shared" si="947"/>
        <v>0</v>
      </c>
      <c r="Q3673" s="7">
        <f t="shared" si="949"/>
        <v>6044730.8500000006</v>
      </c>
      <c r="R3673" s="44" t="str">
        <f>VLOOKUP(F3673,'Set up'!$A$2:$E$70,5,FALSE)</f>
        <v>Trsf</v>
      </c>
      <c r="S3673" s="1" t="s">
        <v>3935</v>
      </c>
    </row>
    <row r="3674" spans="1:19" ht="16.25" customHeight="1" x14ac:dyDescent="0.35">
      <c r="A3674" s="140">
        <v>45700</v>
      </c>
      <c r="B3674" s="5">
        <f t="shared" si="955"/>
        <v>2</v>
      </c>
      <c r="C3674" s="5">
        <f t="shared" si="956"/>
        <v>2025</v>
      </c>
      <c r="D3674" s="105" t="s">
        <v>3451</v>
      </c>
      <c r="E3674" s="5" t="str">
        <f>VLOOKUP(F3674,'Set up'!$A$2:$C$70,2,FALSE)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up'!$A$2:$C$70,3,FALSE)</f>
        <v>Cash</v>
      </c>
      <c r="J3674" s="5">
        <f>VLOOKUP(F3674,'Set up'!$A$2:$D$70,4,FALSE)</f>
        <v>0</v>
      </c>
      <c r="K3674" s="4">
        <f t="shared" si="948"/>
        <v>45700</v>
      </c>
      <c r="L3674" s="5">
        <f t="shared" si="957"/>
        <v>2</v>
      </c>
      <c r="M3674" s="5">
        <f t="shared" si="958"/>
        <v>2025</v>
      </c>
      <c r="N3674" s="135">
        <v>185</v>
      </c>
      <c r="O3674" s="6">
        <f t="shared" ref="O3674" si="962">-N3674</f>
        <v>-185</v>
      </c>
      <c r="P3674" s="12">
        <f t="shared" si="947"/>
        <v>0</v>
      </c>
      <c r="Q3674" s="7">
        <f t="shared" si="949"/>
        <v>6044915.8500000006</v>
      </c>
      <c r="R3674" s="44" t="str">
        <f>VLOOKUP(F3674,'Set up'!$A$2:$E$70,5,FALSE)</f>
        <v>Trsf</v>
      </c>
      <c r="S3674" s="1" t="s">
        <v>3499</v>
      </c>
    </row>
    <row r="3675" spans="1:19" ht="16.25" customHeight="1" x14ac:dyDescent="0.35">
      <c r="A3675" s="140">
        <v>45700</v>
      </c>
      <c r="B3675" s="5">
        <f t="shared" si="955"/>
        <v>2</v>
      </c>
      <c r="C3675" s="5">
        <f t="shared" si="956"/>
        <v>2025</v>
      </c>
      <c r="D3675" s="105" t="s">
        <v>3452</v>
      </c>
      <c r="E3675" s="5" t="str">
        <f>VLOOKUP(F3675,'Set up'!$A$2:$C$70,2,FALSE)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up'!$A$2:$C$70,3,FALSE)</f>
        <v>Cash</v>
      </c>
      <c r="J3675" s="5">
        <f>VLOOKUP(F3675,'Set up'!$A$2:$D$70,4,FALSE)</f>
        <v>0</v>
      </c>
      <c r="K3675" s="4">
        <f t="shared" si="948"/>
        <v>45700</v>
      </c>
      <c r="L3675" s="5">
        <f t="shared" si="957"/>
        <v>2</v>
      </c>
      <c r="M3675" s="5">
        <f t="shared" si="958"/>
        <v>2025</v>
      </c>
      <c r="N3675" s="135">
        <v>250</v>
      </c>
      <c r="O3675" s="6">
        <f>-N3675</f>
        <v>-250</v>
      </c>
      <c r="P3675" s="12">
        <f t="shared" si="947"/>
        <v>0</v>
      </c>
      <c r="Q3675" s="7">
        <f t="shared" si="949"/>
        <v>6045165.8500000006</v>
      </c>
      <c r="R3675" s="44" t="str">
        <f>VLOOKUP(F3675,'Set up'!$A$2:$E$70,5,FALSE)</f>
        <v>Cash</v>
      </c>
      <c r="S3675" s="1" t="s">
        <v>3500</v>
      </c>
    </row>
    <row r="3676" spans="1:19" ht="16.25" customHeight="1" x14ac:dyDescent="0.35">
      <c r="A3676" s="140">
        <v>45700</v>
      </c>
      <c r="B3676" s="5">
        <f t="shared" si="955"/>
        <v>2</v>
      </c>
      <c r="C3676" s="5">
        <f t="shared" si="956"/>
        <v>2025</v>
      </c>
      <c r="D3676" s="105" t="s">
        <v>3452</v>
      </c>
      <c r="E3676" s="5" t="str">
        <f>VLOOKUP(F3676,'Set up'!$A$2:$C$70,2,FALSE)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up'!$A$2:$C$70,3,FALSE)</f>
        <v>Cash</v>
      </c>
      <c r="J3676" s="5">
        <f>VLOOKUP(F3676,'Set up'!$A$2:$D$70,4,FALSE)</f>
        <v>0</v>
      </c>
      <c r="K3676" s="4">
        <f t="shared" si="948"/>
        <v>45700</v>
      </c>
      <c r="L3676" s="5">
        <f t="shared" si="957"/>
        <v>2</v>
      </c>
      <c r="M3676" s="5">
        <f t="shared" si="958"/>
        <v>2025</v>
      </c>
      <c r="N3676" s="135">
        <v>432</v>
      </c>
      <c r="O3676" s="6">
        <f>-N3676</f>
        <v>-432</v>
      </c>
      <c r="P3676" s="12">
        <f t="shared" si="947"/>
        <v>0</v>
      </c>
      <c r="Q3676" s="7">
        <f t="shared" si="949"/>
        <v>6045597.8500000006</v>
      </c>
      <c r="R3676" s="44" t="str">
        <f>VLOOKUP(F3676,'Set up'!$A$2:$E$70,5,FALSE)</f>
        <v>Cash</v>
      </c>
      <c r="S3676" s="1" t="s">
        <v>3500</v>
      </c>
    </row>
    <row r="3677" spans="1:19" ht="16.25" customHeight="1" x14ac:dyDescent="0.35">
      <c r="A3677" s="140">
        <v>45700</v>
      </c>
      <c r="B3677" s="5">
        <f t="shared" si="955"/>
        <v>2</v>
      </c>
      <c r="C3677" s="5">
        <f t="shared" si="956"/>
        <v>2025</v>
      </c>
      <c r="D3677" s="105" t="s">
        <v>3452</v>
      </c>
      <c r="E3677" s="5" t="str">
        <f>VLOOKUP(F3677,'Set up'!$A$2:$C$70,2,FALSE)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up'!$A$2:$C$70,3,FALSE)</f>
        <v>Cash</v>
      </c>
      <c r="J3677" s="5">
        <f>VLOOKUP(F3677,'Set up'!$A$2:$D$70,4,FALSE)</f>
        <v>0</v>
      </c>
      <c r="K3677" s="4">
        <f t="shared" si="948"/>
        <v>45700</v>
      </c>
      <c r="L3677" s="5">
        <f t="shared" si="957"/>
        <v>2</v>
      </c>
      <c r="M3677" s="5">
        <f t="shared" si="958"/>
        <v>2025</v>
      </c>
      <c r="N3677" s="135">
        <v>280</v>
      </c>
      <c r="O3677" s="6">
        <f>-N3677</f>
        <v>-280</v>
      </c>
      <c r="P3677" s="12">
        <f t="shared" si="947"/>
        <v>0</v>
      </c>
      <c r="Q3677" s="7">
        <f t="shared" si="949"/>
        <v>6045877.8500000006</v>
      </c>
      <c r="R3677" s="44" t="str">
        <f>VLOOKUP(F3677,'Set up'!$A$2:$E$70,5,FALSE)</f>
        <v>Cash</v>
      </c>
      <c r="S3677" s="1" t="s">
        <v>3500</v>
      </c>
    </row>
    <row r="3678" spans="1:19" ht="16.25" customHeight="1" x14ac:dyDescent="0.35">
      <c r="A3678" s="140">
        <v>45700</v>
      </c>
      <c r="B3678" s="5">
        <f t="shared" si="955"/>
        <v>2</v>
      </c>
      <c r="C3678" s="5">
        <f t="shared" si="956"/>
        <v>2025</v>
      </c>
      <c r="D3678" s="105" t="s">
        <v>3452</v>
      </c>
      <c r="E3678" s="5" t="str">
        <f>VLOOKUP(F3678,'Set up'!$A$2:$C$70,2,FALSE)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up'!$A$2:$C$70,3,FALSE)</f>
        <v>Cash</v>
      </c>
      <c r="J3678" s="5">
        <f>VLOOKUP(F3678,'Set up'!$A$2:$D$70,4,FALSE)</f>
        <v>0</v>
      </c>
      <c r="K3678" s="4">
        <f t="shared" si="948"/>
        <v>45700</v>
      </c>
      <c r="L3678" s="5">
        <f t="shared" si="957"/>
        <v>2</v>
      </c>
      <c r="M3678" s="5">
        <f t="shared" si="958"/>
        <v>2025</v>
      </c>
      <c r="N3678" s="135">
        <v>110</v>
      </c>
      <c r="O3678" s="6">
        <f>-N3678</f>
        <v>-110</v>
      </c>
      <c r="P3678" s="12">
        <f t="shared" si="947"/>
        <v>0</v>
      </c>
      <c r="Q3678" s="7">
        <f t="shared" si="949"/>
        <v>6045987.8500000006</v>
      </c>
      <c r="R3678" s="44" t="str">
        <f>VLOOKUP(F3678,'Set up'!$A$2:$E$70,5,FALSE)</f>
        <v>Cash</v>
      </c>
      <c r="S3678" s="1" t="s">
        <v>3500</v>
      </c>
    </row>
    <row r="3679" spans="1:19" ht="16.25" customHeight="1" x14ac:dyDescent="0.35">
      <c r="A3679" s="140">
        <v>45700</v>
      </c>
      <c r="B3679" s="5">
        <f t="shared" si="955"/>
        <v>2</v>
      </c>
      <c r="C3679" s="5">
        <f t="shared" si="956"/>
        <v>2025</v>
      </c>
      <c r="D3679" s="105" t="s">
        <v>3452</v>
      </c>
      <c r="E3679" s="5" t="str">
        <f>VLOOKUP(F3679,'Set up'!$A$2:$C$70,2,FALSE)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up'!$A$2:$C$70,3,FALSE)</f>
        <v>Cash</v>
      </c>
      <c r="J3679" s="5">
        <f>VLOOKUP(F3679,'Set up'!$A$2:$D$70,4,FALSE)</f>
        <v>0</v>
      </c>
      <c r="K3679" s="4">
        <f t="shared" si="948"/>
        <v>45700</v>
      </c>
      <c r="L3679" s="5">
        <f t="shared" si="957"/>
        <v>2</v>
      </c>
      <c r="M3679" s="5">
        <f t="shared" si="958"/>
        <v>2025</v>
      </c>
      <c r="N3679" s="135">
        <v>875</v>
      </c>
      <c r="O3679" s="6">
        <f>-N3679</f>
        <v>-875</v>
      </c>
      <c r="P3679" s="12">
        <f t="shared" si="947"/>
        <v>0</v>
      </c>
      <c r="Q3679" s="7">
        <f>SUM(Q3678+N3679)</f>
        <v>6046862.8500000006</v>
      </c>
      <c r="R3679" s="44" t="str">
        <f>VLOOKUP(F3679,'Set up'!$A$2:$E$70,5,FALSE)</f>
        <v>Cash</v>
      </c>
      <c r="S3679" s="1" t="s">
        <v>3500</v>
      </c>
    </row>
    <row r="3680" spans="1:19" ht="16.25" customHeight="1" x14ac:dyDescent="0.35">
      <c r="A3680" s="140">
        <v>45702</v>
      </c>
      <c r="B3680" s="5">
        <f t="shared" si="955"/>
        <v>2</v>
      </c>
      <c r="C3680" s="5">
        <f t="shared" si="956"/>
        <v>2025</v>
      </c>
      <c r="D3680" s="105" t="s">
        <v>3453</v>
      </c>
      <c r="E3680" s="5" t="str">
        <f>VLOOKUP(F3680,'Set up'!$A$2:$C$70,2,FALSE)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up'!$A$2:$C$70,3,FALSE)</f>
        <v>Cash</v>
      </c>
      <c r="J3680" s="5">
        <f>VLOOKUP(F3680,'Set up'!$A$2:$D$70,4,FALSE)</f>
        <v>0</v>
      </c>
      <c r="K3680" s="4">
        <f t="shared" si="948"/>
        <v>45702</v>
      </c>
      <c r="L3680" s="5">
        <f t="shared" si="957"/>
        <v>2</v>
      </c>
      <c r="M3680" s="5">
        <f t="shared" si="958"/>
        <v>2025</v>
      </c>
      <c r="N3680" s="98">
        <v>390</v>
      </c>
      <c r="O3680" s="99"/>
      <c r="P3680" s="12">
        <f t="shared" si="947"/>
        <v>390</v>
      </c>
      <c r="Q3680" s="7">
        <f t="shared" ref="Q3680:Q3681" si="963">SUM(Q3679+N3680)</f>
        <v>6047252.8500000006</v>
      </c>
      <c r="R3680" s="44" t="str">
        <f>VLOOKUP(F3680,'Set up'!$A$2:$E$70,5,FALSE)</f>
        <v>Trsf</v>
      </c>
    </row>
    <row r="3681" spans="1:19" ht="16.25" customHeight="1" x14ac:dyDescent="0.35">
      <c r="A3681" s="140">
        <v>45702</v>
      </c>
      <c r="B3681" s="5">
        <f t="shared" si="955"/>
        <v>2</v>
      </c>
      <c r="C3681" s="5">
        <f t="shared" si="956"/>
        <v>2025</v>
      </c>
      <c r="D3681" s="105" t="s">
        <v>3453</v>
      </c>
      <c r="E3681" s="5" t="str">
        <f>VLOOKUP(F3681,'Set up'!$A$2:$C$70,2,FALSE)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up'!$A$2:$C$70,3,FALSE)</f>
        <v>Cash</v>
      </c>
      <c r="J3681" s="5">
        <f>VLOOKUP(F3681,'Set up'!$A$2:$D$70,4,FALSE)</f>
        <v>0</v>
      </c>
      <c r="K3681" s="4">
        <f t="shared" si="948"/>
        <v>45702</v>
      </c>
      <c r="L3681" s="5">
        <f t="shared" si="957"/>
        <v>2</v>
      </c>
      <c r="M3681" s="5">
        <f t="shared" si="958"/>
        <v>2025</v>
      </c>
      <c r="N3681" s="98">
        <v>283.8</v>
      </c>
      <c r="O3681" s="99"/>
      <c r="P3681" s="12">
        <f t="shared" si="947"/>
        <v>283.8</v>
      </c>
      <c r="Q3681" s="7">
        <f t="shared" si="963"/>
        <v>6047536.6500000004</v>
      </c>
      <c r="R3681" s="44" t="str">
        <f>VLOOKUP(F3681,'Set up'!$A$2:$E$70,5,FALSE)</f>
        <v>Trsf</v>
      </c>
    </row>
    <row r="3682" spans="1:19" ht="16.25" customHeight="1" x14ac:dyDescent="0.35">
      <c r="A3682" s="140">
        <v>45702</v>
      </c>
      <c r="B3682" s="5">
        <f t="shared" si="955"/>
        <v>2</v>
      </c>
      <c r="C3682" s="5">
        <f t="shared" si="956"/>
        <v>2025</v>
      </c>
      <c r="D3682" s="105" t="s">
        <v>3454</v>
      </c>
      <c r="E3682" s="5" t="str">
        <f>VLOOKUP(F3682,'Set up'!$A$2:$C$70,2,FALSE)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up'!$A$2:$C$70,3,FALSE)</f>
        <v>Cash</v>
      </c>
      <c r="J3682" s="5">
        <f>VLOOKUP(F3682,'Set up'!$A$2:$D$70,4,FALSE)</f>
        <v>0</v>
      </c>
      <c r="K3682" s="4">
        <f t="shared" si="948"/>
        <v>45702</v>
      </c>
      <c r="L3682" s="5">
        <f t="shared" si="957"/>
        <v>2</v>
      </c>
      <c r="M3682" s="5">
        <f t="shared" si="958"/>
        <v>2025</v>
      </c>
      <c r="N3682" s="135">
        <v>500</v>
      </c>
      <c r="O3682" s="6">
        <f>-N3682</f>
        <v>-500</v>
      </c>
      <c r="P3682" s="12">
        <f t="shared" si="947"/>
        <v>0</v>
      </c>
      <c r="Q3682" s="7">
        <f>SUM(Q3679+N3682)</f>
        <v>6047362.8500000006</v>
      </c>
      <c r="R3682" s="44" t="str">
        <f>VLOOKUP(F3682,'Set up'!$A$2:$E$70,5,FALSE)</f>
        <v>Cash</v>
      </c>
      <c r="S3682" s="1" t="s">
        <v>3501</v>
      </c>
    </row>
    <row r="3683" spans="1:19" ht="16.25" customHeight="1" x14ac:dyDescent="0.35">
      <c r="A3683" s="140">
        <v>45702</v>
      </c>
      <c r="B3683" s="5">
        <f t="shared" si="955"/>
        <v>2</v>
      </c>
      <c r="C3683" s="5">
        <f t="shared" si="956"/>
        <v>2025</v>
      </c>
      <c r="D3683" s="105" t="s">
        <v>3454</v>
      </c>
      <c r="E3683" s="5" t="str">
        <f>VLOOKUP(F3683,'Set up'!$A$2:$C$70,2,FALSE)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up'!$A$2:$C$70,3,FALSE)</f>
        <v>Cash</v>
      </c>
      <c r="J3683" s="5">
        <f>VLOOKUP(F3683,'Set up'!$A$2:$D$70,4,FALSE)</f>
        <v>0</v>
      </c>
      <c r="K3683" s="4">
        <f t="shared" si="948"/>
        <v>45702</v>
      </c>
      <c r="L3683" s="5">
        <f t="shared" si="957"/>
        <v>2</v>
      </c>
      <c r="M3683" s="5">
        <f t="shared" si="958"/>
        <v>2025</v>
      </c>
      <c r="N3683" s="135">
        <v>200</v>
      </c>
      <c r="O3683" s="6">
        <f>-N3683</f>
        <v>-200</v>
      </c>
      <c r="P3683" s="12">
        <f t="shared" ref="P3683:P3723" si="964">SUM(N3683+O3683)</f>
        <v>0</v>
      </c>
      <c r="Q3683" s="7">
        <f t="shared" si="949"/>
        <v>6047562.8500000006</v>
      </c>
      <c r="R3683" s="44" t="str">
        <f>VLOOKUP(F3683,'Set up'!$A$2:$E$70,5,FALSE)</f>
        <v>Cash</v>
      </c>
      <c r="S3683" s="1" t="s">
        <v>3501</v>
      </c>
    </row>
    <row r="3684" spans="1:19" ht="16.25" customHeight="1" x14ac:dyDescent="0.35">
      <c r="A3684" s="140">
        <v>45705</v>
      </c>
      <c r="B3684" s="5">
        <f t="shared" si="955"/>
        <v>2</v>
      </c>
      <c r="C3684" s="5">
        <f t="shared" si="956"/>
        <v>2025</v>
      </c>
      <c r="D3684" s="105" t="s">
        <v>3456</v>
      </c>
      <c r="E3684" s="5" t="str">
        <f>VLOOKUP(F3684,'Set up'!$A$2:$C$70,2,FALSE)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up'!$A$2:$C$70,3,FALSE)</f>
        <v>Cash</v>
      </c>
      <c r="J3684" s="5">
        <f>VLOOKUP(F3684,'Set up'!$A$2:$D$70,4,FALSE)</f>
        <v>0</v>
      </c>
      <c r="K3684" s="4">
        <f t="shared" ref="K3684:K3747" si="965">A3684+J3684</f>
        <v>45705</v>
      </c>
      <c r="L3684" s="5">
        <f t="shared" si="957"/>
        <v>2</v>
      </c>
      <c r="M3684" s="5">
        <f t="shared" si="958"/>
        <v>2025</v>
      </c>
      <c r="N3684" s="96">
        <v>1755</v>
      </c>
      <c r="O3684" s="6">
        <f t="shared" ref="O3684:O3686" si="966">-N3684</f>
        <v>-1755</v>
      </c>
      <c r="P3684" s="12">
        <f t="shared" si="964"/>
        <v>0</v>
      </c>
      <c r="Q3684" s="7">
        <f t="shared" ref="Q3684:Q3686" si="967">SUM(Q3683+N3684)</f>
        <v>6049317.8500000006</v>
      </c>
      <c r="R3684" s="44" t="str">
        <f>VLOOKUP(F3684,'Set up'!$A$2:$E$70,5,FALSE)</f>
        <v>Cash</v>
      </c>
      <c r="S3684" s="1" t="s">
        <v>3503</v>
      </c>
    </row>
    <row r="3685" spans="1:19" ht="16.25" customHeight="1" x14ac:dyDescent="0.35">
      <c r="A3685" s="140">
        <v>45705</v>
      </c>
      <c r="B3685" s="5">
        <f t="shared" si="955"/>
        <v>2</v>
      </c>
      <c r="C3685" s="5">
        <f t="shared" si="956"/>
        <v>2025</v>
      </c>
      <c r="D3685" s="105" t="s">
        <v>3456</v>
      </c>
      <c r="E3685" s="5" t="str">
        <f>VLOOKUP(F3685,'Set up'!$A$2:$C$70,2,FALSE)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up'!$A$2:$C$70,3,FALSE)</f>
        <v>Cash</v>
      </c>
      <c r="J3685" s="5">
        <f>VLOOKUP(F3685,'Set up'!$A$2:$D$70,4,FALSE)</f>
        <v>0</v>
      </c>
      <c r="K3685" s="4">
        <f t="shared" si="965"/>
        <v>45705</v>
      </c>
      <c r="L3685" s="5">
        <f t="shared" si="957"/>
        <v>2</v>
      </c>
      <c r="M3685" s="5">
        <f t="shared" si="958"/>
        <v>2025</v>
      </c>
      <c r="N3685" s="96">
        <v>277.5</v>
      </c>
      <c r="O3685" s="6">
        <f t="shared" si="966"/>
        <v>-277.5</v>
      </c>
      <c r="P3685" s="12">
        <f t="shared" si="964"/>
        <v>0</v>
      </c>
      <c r="Q3685" s="7">
        <f t="shared" si="967"/>
        <v>6049595.3500000006</v>
      </c>
      <c r="R3685" s="44" t="str">
        <f>VLOOKUP(F3685,'Set up'!$A$2:$E$70,5,FALSE)</f>
        <v>Cash</v>
      </c>
      <c r="S3685" s="1" t="s">
        <v>3503</v>
      </c>
    </row>
    <row r="3686" spans="1:19" ht="16.25" customHeight="1" x14ac:dyDescent="0.35">
      <c r="A3686" s="140">
        <v>45705</v>
      </c>
      <c r="B3686" s="5">
        <f t="shared" si="955"/>
        <v>2</v>
      </c>
      <c r="C3686" s="5">
        <f t="shared" si="956"/>
        <v>2025</v>
      </c>
      <c r="D3686" s="105" t="s">
        <v>3456</v>
      </c>
      <c r="E3686" s="5" t="str">
        <f>VLOOKUP(F3686,'Set up'!$A$2:$C$70,2,FALSE)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up'!$A$2:$C$70,3,FALSE)</f>
        <v>Cash</v>
      </c>
      <c r="J3686" s="5">
        <f>VLOOKUP(F3686,'Set up'!$A$2:$D$70,4,FALSE)</f>
        <v>0</v>
      </c>
      <c r="K3686" s="4">
        <f t="shared" si="965"/>
        <v>45705</v>
      </c>
      <c r="L3686" s="5">
        <f t="shared" si="957"/>
        <v>2</v>
      </c>
      <c r="M3686" s="5">
        <f t="shared" si="958"/>
        <v>2025</v>
      </c>
      <c r="N3686" s="96">
        <v>95</v>
      </c>
      <c r="O3686" s="6">
        <f t="shared" si="966"/>
        <v>-95</v>
      </c>
      <c r="P3686" s="12">
        <f t="shared" si="964"/>
        <v>0</v>
      </c>
      <c r="Q3686" s="7">
        <f t="shared" si="967"/>
        <v>6049690.3500000006</v>
      </c>
      <c r="R3686" s="44" t="str">
        <f>VLOOKUP(F3686,'Set up'!$A$2:$E$70,5,FALSE)</f>
        <v>Cash</v>
      </c>
      <c r="S3686" s="1" t="s">
        <v>3503</v>
      </c>
    </row>
    <row r="3687" spans="1:19" ht="16.25" customHeight="1" x14ac:dyDescent="0.35">
      <c r="A3687" s="140">
        <v>45705</v>
      </c>
      <c r="B3687" s="5">
        <f t="shared" si="955"/>
        <v>2</v>
      </c>
      <c r="C3687" s="5">
        <f t="shared" si="956"/>
        <v>2025</v>
      </c>
      <c r="D3687" s="105" t="s">
        <v>3457</v>
      </c>
      <c r="E3687" s="5" t="str">
        <f>VLOOKUP(F3687,'Set up'!$A$2:$C$70,2,FALSE)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up'!$A$2:$C$70,3,FALSE)</f>
        <v>45</v>
      </c>
      <c r="J3687" s="5">
        <f>VLOOKUP(F3687,'Set up'!$A$2:$D$70,4,FALSE)</f>
        <v>45</v>
      </c>
      <c r="K3687" s="4">
        <f t="shared" si="965"/>
        <v>45750</v>
      </c>
      <c r="L3687" s="5">
        <f t="shared" si="957"/>
        <v>4</v>
      </c>
      <c r="M3687" s="5">
        <f t="shared" si="958"/>
        <v>2025</v>
      </c>
      <c r="N3687" s="135">
        <v>1755</v>
      </c>
      <c r="O3687" s="141">
        <f>-1000-755</f>
        <v>-1755</v>
      </c>
      <c r="P3687" s="12">
        <f t="shared" si="964"/>
        <v>0</v>
      </c>
      <c r="Q3687" s="7">
        <f>SUM(Q3683+N3687)</f>
        <v>6049317.8500000006</v>
      </c>
      <c r="R3687" s="44" t="str">
        <f>VLOOKUP(F3687,'Set up'!$A$2:$E$70,5,FALSE)</f>
        <v>PD Chq</v>
      </c>
      <c r="S3687" s="1" t="s">
        <v>3687</v>
      </c>
    </row>
    <row r="3688" spans="1:19" ht="16.25" customHeight="1" x14ac:dyDescent="0.35">
      <c r="A3688" s="140">
        <v>45705</v>
      </c>
      <c r="B3688" s="5">
        <f t="shared" si="955"/>
        <v>2</v>
      </c>
      <c r="C3688" s="5">
        <f t="shared" si="956"/>
        <v>2025</v>
      </c>
      <c r="D3688" s="105" t="s">
        <v>3457</v>
      </c>
      <c r="E3688" s="5" t="str">
        <f>VLOOKUP(F3688,'Set up'!$A$2:$C$70,2,FALSE)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up'!$A$2:$C$70,3,FALSE)</f>
        <v>45</v>
      </c>
      <c r="J3688" s="5">
        <f>VLOOKUP(F3688,'Set up'!$A$2:$D$70,4,FALSE)</f>
        <v>45</v>
      </c>
      <c r="K3688" s="4">
        <f t="shared" si="965"/>
        <v>45750</v>
      </c>
      <c r="L3688" s="5">
        <f t="shared" si="957"/>
        <v>4</v>
      </c>
      <c r="M3688" s="5">
        <f t="shared" si="958"/>
        <v>2025</v>
      </c>
      <c r="N3688" s="135">
        <v>228</v>
      </c>
      <c r="O3688" s="6">
        <f>-N3688</f>
        <v>-228</v>
      </c>
      <c r="P3688" s="12">
        <f t="shared" si="964"/>
        <v>0</v>
      </c>
      <c r="Q3688" s="7">
        <f t="shared" ref="Q3688:Q3720" si="968">SUM(Q3687+N3688)</f>
        <v>6049545.8500000006</v>
      </c>
      <c r="R3688" s="44" t="str">
        <f>VLOOKUP(F3688,'Set up'!$A$2:$E$70,5,FALSE)</f>
        <v>PD Chq</v>
      </c>
      <c r="S3688" s="1" t="s">
        <v>3688</v>
      </c>
    </row>
    <row r="3689" spans="1:19" ht="16.25" customHeight="1" x14ac:dyDescent="0.35">
      <c r="A3689" s="140">
        <v>45705</v>
      </c>
      <c r="B3689" s="5">
        <f t="shared" si="955"/>
        <v>2</v>
      </c>
      <c r="C3689" s="5">
        <f t="shared" si="956"/>
        <v>2025</v>
      </c>
      <c r="D3689" s="105" t="s">
        <v>3457</v>
      </c>
      <c r="E3689" s="5" t="str">
        <f>VLOOKUP(F3689,'Set up'!$A$2:$C$70,2,FALSE)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up'!$A$2:$C$70,3,FALSE)</f>
        <v>45</v>
      </c>
      <c r="J3689" s="5">
        <f>VLOOKUP(F3689,'Set up'!$A$2:$D$70,4,FALSE)</f>
        <v>45</v>
      </c>
      <c r="K3689" s="4">
        <f t="shared" si="965"/>
        <v>45750</v>
      </c>
      <c r="L3689" s="5">
        <f t="shared" si="957"/>
        <v>4</v>
      </c>
      <c r="M3689" s="5">
        <f t="shared" si="958"/>
        <v>2025</v>
      </c>
      <c r="N3689" s="135">
        <v>220</v>
      </c>
      <c r="O3689" s="6">
        <f>-N3689</f>
        <v>-220</v>
      </c>
      <c r="P3689" s="12">
        <f t="shared" si="964"/>
        <v>0</v>
      </c>
      <c r="Q3689" s="7">
        <f t="shared" si="968"/>
        <v>6049765.8500000006</v>
      </c>
      <c r="R3689" s="44" t="str">
        <f>VLOOKUP(F3689,'Set up'!$A$2:$E$70,5,FALSE)</f>
        <v>PD Chq</v>
      </c>
      <c r="S3689" s="1" t="s">
        <v>3689</v>
      </c>
    </row>
    <row r="3690" spans="1:19" ht="16.25" customHeight="1" x14ac:dyDescent="0.35">
      <c r="A3690" s="140">
        <v>45705</v>
      </c>
      <c r="B3690" s="5">
        <f t="shared" si="955"/>
        <v>2</v>
      </c>
      <c r="C3690" s="5">
        <f t="shared" si="956"/>
        <v>2025</v>
      </c>
      <c r="D3690" s="105" t="s">
        <v>3457</v>
      </c>
      <c r="E3690" s="5" t="str">
        <f>VLOOKUP(F3690,'Set up'!$A$2:$C$70,2,FALSE)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up'!$A$2:$C$70,3,FALSE)</f>
        <v>45</v>
      </c>
      <c r="J3690" s="5">
        <f>VLOOKUP(F3690,'Set up'!$A$2:$D$70,4,FALSE)</f>
        <v>45</v>
      </c>
      <c r="K3690" s="4">
        <f t="shared" si="965"/>
        <v>45750</v>
      </c>
      <c r="L3690" s="5">
        <f t="shared" si="957"/>
        <v>4</v>
      </c>
      <c r="M3690" s="5">
        <f t="shared" si="958"/>
        <v>2025</v>
      </c>
      <c r="N3690" s="135">
        <v>130</v>
      </c>
      <c r="O3690" s="6">
        <f>-N3690</f>
        <v>-130</v>
      </c>
      <c r="P3690" s="12">
        <f t="shared" si="964"/>
        <v>0</v>
      </c>
      <c r="Q3690" s="7">
        <f t="shared" si="968"/>
        <v>6049895.8500000006</v>
      </c>
      <c r="R3690" s="44" t="str">
        <f>VLOOKUP(F3690,'Set up'!$A$2:$E$70,5,FALSE)</f>
        <v>PD Chq</v>
      </c>
      <c r="S3690" s="1" t="s">
        <v>3690</v>
      </c>
    </row>
    <row r="3691" spans="1:19" ht="16.25" customHeight="1" x14ac:dyDescent="0.35">
      <c r="A3691" s="140">
        <v>45705</v>
      </c>
      <c r="B3691" s="5">
        <f t="shared" si="955"/>
        <v>2</v>
      </c>
      <c r="C3691" s="5">
        <f t="shared" si="956"/>
        <v>2025</v>
      </c>
      <c r="D3691" s="105" t="s">
        <v>3458</v>
      </c>
      <c r="E3691" s="5" t="str">
        <f>VLOOKUP(F3691,'Set up'!$A$2:$C$70,2,FALSE)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up'!$A$2:$C$70,3,FALSE)</f>
        <v>Cash</v>
      </c>
      <c r="J3691" s="5">
        <f>VLOOKUP(F3691,'Set up'!$A$2:$D$70,4,FALSE)</f>
        <v>0</v>
      </c>
      <c r="K3691" s="4">
        <f t="shared" si="965"/>
        <v>45705</v>
      </c>
      <c r="L3691" s="5">
        <f t="shared" si="957"/>
        <v>2</v>
      </c>
      <c r="M3691" s="5">
        <f t="shared" si="958"/>
        <v>2025</v>
      </c>
      <c r="N3691" s="135">
        <v>125</v>
      </c>
      <c r="O3691" s="6">
        <f t="shared" ref="O3691:O3693" si="969">-N3691</f>
        <v>-125</v>
      </c>
      <c r="P3691" s="12">
        <f t="shared" si="964"/>
        <v>0</v>
      </c>
      <c r="Q3691" s="7">
        <f t="shared" si="968"/>
        <v>6050020.8500000006</v>
      </c>
      <c r="R3691" s="44" t="str">
        <f>VLOOKUP(F3691,'Set up'!$A$2:$E$70,5,FALSE)</f>
        <v>Trsf</v>
      </c>
      <c r="S3691" s="1" t="s">
        <v>3936</v>
      </c>
    </row>
    <row r="3692" spans="1:19" ht="16.25" customHeight="1" x14ac:dyDescent="0.35">
      <c r="A3692" s="140">
        <v>45705</v>
      </c>
      <c r="B3692" s="5">
        <f t="shared" si="955"/>
        <v>2</v>
      </c>
      <c r="C3692" s="5">
        <f t="shared" si="956"/>
        <v>2025</v>
      </c>
      <c r="D3692" s="105" t="s">
        <v>3459</v>
      </c>
      <c r="E3692" s="5" t="str">
        <f>VLOOKUP(F3692,'Set up'!$A$2:$C$70,2,FALSE)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up'!$A$2:$C$70,3,FALSE)</f>
        <v>Cash</v>
      </c>
      <c r="J3692" s="5">
        <f>VLOOKUP(F3692,'Set up'!$A$2:$D$70,4,FALSE)</f>
        <v>0</v>
      </c>
      <c r="K3692" s="4">
        <f t="shared" si="965"/>
        <v>45705</v>
      </c>
      <c r="L3692" s="5">
        <f t="shared" si="957"/>
        <v>2</v>
      </c>
      <c r="M3692" s="5">
        <f t="shared" si="958"/>
        <v>2025</v>
      </c>
      <c r="N3692" s="135">
        <v>6480</v>
      </c>
      <c r="O3692" s="6">
        <f t="shared" si="969"/>
        <v>-6480</v>
      </c>
      <c r="P3692" s="12">
        <f t="shared" si="964"/>
        <v>0</v>
      </c>
      <c r="Q3692" s="7">
        <f t="shared" si="968"/>
        <v>6056500.8500000006</v>
      </c>
      <c r="R3692" s="44" t="str">
        <f>VLOOKUP(F3692,'Set up'!$A$2:$E$70,5,FALSE)</f>
        <v>Trsf</v>
      </c>
      <c r="S3692" s="1" t="s">
        <v>3937</v>
      </c>
    </row>
    <row r="3693" spans="1:19" ht="16.25" customHeight="1" x14ac:dyDescent="0.35">
      <c r="A3693" s="140">
        <v>45705</v>
      </c>
      <c r="B3693" s="5">
        <f t="shared" si="955"/>
        <v>2</v>
      </c>
      <c r="C3693" s="5">
        <f t="shared" si="956"/>
        <v>2025</v>
      </c>
      <c r="D3693" s="105" t="s">
        <v>3459</v>
      </c>
      <c r="E3693" s="5" t="str">
        <f>VLOOKUP(F3693,'Set up'!$A$2:$C$70,2,FALSE)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up'!$A$2:$C$70,3,FALSE)</f>
        <v>Cash</v>
      </c>
      <c r="J3693" s="5">
        <f>VLOOKUP(F3693,'Set up'!$A$2:$D$70,4,FALSE)</f>
        <v>0</v>
      </c>
      <c r="K3693" s="4">
        <f t="shared" si="965"/>
        <v>45705</v>
      </c>
      <c r="L3693" s="5">
        <f t="shared" si="957"/>
        <v>2</v>
      </c>
      <c r="M3693" s="5">
        <f t="shared" si="958"/>
        <v>2025</v>
      </c>
      <c r="N3693" s="135">
        <v>1740</v>
      </c>
      <c r="O3693" s="6">
        <f t="shared" si="969"/>
        <v>-1740</v>
      </c>
      <c r="P3693" s="12">
        <f t="shared" si="964"/>
        <v>0</v>
      </c>
      <c r="Q3693" s="7">
        <f t="shared" si="968"/>
        <v>6058240.8500000006</v>
      </c>
      <c r="R3693" s="44" t="str">
        <f>VLOOKUP(F3693,'Set up'!$A$2:$E$70,5,FALSE)</f>
        <v>Trsf</v>
      </c>
      <c r="S3693" s="1" t="s">
        <v>3938</v>
      </c>
    </row>
    <row r="3694" spans="1:19" ht="16.25" customHeight="1" x14ac:dyDescent="0.35">
      <c r="A3694" s="140">
        <v>45705</v>
      </c>
      <c r="B3694" s="5">
        <f t="shared" si="955"/>
        <v>2</v>
      </c>
      <c r="C3694" s="5">
        <f t="shared" si="956"/>
        <v>2025</v>
      </c>
      <c r="D3694" s="105" t="s">
        <v>3459</v>
      </c>
      <c r="E3694" s="5" t="str">
        <f>VLOOKUP(F3694,'Set up'!$A$2:$C$70,2,FALSE)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up'!$A$2:$C$70,3,FALSE)</f>
        <v>Cash</v>
      </c>
      <c r="J3694" s="5">
        <f>VLOOKUP(F3694,'Set up'!$A$2:$D$70,4,FALSE)</f>
        <v>0</v>
      </c>
      <c r="K3694" s="4">
        <f t="shared" si="965"/>
        <v>45705</v>
      </c>
      <c r="L3694" s="5">
        <f t="shared" si="957"/>
        <v>2</v>
      </c>
      <c r="M3694" s="5">
        <f t="shared" si="958"/>
        <v>2025</v>
      </c>
      <c r="N3694" s="135">
        <v>1485</v>
      </c>
      <c r="O3694" s="141">
        <f>-872.1-612.9</f>
        <v>-1485</v>
      </c>
      <c r="P3694" s="12">
        <f t="shared" si="964"/>
        <v>0</v>
      </c>
      <c r="Q3694" s="7">
        <f t="shared" si="968"/>
        <v>6059725.8500000006</v>
      </c>
      <c r="R3694" s="44" t="str">
        <f>VLOOKUP(F3694,'Set up'!$A$2:$E$70,5,FALSE)</f>
        <v>Trsf</v>
      </c>
      <c r="S3694" s="1" t="s">
        <v>3964</v>
      </c>
    </row>
    <row r="3695" spans="1:19" ht="16.25" customHeight="1" x14ac:dyDescent="0.35">
      <c r="A3695" s="140">
        <v>45707</v>
      </c>
      <c r="B3695" s="5">
        <f t="shared" si="955"/>
        <v>2</v>
      </c>
      <c r="C3695" s="5">
        <f t="shared" si="956"/>
        <v>2025</v>
      </c>
      <c r="D3695" s="105" t="s">
        <v>3460</v>
      </c>
      <c r="E3695" s="5" t="str">
        <f>VLOOKUP(F3695,'Set up'!$A$2:$C$70,2,FALSE)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up'!$A$2:$C$70,3,FALSE)</f>
        <v>30</v>
      </c>
      <c r="J3695" s="5">
        <f>VLOOKUP(F3695,'Set up'!$A$2:$D$70,4,FALSE)</f>
        <v>30</v>
      </c>
      <c r="K3695" s="4">
        <f t="shared" si="965"/>
        <v>45737</v>
      </c>
      <c r="L3695" s="5">
        <f t="shared" si="957"/>
        <v>3</v>
      </c>
      <c r="M3695" s="5">
        <f t="shared" si="958"/>
        <v>2025</v>
      </c>
      <c r="N3695" s="135">
        <v>5265</v>
      </c>
      <c r="O3695" s="99"/>
      <c r="P3695" s="12">
        <f t="shared" si="964"/>
        <v>5265</v>
      </c>
      <c r="Q3695" s="7">
        <f t="shared" si="968"/>
        <v>6064990.8500000006</v>
      </c>
      <c r="R3695" s="44" t="str">
        <f>VLOOKUP(F3695,'Set up'!$A$2:$E$70,5,FALSE)</f>
        <v>Chq</v>
      </c>
    </row>
    <row r="3696" spans="1:19" ht="16.25" customHeight="1" x14ac:dyDescent="0.35">
      <c r="A3696" s="140">
        <v>45707</v>
      </c>
      <c r="B3696" s="5">
        <f t="shared" si="955"/>
        <v>2</v>
      </c>
      <c r="C3696" s="5">
        <f t="shared" si="956"/>
        <v>2025</v>
      </c>
      <c r="D3696" s="105" t="s">
        <v>3460</v>
      </c>
      <c r="E3696" s="5" t="str">
        <f>VLOOKUP(F3696,'Set up'!$A$2:$C$70,2,FALSE)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up'!$A$2:$C$70,3,FALSE)</f>
        <v>30</v>
      </c>
      <c r="J3696" s="5">
        <f>VLOOKUP(F3696,'Set up'!$A$2:$D$70,4,FALSE)</f>
        <v>30</v>
      </c>
      <c r="K3696" s="4">
        <f t="shared" si="965"/>
        <v>45737</v>
      </c>
      <c r="L3696" s="5">
        <f t="shared" si="957"/>
        <v>3</v>
      </c>
      <c r="M3696" s="5">
        <f t="shared" si="958"/>
        <v>2025</v>
      </c>
      <c r="N3696" s="135">
        <v>1263.5999999999999</v>
      </c>
      <c r="O3696" s="99"/>
      <c r="P3696" s="12">
        <f t="shared" si="964"/>
        <v>1263.5999999999999</v>
      </c>
      <c r="Q3696" s="7">
        <f t="shared" si="968"/>
        <v>6066254.4500000002</v>
      </c>
      <c r="R3696" s="44" t="str">
        <f>VLOOKUP(F3696,'Set up'!$A$2:$E$70,5,FALSE)</f>
        <v>Chq</v>
      </c>
    </row>
    <row r="3697" spans="1:19" ht="16.25" customHeight="1" x14ac:dyDescent="0.35">
      <c r="A3697" s="140">
        <v>45707</v>
      </c>
      <c r="B3697" s="5">
        <f t="shared" si="955"/>
        <v>2</v>
      </c>
      <c r="C3697" s="5">
        <f t="shared" si="956"/>
        <v>2025</v>
      </c>
      <c r="D3697" s="105" t="s">
        <v>3460</v>
      </c>
      <c r="E3697" s="5" t="str">
        <f>VLOOKUP(F3697,'Set up'!$A$2:$C$70,2,FALSE)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up'!$A$2:$C$70,3,FALSE)</f>
        <v>30</v>
      </c>
      <c r="J3697" s="5">
        <f>VLOOKUP(F3697,'Set up'!$A$2:$D$70,4,FALSE)</f>
        <v>30</v>
      </c>
      <c r="K3697" s="4">
        <f t="shared" si="965"/>
        <v>45737</v>
      </c>
      <c r="L3697" s="5">
        <f t="shared" si="957"/>
        <v>3</v>
      </c>
      <c r="M3697" s="5">
        <f t="shared" si="958"/>
        <v>2025</v>
      </c>
      <c r="N3697" s="135">
        <v>842.4</v>
      </c>
      <c r="O3697" s="99"/>
      <c r="P3697" s="12">
        <f t="shared" si="964"/>
        <v>842.4</v>
      </c>
      <c r="Q3697" s="7">
        <f t="shared" si="968"/>
        <v>6067096.8500000006</v>
      </c>
      <c r="R3697" s="44" t="str">
        <f>VLOOKUP(F3697,'Set up'!$A$2:$E$70,5,FALSE)</f>
        <v>Chq</v>
      </c>
    </row>
    <row r="3698" spans="1:19" ht="16.25" customHeight="1" x14ac:dyDescent="0.35">
      <c r="A3698" s="140">
        <v>45707</v>
      </c>
      <c r="B3698" s="5">
        <f t="shared" si="955"/>
        <v>2</v>
      </c>
      <c r="C3698" s="5">
        <f t="shared" si="956"/>
        <v>2025</v>
      </c>
      <c r="D3698" s="105" t="s">
        <v>3460</v>
      </c>
      <c r="E3698" s="5" t="str">
        <f>VLOOKUP(F3698,'Set up'!$A$2:$C$70,2,FALSE)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up'!$A$2:$C$70,3,FALSE)</f>
        <v>30</v>
      </c>
      <c r="J3698" s="5">
        <f>VLOOKUP(F3698,'Set up'!$A$2:$D$70,4,FALSE)</f>
        <v>30</v>
      </c>
      <c r="K3698" s="4">
        <f t="shared" si="965"/>
        <v>45737</v>
      </c>
      <c r="L3698" s="5">
        <f t="shared" si="957"/>
        <v>3</v>
      </c>
      <c r="M3698" s="5">
        <f t="shared" si="958"/>
        <v>2025</v>
      </c>
      <c r="N3698" s="135">
        <v>180</v>
      </c>
      <c r="O3698" s="99"/>
      <c r="P3698" s="12">
        <f t="shared" si="964"/>
        <v>180</v>
      </c>
      <c r="Q3698" s="7">
        <f t="shared" si="968"/>
        <v>6067276.8500000006</v>
      </c>
      <c r="R3698" s="44" t="str">
        <f>VLOOKUP(F3698,'Set up'!$A$2:$E$70,5,FALSE)</f>
        <v>Chq</v>
      </c>
    </row>
    <row r="3699" spans="1:19" ht="16.25" customHeight="1" x14ac:dyDescent="0.35">
      <c r="A3699" s="140">
        <v>45707</v>
      </c>
      <c r="B3699" s="5">
        <f t="shared" si="955"/>
        <v>2</v>
      </c>
      <c r="C3699" s="5">
        <f t="shared" si="956"/>
        <v>2025</v>
      </c>
      <c r="D3699" s="105" t="s">
        <v>3460</v>
      </c>
      <c r="E3699" s="5" t="str">
        <f>VLOOKUP(F3699,'Set up'!$A$2:$C$70,2,FALSE)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up'!$A$2:$C$70,3,FALSE)</f>
        <v>30</v>
      </c>
      <c r="J3699" s="5">
        <f>VLOOKUP(F3699,'Set up'!$A$2:$D$70,4,FALSE)</f>
        <v>30</v>
      </c>
      <c r="K3699" s="4">
        <f t="shared" si="965"/>
        <v>45737</v>
      </c>
      <c r="L3699" s="5">
        <f t="shared" si="957"/>
        <v>3</v>
      </c>
      <c r="M3699" s="5">
        <f t="shared" si="958"/>
        <v>2025</v>
      </c>
      <c r="N3699" s="135">
        <v>312.5</v>
      </c>
      <c r="O3699" s="99"/>
      <c r="P3699" s="12">
        <f t="shared" si="964"/>
        <v>312.5</v>
      </c>
      <c r="Q3699" s="7">
        <f t="shared" si="968"/>
        <v>6067589.3500000006</v>
      </c>
      <c r="R3699" s="44" t="str">
        <f>VLOOKUP(F3699,'Set up'!$A$2:$E$70,5,FALSE)</f>
        <v>Chq</v>
      </c>
    </row>
    <row r="3700" spans="1:19" ht="16.25" customHeight="1" x14ac:dyDescent="0.35">
      <c r="A3700" s="140">
        <v>45707</v>
      </c>
      <c r="B3700" s="5">
        <f t="shared" si="955"/>
        <v>2</v>
      </c>
      <c r="C3700" s="5">
        <f t="shared" si="956"/>
        <v>2025</v>
      </c>
      <c r="D3700" s="105" t="s">
        <v>3460</v>
      </c>
      <c r="E3700" s="5" t="str">
        <f>VLOOKUP(F3700,'Set up'!$A$2:$C$70,2,FALSE)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up'!$A$2:$C$70,3,FALSE)</f>
        <v>30</v>
      </c>
      <c r="J3700" s="5">
        <f>VLOOKUP(F3700,'Set up'!$A$2:$D$70,4,FALSE)</f>
        <v>30</v>
      </c>
      <c r="K3700" s="4">
        <f t="shared" si="965"/>
        <v>45737</v>
      </c>
      <c r="L3700" s="5">
        <f t="shared" si="957"/>
        <v>3</v>
      </c>
      <c r="M3700" s="5">
        <f t="shared" si="958"/>
        <v>2025</v>
      </c>
      <c r="N3700" s="135">
        <v>95</v>
      </c>
      <c r="O3700" s="99"/>
      <c r="P3700" s="12">
        <f t="shared" si="964"/>
        <v>95</v>
      </c>
      <c r="Q3700" s="7">
        <f t="shared" si="968"/>
        <v>6067684.3500000006</v>
      </c>
      <c r="R3700" s="44" t="str">
        <f>VLOOKUP(F3700,'Set up'!$A$2:$E$70,5,FALSE)</f>
        <v>Chq</v>
      </c>
    </row>
    <row r="3701" spans="1:19" ht="16.25" customHeight="1" x14ac:dyDescent="0.35">
      <c r="A3701" s="140">
        <v>45707</v>
      </c>
      <c r="B3701" s="5">
        <f t="shared" si="955"/>
        <v>2</v>
      </c>
      <c r="C3701" s="5">
        <f t="shared" si="956"/>
        <v>2025</v>
      </c>
      <c r="D3701" s="105" t="s">
        <v>3460</v>
      </c>
      <c r="E3701" s="5" t="str">
        <f>VLOOKUP(F3701,'Set up'!$A$2:$C$70,2,FALSE)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up'!$A$2:$C$70,3,FALSE)</f>
        <v>30</v>
      </c>
      <c r="J3701" s="5">
        <f>VLOOKUP(F3701,'Set up'!$A$2:$D$70,4,FALSE)</f>
        <v>30</v>
      </c>
      <c r="K3701" s="4">
        <f t="shared" si="965"/>
        <v>45737</v>
      </c>
      <c r="L3701" s="5">
        <f t="shared" si="957"/>
        <v>3</v>
      </c>
      <c r="M3701" s="5">
        <f t="shared" si="958"/>
        <v>2025</v>
      </c>
      <c r="N3701" s="135">
        <v>930</v>
      </c>
      <c r="O3701" s="99"/>
      <c r="P3701" s="12">
        <f t="shared" si="964"/>
        <v>930</v>
      </c>
      <c r="Q3701" s="7">
        <f t="shared" si="968"/>
        <v>6068614.3500000006</v>
      </c>
      <c r="R3701" s="44" t="str">
        <f>VLOOKUP(F3701,'Set up'!$A$2:$E$70,5,FALSE)</f>
        <v>Chq</v>
      </c>
    </row>
    <row r="3702" spans="1:19" ht="16.25" customHeight="1" x14ac:dyDescent="0.35">
      <c r="A3702" s="140">
        <v>45707</v>
      </c>
      <c r="B3702" s="5">
        <f t="shared" si="955"/>
        <v>2</v>
      </c>
      <c r="C3702" s="5">
        <f t="shared" si="956"/>
        <v>2025</v>
      </c>
      <c r="D3702" s="105" t="s">
        <v>3460</v>
      </c>
      <c r="E3702" s="5" t="str">
        <f>VLOOKUP(F3702,'Set up'!$A$2:$C$70,2,FALSE)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up'!$A$2:$C$70,3,FALSE)</f>
        <v>30</v>
      </c>
      <c r="J3702" s="5">
        <f>VLOOKUP(F3702,'Set up'!$A$2:$D$70,4,FALSE)</f>
        <v>30</v>
      </c>
      <c r="K3702" s="4">
        <f t="shared" si="965"/>
        <v>45737</v>
      </c>
      <c r="L3702" s="5">
        <f t="shared" si="957"/>
        <v>3</v>
      </c>
      <c r="M3702" s="5">
        <f t="shared" si="958"/>
        <v>2025</v>
      </c>
      <c r="N3702" s="135">
        <v>280</v>
      </c>
      <c r="O3702" s="99"/>
      <c r="P3702" s="12">
        <f t="shared" si="964"/>
        <v>280</v>
      </c>
      <c r="Q3702" s="7">
        <f t="shared" si="968"/>
        <v>6068894.3500000006</v>
      </c>
      <c r="R3702" s="44" t="str">
        <f>VLOOKUP(F3702,'Set up'!$A$2:$E$70,5,FALSE)</f>
        <v>Chq</v>
      </c>
    </row>
    <row r="3703" spans="1:19" ht="16.25" customHeight="1" x14ac:dyDescent="0.35">
      <c r="A3703" s="140">
        <v>45707</v>
      </c>
      <c r="B3703" s="5">
        <f t="shared" si="955"/>
        <v>2</v>
      </c>
      <c r="C3703" s="5">
        <f t="shared" si="956"/>
        <v>2025</v>
      </c>
      <c r="D3703" s="105" t="s">
        <v>3460</v>
      </c>
      <c r="E3703" s="5" t="str">
        <f>VLOOKUP(F3703,'Set up'!$A$2:$C$70,2,FALSE)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up'!$A$2:$C$70,3,FALSE)</f>
        <v>30</v>
      </c>
      <c r="J3703" s="5">
        <f>VLOOKUP(F3703,'Set up'!$A$2:$D$70,4,FALSE)</f>
        <v>30</v>
      </c>
      <c r="K3703" s="4">
        <f t="shared" si="965"/>
        <v>45737</v>
      </c>
      <c r="L3703" s="5">
        <f t="shared" si="957"/>
        <v>3</v>
      </c>
      <c r="M3703" s="5">
        <f t="shared" si="958"/>
        <v>2025</v>
      </c>
      <c r="N3703" s="139">
        <v>0</v>
      </c>
      <c r="O3703" s="99"/>
      <c r="P3703" s="12">
        <f t="shared" si="964"/>
        <v>0</v>
      </c>
      <c r="Q3703" s="7">
        <f t="shared" si="968"/>
        <v>6068894.3500000006</v>
      </c>
      <c r="R3703" s="44" t="str">
        <f>VLOOKUP(F3703,'Set up'!$A$2:$E$70,5,FALSE)</f>
        <v>Chq</v>
      </c>
    </row>
    <row r="3704" spans="1:19" ht="16.25" customHeight="1" x14ac:dyDescent="0.35">
      <c r="A3704" s="140">
        <v>45707</v>
      </c>
      <c r="B3704" s="5">
        <f t="shared" si="955"/>
        <v>2</v>
      </c>
      <c r="C3704" s="5">
        <f t="shared" si="956"/>
        <v>2025</v>
      </c>
      <c r="D3704" s="105" t="s">
        <v>3464</v>
      </c>
      <c r="E3704" s="5" t="str">
        <f>VLOOKUP(F3704,'Set up'!$A$2:$C$70,2,FALSE)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up'!$A$2:$C$70,3,FALSE)</f>
        <v>Cash</v>
      </c>
      <c r="J3704" s="5">
        <f>VLOOKUP(F3704,'Set up'!$A$2:$D$70,4,FALSE)</f>
        <v>0</v>
      </c>
      <c r="K3704" s="4">
        <f t="shared" si="965"/>
        <v>45707</v>
      </c>
      <c r="L3704" s="5">
        <f t="shared" si="957"/>
        <v>2</v>
      </c>
      <c r="M3704" s="5">
        <f t="shared" si="958"/>
        <v>2025</v>
      </c>
      <c r="N3704" s="135">
        <v>125</v>
      </c>
      <c r="O3704" s="6">
        <f t="shared" ref="O3704:O3710" si="970">-N3704</f>
        <v>-125</v>
      </c>
      <c r="P3704" s="12">
        <f t="shared" si="964"/>
        <v>0</v>
      </c>
      <c r="Q3704" s="7">
        <f t="shared" si="968"/>
        <v>6069019.3500000006</v>
      </c>
      <c r="R3704" s="44" t="str">
        <f>VLOOKUP(F3704,'Set up'!$A$2:$E$70,5,FALSE)</f>
        <v>Trsf</v>
      </c>
      <c r="S3704" s="1" t="s">
        <v>3939</v>
      </c>
    </row>
    <row r="3705" spans="1:19" ht="16.25" customHeight="1" x14ac:dyDescent="0.35">
      <c r="A3705" s="140">
        <v>45707</v>
      </c>
      <c r="B3705" s="5">
        <f t="shared" si="955"/>
        <v>2</v>
      </c>
      <c r="C3705" s="5">
        <f t="shared" si="956"/>
        <v>2025</v>
      </c>
      <c r="D3705" s="105" t="s">
        <v>3465</v>
      </c>
      <c r="E3705" s="5" t="str">
        <f>VLOOKUP(F3705,'Set up'!$A$2:$C$70,2,FALSE)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up'!$A$2:$C$70,3,FALSE)</f>
        <v>Cash</v>
      </c>
      <c r="J3705" s="5">
        <f>VLOOKUP(F3705,'Set up'!$A$2:$D$70,4,FALSE)</f>
        <v>0</v>
      </c>
      <c r="K3705" s="4">
        <f t="shared" si="965"/>
        <v>45707</v>
      </c>
      <c r="L3705" s="5">
        <f t="shared" si="957"/>
        <v>2</v>
      </c>
      <c r="M3705" s="5">
        <f t="shared" si="958"/>
        <v>2025</v>
      </c>
      <c r="N3705" s="135">
        <v>6480</v>
      </c>
      <c r="O3705" s="6">
        <f t="shared" si="970"/>
        <v>-6480</v>
      </c>
      <c r="P3705" s="12">
        <f t="shared" si="964"/>
        <v>0</v>
      </c>
      <c r="Q3705" s="7">
        <f t="shared" si="968"/>
        <v>6075499.3500000006</v>
      </c>
      <c r="R3705" s="44" t="str">
        <f>VLOOKUP(F3705,'Set up'!$A$2:$E$70,5,FALSE)</f>
        <v>Trsf</v>
      </c>
      <c r="S3705" s="1" t="s">
        <v>3940</v>
      </c>
    </row>
    <row r="3706" spans="1:19" ht="16.25" customHeight="1" x14ac:dyDescent="0.35">
      <c r="A3706" s="140">
        <v>45707</v>
      </c>
      <c r="B3706" s="5">
        <f t="shared" si="955"/>
        <v>2</v>
      </c>
      <c r="C3706" s="5">
        <f t="shared" si="956"/>
        <v>2025</v>
      </c>
      <c r="D3706" s="105" t="s">
        <v>3465</v>
      </c>
      <c r="E3706" s="5" t="str">
        <f>VLOOKUP(F3706,'Set up'!$A$2:$C$70,2,FALSE)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up'!$A$2:$C$70,3,FALSE)</f>
        <v>Cash</v>
      </c>
      <c r="J3706" s="5">
        <f>VLOOKUP(F3706,'Set up'!$A$2:$D$70,4,FALSE)</f>
        <v>0</v>
      </c>
      <c r="K3706" s="4">
        <f t="shared" si="965"/>
        <v>45707</v>
      </c>
      <c r="L3706" s="5">
        <f t="shared" si="957"/>
        <v>2</v>
      </c>
      <c r="M3706" s="5">
        <f t="shared" si="958"/>
        <v>2025</v>
      </c>
      <c r="N3706" s="135">
        <v>2088</v>
      </c>
      <c r="O3706" s="6">
        <f t="shared" si="970"/>
        <v>-2088</v>
      </c>
      <c r="P3706" s="12">
        <f t="shared" si="964"/>
        <v>0</v>
      </c>
      <c r="Q3706" s="7">
        <f t="shared" si="968"/>
        <v>6077587.3500000006</v>
      </c>
      <c r="R3706" s="44" t="str">
        <f>VLOOKUP(F3706,'Set up'!$A$2:$E$70,5,FALSE)</f>
        <v>Trsf</v>
      </c>
      <c r="S3706" s="1" t="s">
        <v>3941</v>
      </c>
    </row>
    <row r="3707" spans="1:19" ht="16.25" customHeight="1" x14ac:dyDescent="0.35">
      <c r="A3707" s="140">
        <v>45707</v>
      </c>
      <c r="B3707" s="5">
        <f t="shared" si="955"/>
        <v>2</v>
      </c>
      <c r="C3707" s="5">
        <f t="shared" si="956"/>
        <v>2025</v>
      </c>
      <c r="D3707" s="105" t="s">
        <v>3465</v>
      </c>
      <c r="E3707" s="5" t="str">
        <f>VLOOKUP(F3707,'Set up'!$A$2:$C$70,2,FALSE)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up'!$A$2:$C$70,3,FALSE)</f>
        <v>Cash</v>
      </c>
      <c r="J3707" s="5">
        <f>VLOOKUP(F3707,'Set up'!$A$2:$D$70,4,FALSE)</f>
        <v>0</v>
      </c>
      <c r="K3707" s="4">
        <f t="shared" si="965"/>
        <v>45707</v>
      </c>
      <c r="L3707" s="5">
        <f t="shared" si="957"/>
        <v>2</v>
      </c>
      <c r="M3707" s="5">
        <f t="shared" si="958"/>
        <v>2025</v>
      </c>
      <c r="N3707" s="135">
        <v>1485</v>
      </c>
      <c r="O3707" s="6">
        <f t="shared" si="970"/>
        <v>-1485</v>
      </c>
      <c r="P3707" s="12">
        <f t="shared" si="964"/>
        <v>0</v>
      </c>
      <c r="Q3707" s="7">
        <f t="shared" si="968"/>
        <v>6079072.3500000006</v>
      </c>
      <c r="R3707" s="44" t="str">
        <f>VLOOKUP(F3707,'Set up'!$A$2:$E$70,5,FALSE)</f>
        <v>Trsf</v>
      </c>
      <c r="S3707" s="1" t="s">
        <v>3942</v>
      </c>
    </row>
    <row r="3708" spans="1:19" ht="16.25" customHeight="1" x14ac:dyDescent="0.35">
      <c r="A3708" s="140">
        <v>45707</v>
      </c>
      <c r="B3708" s="5">
        <f t="shared" si="955"/>
        <v>2</v>
      </c>
      <c r="C3708" s="5">
        <f t="shared" si="956"/>
        <v>2025</v>
      </c>
      <c r="D3708" s="105" t="s">
        <v>3465</v>
      </c>
      <c r="E3708" s="5" t="str">
        <f>VLOOKUP(F3708,'Set up'!$A$2:$C$70,2,FALSE)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up'!$A$2:$C$70,3,FALSE)</f>
        <v>Cash</v>
      </c>
      <c r="J3708" s="5">
        <f>VLOOKUP(F3708,'Set up'!$A$2:$D$70,4,FALSE)</f>
        <v>0</v>
      </c>
      <c r="K3708" s="4">
        <f t="shared" si="965"/>
        <v>45707</v>
      </c>
      <c r="L3708" s="5">
        <f t="shared" si="957"/>
        <v>2</v>
      </c>
      <c r="M3708" s="5">
        <f t="shared" si="958"/>
        <v>2025</v>
      </c>
      <c r="N3708" s="135">
        <v>690</v>
      </c>
      <c r="O3708" s="6">
        <f t="shared" si="970"/>
        <v>-690</v>
      </c>
      <c r="P3708" s="12">
        <f t="shared" si="964"/>
        <v>0</v>
      </c>
      <c r="Q3708" s="7">
        <f t="shared" si="968"/>
        <v>6079762.3500000006</v>
      </c>
      <c r="R3708" s="44" t="str">
        <f>VLOOKUP(F3708,'Set up'!$A$2:$E$70,5,FALSE)</f>
        <v>Trsf</v>
      </c>
      <c r="S3708" s="1" t="s">
        <v>3943</v>
      </c>
    </row>
    <row r="3709" spans="1:19" ht="16.25" customHeight="1" x14ac:dyDescent="0.35">
      <c r="A3709" s="140">
        <v>45707</v>
      </c>
      <c r="B3709" s="5">
        <f t="shared" si="955"/>
        <v>2</v>
      </c>
      <c r="C3709" s="5">
        <f t="shared" si="956"/>
        <v>2025</v>
      </c>
      <c r="D3709" s="105" t="s">
        <v>3465</v>
      </c>
      <c r="E3709" s="5" t="str">
        <f>VLOOKUP(F3709,'Set up'!$A$2:$C$70,2,FALSE)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up'!$A$2:$C$70,3,FALSE)</f>
        <v>Cash</v>
      </c>
      <c r="J3709" s="5">
        <f>VLOOKUP(F3709,'Set up'!$A$2:$D$70,4,FALSE)</f>
        <v>0</v>
      </c>
      <c r="K3709" s="4">
        <f t="shared" si="965"/>
        <v>45707</v>
      </c>
      <c r="L3709" s="5">
        <f t="shared" si="957"/>
        <v>2</v>
      </c>
      <c r="M3709" s="5">
        <f t="shared" si="958"/>
        <v>2025</v>
      </c>
      <c r="N3709" s="135">
        <v>1000</v>
      </c>
      <c r="O3709" s="6">
        <f t="shared" si="970"/>
        <v>-1000</v>
      </c>
      <c r="P3709" s="12">
        <f t="shared" si="964"/>
        <v>0</v>
      </c>
      <c r="Q3709" s="7">
        <f t="shared" si="968"/>
        <v>6080762.3500000006</v>
      </c>
      <c r="R3709" s="44" t="str">
        <f>VLOOKUP(F3709,'Set up'!$A$2:$E$70,5,FALSE)</f>
        <v>Trsf</v>
      </c>
      <c r="S3709" s="1" t="s">
        <v>3944</v>
      </c>
    </row>
    <row r="3710" spans="1:19" ht="16.25" customHeight="1" x14ac:dyDescent="0.35">
      <c r="A3710" s="140">
        <v>45712</v>
      </c>
      <c r="B3710" s="5">
        <f t="shared" si="955"/>
        <v>2</v>
      </c>
      <c r="C3710" s="5">
        <f t="shared" si="956"/>
        <v>2025</v>
      </c>
      <c r="D3710" s="105" t="s">
        <v>3466</v>
      </c>
      <c r="E3710" s="5" t="str">
        <f>VLOOKUP(F3710,'Set up'!$A$2:$C$70,2,FALSE)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up'!$A$2:$C$70,3,FALSE)</f>
        <v>Cash</v>
      </c>
      <c r="J3710" s="5">
        <f>VLOOKUP(F3710,'Set up'!$A$2:$D$70,4,FALSE)</f>
        <v>0</v>
      </c>
      <c r="K3710" s="4">
        <f t="shared" si="965"/>
        <v>45712</v>
      </c>
      <c r="L3710" s="5">
        <f t="shared" si="957"/>
        <v>2</v>
      </c>
      <c r="M3710" s="5">
        <f t="shared" si="958"/>
        <v>2025</v>
      </c>
      <c r="N3710" s="135">
        <v>312.5</v>
      </c>
      <c r="O3710" s="6">
        <f t="shared" si="970"/>
        <v>-312.5</v>
      </c>
      <c r="P3710" s="12">
        <f t="shared" si="964"/>
        <v>0</v>
      </c>
      <c r="Q3710" s="7">
        <f t="shared" si="968"/>
        <v>6081074.8500000006</v>
      </c>
      <c r="R3710" s="44" t="str">
        <f>VLOOKUP(F3710,'Set up'!$A$2:$E$70,5,FALSE)</f>
        <v>Trsf</v>
      </c>
      <c r="S3710" s="1" t="s">
        <v>3945</v>
      </c>
    </row>
    <row r="3711" spans="1:19" ht="16.25" customHeight="1" x14ac:dyDescent="0.35">
      <c r="A3711" s="140">
        <v>45712</v>
      </c>
      <c r="B3711" s="5">
        <f t="shared" si="955"/>
        <v>2</v>
      </c>
      <c r="C3711" s="5">
        <f t="shared" si="956"/>
        <v>2025</v>
      </c>
      <c r="D3711" s="105" t="s">
        <v>3467</v>
      </c>
      <c r="E3711" s="5" t="str">
        <f>VLOOKUP(F3711,'Set up'!$A$2:$C$70,2,FALSE)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up'!$A$2:$C$70,3,FALSE)</f>
        <v>Cash</v>
      </c>
      <c r="J3711" s="5">
        <f>VLOOKUP(F3711,'Set up'!$A$2:$D$70,4,FALSE)</f>
        <v>0</v>
      </c>
      <c r="K3711" s="4">
        <f t="shared" si="965"/>
        <v>45712</v>
      </c>
      <c r="L3711" s="5">
        <f t="shared" si="957"/>
        <v>2</v>
      </c>
      <c r="M3711" s="5">
        <f t="shared" si="958"/>
        <v>2025</v>
      </c>
      <c r="N3711" s="135">
        <v>16200</v>
      </c>
      <c r="O3711" s="141">
        <f>-2206.6-13993.4</f>
        <v>-16200</v>
      </c>
      <c r="P3711" s="12">
        <f t="shared" si="964"/>
        <v>0</v>
      </c>
      <c r="Q3711" s="7">
        <f t="shared" si="968"/>
        <v>6097274.8500000006</v>
      </c>
      <c r="R3711" s="44" t="str">
        <f>VLOOKUP(F3711,'Set up'!$A$2:$E$70,5,FALSE)</f>
        <v>Trsf</v>
      </c>
      <c r="S3711" s="1" t="s">
        <v>3969</v>
      </c>
    </row>
    <row r="3712" spans="1:19" ht="16.25" customHeight="1" x14ac:dyDescent="0.35">
      <c r="A3712" s="140">
        <v>45712</v>
      </c>
      <c r="B3712" s="5">
        <f t="shared" si="955"/>
        <v>2</v>
      </c>
      <c r="C3712" s="5">
        <f t="shared" si="956"/>
        <v>2025</v>
      </c>
      <c r="D3712" s="105" t="s">
        <v>3467</v>
      </c>
      <c r="E3712" s="5" t="str">
        <f>VLOOKUP(F3712,'Set up'!$A$2:$C$70,2,FALSE)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up'!$A$2:$C$70,3,FALSE)</f>
        <v>Cash</v>
      </c>
      <c r="J3712" s="5">
        <f>VLOOKUP(F3712,'Set up'!$A$2:$D$70,4,FALSE)</f>
        <v>0</v>
      </c>
      <c r="K3712" s="4">
        <f t="shared" si="965"/>
        <v>45712</v>
      </c>
      <c r="L3712" s="5">
        <f t="shared" si="957"/>
        <v>2</v>
      </c>
      <c r="M3712" s="5">
        <f t="shared" si="958"/>
        <v>2025</v>
      </c>
      <c r="N3712" s="135">
        <v>4350</v>
      </c>
      <c r="O3712" s="141">
        <f>-1006.6-3343.4</f>
        <v>-4350</v>
      </c>
      <c r="P3712" s="12">
        <f t="shared" si="964"/>
        <v>0</v>
      </c>
      <c r="Q3712" s="7">
        <f t="shared" si="968"/>
        <v>6101624.8500000006</v>
      </c>
      <c r="R3712" s="44" t="str">
        <f>VLOOKUP(F3712,'Set up'!$A$2:$E$70,5,FALSE)</f>
        <v>Trsf</v>
      </c>
      <c r="S3712" s="1" t="s">
        <v>3970</v>
      </c>
    </row>
    <row r="3713" spans="1:19" ht="16.25" customHeight="1" x14ac:dyDescent="0.35">
      <c r="A3713" s="140">
        <v>45712</v>
      </c>
      <c r="B3713" s="5">
        <f t="shared" si="955"/>
        <v>2</v>
      </c>
      <c r="C3713" s="5">
        <f t="shared" si="956"/>
        <v>2025</v>
      </c>
      <c r="D3713" s="105" t="s">
        <v>3467</v>
      </c>
      <c r="E3713" s="5" t="str">
        <f>VLOOKUP(F3713,'Set up'!$A$2:$C$70,2,FALSE)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up'!$A$2:$C$70,3,FALSE)</f>
        <v>Cash</v>
      </c>
      <c r="J3713" s="5">
        <f>VLOOKUP(F3713,'Set up'!$A$2:$D$70,4,FALSE)</f>
        <v>0</v>
      </c>
      <c r="K3713" s="4">
        <f t="shared" si="965"/>
        <v>45712</v>
      </c>
      <c r="L3713" s="5">
        <f t="shared" si="957"/>
        <v>2</v>
      </c>
      <c r="M3713" s="5">
        <f t="shared" si="958"/>
        <v>2025</v>
      </c>
      <c r="N3713" s="135">
        <v>3712.5</v>
      </c>
      <c r="O3713" s="6">
        <f t="shared" ref="O3713:O3715" si="971">-N3713</f>
        <v>-3712.5</v>
      </c>
      <c r="P3713" s="12">
        <f t="shared" si="964"/>
        <v>0</v>
      </c>
      <c r="Q3713" s="7">
        <f t="shared" si="968"/>
        <v>6105337.3500000006</v>
      </c>
      <c r="R3713" s="44" t="str">
        <f>VLOOKUP(F3713,'Set up'!$A$2:$E$70,5,FALSE)</f>
        <v>Trsf</v>
      </c>
      <c r="S3713" s="1" t="s">
        <v>3971</v>
      </c>
    </row>
    <row r="3714" spans="1:19" ht="16.25" customHeight="1" x14ac:dyDescent="0.35">
      <c r="A3714" s="140">
        <v>45712</v>
      </c>
      <c r="B3714" s="5">
        <f t="shared" si="955"/>
        <v>2</v>
      </c>
      <c r="C3714" s="5">
        <f t="shared" si="956"/>
        <v>2025</v>
      </c>
      <c r="D3714" s="105" t="s">
        <v>3467</v>
      </c>
      <c r="E3714" s="5" t="str">
        <f>VLOOKUP(F3714,'Set up'!$A$2:$C$70,2,FALSE)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up'!$A$2:$C$70,3,FALSE)</f>
        <v>Cash</v>
      </c>
      <c r="J3714" s="5">
        <f>VLOOKUP(F3714,'Set up'!$A$2:$D$70,4,FALSE)</f>
        <v>0</v>
      </c>
      <c r="K3714" s="4">
        <f t="shared" si="965"/>
        <v>45712</v>
      </c>
      <c r="L3714" s="5">
        <f t="shared" si="957"/>
        <v>2</v>
      </c>
      <c r="M3714" s="5">
        <f t="shared" si="958"/>
        <v>2025</v>
      </c>
      <c r="N3714" s="135">
        <v>460</v>
      </c>
      <c r="O3714" s="6">
        <f t="shared" si="971"/>
        <v>-460</v>
      </c>
      <c r="P3714" s="12">
        <f t="shared" si="964"/>
        <v>0</v>
      </c>
      <c r="Q3714" s="7">
        <f t="shared" si="968"/>
        <v>6105797.3500000006</v>
      </c>
      <c r="R3714" s="44" t="str">
        <f>VLOOKUP(F3714,'Set up'!$A$2:$E$70,5,FALSE)</f>
        <v>Trsf</v>
      </c>
      <c r="S3714" s="1" t="s">
        <v>3972</v>
      </c>
    </row>
    <row r="3715" spans="1:19" ht="16.25" customHeight="1" x14ac:dyDescent="0.35">
      <c r="A3715" s="140">
        <v>45712</v>
      </c>
      <c r="B3715" s="5">
        <f t="shared" ref="B3715:B3778" si="972">MONTH(A3715)</f>
        <v>2</v>
      </c>
      <c r="C3715" s="5">
        <f t="shared" ref="C3715:C3778" si="973">YEAR(A3715)</f>
        <v>2025</v>
      </c>
      <c r="D3715" s="105" t="s">
        <v>3467</v>
      </c>
      <c r="E3715" s="5" t="str">
        <f>VLOOKUP(F3715,'Set up'!$A$2:$C$70,2,FALSE)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up'!$A$2:$C$70,3,FALSE)</f>
        <v>Cash</v>
      </c>
      <c r="J3715" s="5">
        <f>VLOOKUP(F3715,'Set up'!$A$2:$D$70,4,FALSE)</f>
        <v>0</v>
      </c>
      <c r="K3715" s="4">
        <f t="shared" si="965"/>
        <v>45712</v>
      </c>
      <c r="L3715" s="5">
        <f t="shared" ref="L3715:L3778" si="974">MONTH(K3715)</f>
        <v>2</v>
      </c>
      <c r="M3715" s="5">
        <f t="shared" ref="M3715:M3778" si="975">YEAR(K3715)</f>
        <v>2025</v>
      </c>
      <c r="N3715" s="135">
        <v>1000</v>
      </c>
      <c r="O3715" s="6">
        <f t="shared" si="971"/>
        <v>-1000</v>
      </c>
      <c r="P3715" s="12">
        <f t="shared" si="964"/>
        <v>0</v>
      </c>
      <c r="Q3715" s="7">
        <f t="shared" si="968"/>
        <v>6106797.3500000006</v>
      </c>
      <c r="R3715" s="44" t="str">
        <f>VLOOKUP(F3715,'Set up'!$A$2:$E$70,5,FALSE)</f>
        <v>Trsf</v>
      </c>
      <c r="S3715" s="1" t="s">
        <v>3973</v>
      </c>
    </row>
    <row r="3716" spans="1:19" ht="16.25" customHeight="1" x14ac:dyDescent="0.35">
      <c r="A3716" s="140">
        <v>45712</v>
      </c>
      <c r="B3716" s="5">
        <f t="shared" si="972"/>
        <v>2</v>
      </c>
      <c r="C3716" s="5">
        <f t="shared" si="973"/>
        <v>2025</v>
      </c>
      <c r="D3716" s="105" t="s">
        <v>3468</v>
      </c>
      <c r="E3716" s="5" t="str">
        <f>VLOOKUP(F3716,'Set up'!$A$2:$C$70,2,FALSE)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up'!$A$2:$C$70,3,FALSE)</f>
        <v>Cash</v>
      </c>
      <c r="J3716" s="5">
        <f>VLOOKUP(F3716,'Set up'!$A$2:$D$70,4,FALSE)</f>
        <v>0</v>
      </c>
      <c r="K3716" s="4">
        <f t="shared" si="965"/>
        <v>45712</v>
      </c>
      <c r="L3716" s="5">
        <f t="shared" si="974"/>
        <v>2</v>
      </c>
      <c r="M3716" s="5">
        <f t="shared" si="975"/>
        <v>2025</v>
      </c>
      <c r="N3716" s="135">
        <v>250</v>
      </c>
      <c r="O3716" s="99"/>
      <c r="P3716" s="12">
        <f t="shared" si="964"/>
        <v>250</v>
      </c>
      <c r="Q3716" s="7">
        <f t="shared" si="968"/>
        <v>6107047.3500000006</v>
      </c>
      <c r="R3716" s="44" t="str">
        <f>VLOOKUP(F3716,'Set up'!$A$2:$E$70,5,FALSE)</f>
        <v>Trsf</v>
      </c>
    </row>
    <row r="3717" spans="1:19" ht="16.25" customHeight="1" x14ac:dyDescent="0.35">
      <c r="A3717" s="140">
        <v>45712</v>
      </c>
      <c r="B3717" s="5">
        <f t="shared" si="972"/>
        <v>2</v>
      </c>
      <c r="C3717" s="5">
        <f t="shared" si="973"/>
        <v>2025</v>
      </c>
      <c r="D3717" s="105" t="s">
        <v>3468</v>
      </c>
      <c r="E3717" s="5" t="str">
        <f>VLOOKUP(F3717,'Set up'!$A$2:$C$70,2,FALSE)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up'!$A$2:$C$70,3,FALSE)</f>
        <v>Cash</v>
      </c>
      <c r="J3717" s="5">
        <f>VLOOKUP(F3717,'Set up'!$A$2:$D$70,4,FALSE)</f>
        <v>0</v>
      </c>
      <c r="K3717" s="4">
        <f t="shared" si="965"/>
        <v>45712</v>
      </c>
      <c r="L3717" s="5">
        <f t="shared" si="974"/>
        <v>2</v>
      </c>
      <c r="M3717" s="5">
        <f t="shared" si="975"/>
        <v>2025</v>
      </c>
      <c r="N3717" s="135">
        <v>1755</v>
      </c>
      <c r="O3717" s="99"/>
      <c r="P3717" s="12">
        <f t="shared" si="964"/>
        <v>1755</v>
      </c>
      <c r="Q3717" s="7">
        <f t="shared" si="968"/>
        <v>6108802.3500000006</v>
      </c>
      <c r="R3717" s="44" t="str">
        <f>VLOOKUP(F3717,'Set up'!$A$2:$E$70,5,FALSE)</f>
        <v>Trsf</v>
      </c>
    </row>
    <row r="3718" spans="1:19" ht="16.25" customHeight="1" x14ac:dyDescent="0.35">
      <c r="A3718" s="140">
        <v>45712</v>
      </c>
      <c r="B3718" s="5">
        <f t="shared" si="972"/>
        <v>2</v>
      </c>
      <c r="C3718" s="5">
        <f t="shared" si="973"/>
        <v>2025</v>
      </c>
      <c r="D3718" s="105" t="s">
        <v>3468</v>
      </c>
      <c r="E3718" s="5" t="str">
        <f>VLOOKUP(F3718,'Set up'!$A$2:$C$70,2,FALSE)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up'!$A$2:$C$70,3,FALSE)</f>
        <v>Cash</v>
      </c>
      <c r="J3718" s="5">
        <f>VLOOKUP(F3718,'Set up'!$A$2:$D$70,4,FALSE)</f>
        <v>0</v>
      </c>
      <c r="K3718" s="4">
        <f t="shared" si="965"/>
        <v>45712</v>
      </c>
      <c r="L3718" s="5">
        <f t="shared" si="974"/>
        <v>2</v>
      </c>
      <c r="M3718" s="5">
        <f t="shared" si="975"/>
        <v>2025</v>
      </c>
      <c r="N3718" s="135">
        <v>405</v>
      </c>
      <c r="O3718" s="99"/>
      <c r="P3718" s="12">
        <f t="shared" si="964"/>
        <v>405</v>
      </c>
      <c r="Q3718" s="7">
        <f t="shared" si="968"/>
        <v>6109207.3500000006</v>
      </c>
      <c r="R3718" s="44" t="str">
        <f>VLOOKUP(F3718,'Set up'!$A$2:$E$70,5,FALSE)</f>
        <v>Trsf</v>
      </c>
    </row>
    <row r="3719" spans="1:19" ht="16.25" customHeight="1" x14ac:dyDescent="0.35">
      <c r="A3719" s="140">
        <v>45713</v>
      </c>
      <c r="B3719" s="5">
        <f t="shared" si="972"/>
        <v>2</v>
      </c>
      <c r="C3719" s="5">
        <f t="shared" si="973"/>
        <v>2025</v>
      </c>
      <c r="D3719" s="105" t="s">
        <v>3469</v>
      </c>
      <c r="E3719" s="5" t="str">
        <f>VLOOKUP(F3719,'Set up'!$A$2:$C$70,2,FALSE)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up'!$A$2:$C$70,3,FALSE)</f>
        <v>Cash</v>
      </c>
      <c r="J3719" s="5">
        <f>VLOOKUP(F3719,'Set up'!$A$2:$D$70,4,FALSE)</f>
        <v>0</v>
      </c>
      <c r="K3719" s="4">
        <f t="shared" si="965"/>
        <v>45713</v>
      </c>
      <c r="L3719" s="5">
        <f t="shared" si="974"/>
        <v>2</v>
      </c>
      <c r="M3719" s="5">
        <f t="shared" si="975"/>
        <v>2025</v>
      </c>
      <c r="N3719" s="135">
        <v>1732.5</v>
      </c>
      <c r="O3719" s="6">
        <f>-N3719</f>
        <v>-1732.5</v>
      </c>
      <c r="P3719" s="12">
        <f t="shared" si="964"/>
        <v>0</v>
      </c>
      <c r="Q3719" s="7">
        <f t="shared" si="968"/>
        <v>6110939.8500000006</v>
      </c>
      <c r="R3719" s="44" t="str">
        <f>VLOOKUP(F3719,'Set up'!$A$2:$E$70,5,FALSE)</f>
        <v>Cash</v>
      </c>
      <c r="S3719" s="1" t="s">
        <v>3502</v>
      </c>
    </row>
    <row r="3720" spans="1:19" ht="16.25" customHeight="1" x14ac:dyDescent="0.35">
      <c r="A3720" s="140">
        <v>45713</v>
      </c>
      <c r="B3720" s="5">
        <f t="shared" si="972"/>
        <v>2</v>
      </c>
      <c r="C3720" s="5">
        <f t="shared" si="973"/>
        <v>2025</v>
      </c>
      <c r="D3720" s="105" t="s">
        <v>3469</v>
      </c>
      <c r="E3720" s="5" t="str">
        <f>VLOOKUP(F3720,'Set up'!$A$2:$C$70,2,FALSE)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up'!$A$2:$C$70,3,FALSE)</f>
        <v>Cash</v>
      </c>
      <c r="J3720" s="5">
        <f>VLOOKUP(F3720,'Set up'!$A$2:$D$70,4,FALSE)</f>
        <v>0</v>
      </c>
      <c r="K3720" s="4">
        <f t="shared" si="965"/>
        <v>45713</v>
      </c>
      <c r="L3720" s="5">
        <f t="shared" si="974"/>
        <v>2</v>
      </c>
      <c r="M3720" s="5">
        <f t="shared" si="975"/>
        <v>2025</v>
      </c>
      <c r="N3720" s="135">
        <v>432</v>
      </c>
      <c r="O3720" s="141">
        <f>-431.5</f>
        <v>-431.5</v>
      </c>
      <c r="P3720" s="12">
        <f t="shared" si="964"/>
        <v>0.5</v>
      </c>
      <c r="Q3720" s="7">
        <f t="shared" si="968"/>
        <v>6111371.8500000006</v>
      </c>
      <c r="R3720" s="44" t="str">
        <f>VLOOKUP(F3720,'Set up'!$A$2:$E$70,5,FALSE)</f>
        <v>Cash</v>
      </c>
      <c r="S3720" s="1" t="s">
        <v>3502</v>
      </c>
    </row>
    <row r="3721" spans="1:19" ht="16.25" customHeight="1" x14ac:dyDescent="0.35">
      <c r="A3721" s="140">
        <v>45717</v>
      </c>
      <c r="B3721" s="5">
        <f t="shared" si="972"/>
        <v>3</v>
      </c>
      <c r="C3721" s="5">
        <f t="shared" si="973"/>
        <v>2025</v>
      </c>
      <c r="D3721" s="105" t="s">
        <v>3504</v>
      </c>
      <c r="E3721" s="5" t="str">
        <f>VLOOKUP(F3721,'Set up'!$A$2:$C$70,2,FALSE)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up'!$A$2:$C$70,3,FALSE)</f>
        <v>Cash</v>
      </c>
      <c r="J3721" s="5">
        <f>VLOOKUP(F3721,'Set up'!$A$2:$D$70,4,FALSE)</f>
        <v>0</v>
      </c>
      <c r="K3721" s="4">
        <f t="shared" si="965"/>
        <v>45717</v>
      </c>
      <c r="L3721" s="5">
        <f t="shared" si="974"/>
        <v>3</v>
      </c>
      <c r="M3721" s="5">
        <f t="shared" si="975"/>
        <v>2025</v>
      </c>
      <c r="N3721" s="135">
        <v>1755</v>
      </c>
      <c r="O3721" s="6">
        <f t="shared" ref="O3721:O3723" si="976">-N3721</f>
        <v>-1755</v>
      </c>
      <c r="P3721" s="12">
        <f t="shared" si="964"/>
        <v>0</v>
      </c>
      <c r="Q3721" s="7">
        <v>6113126.8500000006</v>
      </c>
      <c r="R3721" s="44" t="str">
        <f>VLOOKUP(F3721,'Set up'!$A$2:$E$70,5,FALSE)</f>
        <v>Cash</v>
      </c>
      <c r="S3721" s="1" t="s">
        <v>3599</v>
      </c>
    </row>
    <row r="3722" spans="1:19" ht="16.25" customHeight="1" x14ac:dyDescent="0.35">
      <c r="A3722" s="140">
        <v>45717</v>
      </c>
      <c r="B3722" s="5">
        <f t="shared" si="972"/>
        <v>3</v>
      </c>
      <c r="C3722" s="5">
        <f t="shared" si="973"/>
        <v>2025</v>
      </c>
      <c r="D3722" s="105" t="s">
        <v>3504</v>
      </c>
      <c r="E3722" s="5" t="str">
        <f>VLOOKUP(F3722,'Set up'!$A$2:$C$70,2,FALSE)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up'!$A$2:$C$70,3,FALSE)</f>
        <v>Cash</v>
      </c>
      <c r="J3722" s="5">
        <f>VLOOKUP(F3722,'Set up'!$A$2:$D$70,4,FALSE)</f>
        <v>0</v>
      </c>
      <c r="K3722" s="4">
        <f t="shared" si="965"/>
        <v>45717</v>
      </c>
      <c r="L3722" s="5">
        <f t="shared" si="974"/>
        <v>3</v>
      </c>
      <c r="M3722" s="5">
        <f t="shared" si="975"/>
        <v>2025</v>
      </c>
      <c r="N3722" s="135">
        <v>832.5</v>
      </c>
      <c r="O3722" s="6">
        <f t="shared" si="976"/>
        <v>-832.5</v>
      </c>
      <c r="P3722" s="12">
        <f t="shared" si="964"/>
        <v>0</v>
      </c>
      <c r="Q3722" s="7">
        <v>6113959.3500000006</v>
      </c>
      <c r="R3722" s="44" t="str">
        <f>VLOOKUP(F3722,'Set up'!$A$2:$E$70,5,FALSE)</f>
        <v>Cash</v>
      </c>
      <c r="S3722" s="1" t="s">
        <v>3599</v>
      </c>
    </row>
    <row r="3723" spans="1:19" ht="16.25" customHeight="1" x14ac:dyDescent="0.35">
      <c r="A3723" s="140">
        <v>45717</v>
      </c>
      <c r="B3723" s="5">
        <f t="shared" si="972"/>
        <v>3</v>
      </c>
      <c r="C3723" s="5">
        <f t="shared" si="973"/>
        <v>2025</v>
      </c>
      <c r="D3723" s="105" t="s">
        <v>3504</v>
      </c>
      <c r="E3723" s="5" t="str">
        <f>VLOOKUP(F3723,'Set up'!$A$2:$C$70,2,FALSE)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up'!$A$2:$C$70,3,FALSE)</f>
        <v>Cash</v>
      </c>
      <c r="J3723" s="5">
        <f>VLOOKUP(F3723,'Set up'!$A$2:$D$70,4,FALSE)</f>
        <v>0</v>
      </c>
      <c r="K3723" s="4">
        <f t="shared" si="965"/>
        <v>45717</v>
      </c>
      <c r="L3723" s="5">
        <f t="shared" si="974"/>
        <v>3</v>
      </c>
      <c r="M3723" s="5">
        <f t="shared" si="975"/>
        <v>2025</v>
      </c>
      <c r="N3723" s="135">
        <v>540</v>
      </c>
      <c r="O3723" s="6">
        <f t="shared" si="976"/>
        <v>-540</v>
      </c>
      <c r="P3723" s="12">
        <f t="shared" si="964"/>
        <v>0</v>
      </c>
      <c r="Q3723" s="7">
        <v>6114499.3500000006</v>
      </c>
      <c r="R3723" s="44" t="str">
        <f>VLOOKUP(F3723,'Set up'!$A$2:$E$70,5,FALSE)</f>
        <v>Cash</v>
      </c>
      <c r="S3723" s="1" t="s">
        <v>3599</v>
      </c>
    </row>
    <row r="3724" spans="1:19" ht="16.25" customHeight="1" x14ac:dyDescent="0.35">
      <c r="A3724" s="140">
        <v>45720</v>
      </c>
      <c r="B3724" s="5">
        <f t="shared" si="972"/>
        <v>3</v>
      </c>
      <c r="C3724" s="5">
        <f t="shared" si="973"/>
        <v>2025</v>
      </c>
      <c r="D3724" s="105" t="s">
        <v>3505</v>
      </c>
      <c r="E3724" s="5" t="str">
        <f>VLOOKUP(F3724,'Set up'!$A$2:$C$70,2,FALSE)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up'!$A$2:$C$70,3,FALSE)</f>
        <v>Cash</v>
      </c>
      <c r="J3724" s="5">
        <f>VLOOKUP(F3724,'Set up'!$A$2:$D$70,4,FALSE)</f>
        <v>0</v>
      </c>
      <c r="K3724" s="4">
        <f t="shared" si="965"/>
        <v>45720</v>
      </c>
      <c r="L3724" s="5">
        <f t="shared" si="974"/>
        <v>3</v>
      </c>
      <c r="M3724" s="5">
        <f t="shared" si="975"/>
        <v>2025</v>
      </c>
      <c r="N3724" s="135">
        <v>5197.5</v>
      </c>
      <c r="O3724" s="6">
        <f t="shared" ref="O3724:O3739" si="977">-N3724</f>
        <v>-5197.5</v>
      </c>
      <c r="P3724" s="6">
        <f t="shared" ref="P3724:P3807" si="978">SUM(N3724+O3724)</f>
        <v>0</v>
      </c>
      <c r="Q3724" s="7">
        <v>6119696.8500000006</v>
      </c>
      <c r="R3724" s="44" t="str">
        <f>VLOOKUP(F3724,'Set up'!$A$2:$E$70,5,FALSE)</f>
        <v>Chq</v>
      </c>
      <c r="S3724" s="1" t="s">
        <v>3595</v>
      </c>
    </row>
    <row r="3725" spans="1:19" ht="16.25" customHeight="1" x14ac:dyDescent="0.35">
      <c r="A3725" s="140">
        <v>45720</v>
      </c>
      <c r="B3725" s="5">
        <f t="shared" si="972"/>
        <v>3</v>
      </c>
      <c r="C3725" s="5">
        <f t="shared" si="973"/>
        <v>2025</v>
      </c>
      <c r="D3725" s="105" t="s">
        <v>3505</v>
      </c>
      <c r="E3725" s="5" t="str">
        <f>VLOOKUP(F3725,'Set up'!$A$2:$C$70,2,FALSE)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up'!$A$2:$C$70,3,FALSE)</f>
        <v>Cash</v>
      </c>
      <c r="J3725" s="5">
        <f>VLOOKUP(F3725,'Set up'!$A$2:$D$70,4,FALSE)</f>
        <v>0</v>
      </c>
      <c r="K3725" s="4">
        <f t="shared" si="965"/>
        <v>45720</v>
      </c>
      <c r="L3725" s="5">
        <f t="shared" si="974"/>
        <v>3</v>
      </c>
      <c r="M3725" s="5">
        <f t="shared" si="975"/>
        <v>2025</v>
      </c>
      <c r="N3725" s="135">
        <v>1215</v>
      </c>
      <c r="O3725" s="6">
        <f t="shared" si="977"/>
        <v>-1215</v>
      </c>
      <c r="P3725" s="6">
        <f t="shared" si="978"/>
        <v>0</v>
      </c>
      <c r="Q3725" s="7">
        <v>6120911.8500000006</v>
      </c>
      <c r="R3725" s="44" t="str">
        <f>VLOOKUP(F3725,'Set up'!$A$2:$E$70,5,FALSE)</f>
        <v>Chq</v>
      </c>
      <c r="S3725" s="1" t="s">
        <v>3595</v>
      </c>
    </row>
    <row r="3726" spans="1:19" ht="16.25" customHeight="1" x14ac:dyDescent="0.35">
      <c r="A3726" s="140">
        <v>45720</v>
      </c>
      <c r="B3726" s="5">
        <f t="shared" si="972"/>
        <v>3</v>
      </c>
      <c r="C3726" s="5">
        <f t="shared" si="973"/>
        <v>2025</v>
      </c>
      <c r="D3726" s="105" t="s">
        <v>3505</v>
      </c>
      <c r="E3726" s="5" t="str">
        <f>VLOOKUP(F3726,'Set up'!$A$2:$C$70,2,FALSE)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up'!$A$2:$C$70,3,FALSE)</f>
        <v>Cash</v>
      </c>
      <c r="J3726" s="5">
        <f>VLOOKUP(F3726,'Set up'!$A$2:$D$70,4,FALSE)</f>
        <v>0</v>
      </c>
      <c r="K3726" s="4">
        <f t="shared" si="965"/>
        <v>45720</v>
      </c>
      <c r="L3726" s="5">
        <f t="shared" si="974"/>
        <v>3</v>
      </c>
      <c r="M3726" s="5">
        <f t="shared" si="975"/>
        <v>2025</v>
      </c>
      <c r="N3726" s="135">
        <v>2025</v>
      </c>
      <c r="O3726" s="6">
        <f t="shared" si="977"/>
        <v>-2025</v>
      </c>
      <c r="P3726" s="6">
        <f t="shared" si="978"/>
        <v>0</v>
      </c>
      <c r="Q3726" s="7">
        <v>6122936.8500000006</v>
      </c>
      <c r="R3726" s="44" t="str">
        <f>VLOOKUP(F3726,'Set up'!$A$2:$E$70,5,FALSE)</f>
        <v>Chq</v>
      </c>
      <c r="S3726" s="1" t="s">
        <v>3595</v>
      </c>
    </row>
    <row r="3727" spans="1:19" ht="16.25" customHeight="1" x14ac:dyDescent="0.35">
      <c r="A3727" s="140">
        <v>45720</v>
      </c>
      <c r="B3727" s="5">
        <f t="shared" si="972"/>
        <v>3</v>
      </c>
      <c r="C3727" s="5">
        <f t="shared" si="973"/>
        <v>2025</v>
      </c>
      <c r="D3727" s="105" t="s">
        <v>3505</v>
      </c>
      <c r="E3727" s="5" t="str">
        <f>VLOOKUP(F3727,'Set up'!$A$2:$C$70,2,FALSE)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up'!$A$2:$C$70,3,FALSE)</f>
        <v>Cash</v>
      </c>
      <c r="J3727" s="5">
        <f>VLOOKUP(F3727,'Set up'!$A$2:$D$70,4,FALSE)</f>
        <v>0</v>
      </c>
      <c r="K3727" s="4">
        <f t="shared" si="965"/>
        <v>45720</v>
      </c>
      <c r="L3727" s="5">
        <f t="shared" si="974"/>
        <v>3</v>
      </c>
      <c r="M3727" s="5">
        <f t="shared" si="975"/>
        <v>2025</v>
      </c>
      <c r="N3727" s="135">
        <v>2270.4</v>
      </c>
      <c r="O3727" s="6">
        <f t="shared" si="977"/>
        <v>-2270.4</v>
      </c>
      <c r="P3727" s="6">
        <f t="shared" si="978"/>
        <v>0</v>
      </c>
      <c r="Q3727" s="7">
        <v>6125207.2500000009</v>
      </c>
      <c r="R3727" s="44" t="str">
        <f>VLOOKUP(F3727,'Set up'!$A$2:$E$70,5,FALSE)</f>
        <v>Chq</v>
      </c>
      <c r="S3727" s="1" t="s">
        <v>3595</v>
      </c>
    </row>
    <row r="3728" spans="1:19" ht="16.25" customHeight="1" x14ac:dyDescent="0.35">
      <c r="A3728" s="140">
        <v>45720</v>
      </c>
      <c r="B3728" s="5">
        <f t="shared" si="972"/>
        <v>3</v>
      </c>
      <c r="C3728" s="5">
        <f t="shared" si="973"/>
        <v>2025</v>
      </c>
      <c r="D3728" s="105" t="s">
        <v>3505</v>
      </c>
      <c r="E3728" s="5" t="str">
        <f>VLOOKUP(F3728,'Set up'!$A$2:$C$70,2,FALSE)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up'!$A$2:$C$70,3,FALSE)</f>
        <v>Cash</v>
      </c>
      <c r="J3728" s="5">
        <f>VLOOKUP(F3728,'Set up'!$A$2:$D$70,4,FALSE)</f>
        <v>0</v>
      </c>
      <c r="K3728" s="4">
        <f t="shared" si="965"/>
        <v>45720</v>
      </c>
      <c r="L3728" s="5">
        <f t="shared" si="974"/>
        <v>3</v>
      </c>
      <c r="M3728" s="5">
        <f t="shared" si="975"/>
        <v>2025</v>
      </c>
      <c r="N3728" s="135">
        <v>1750</v>
      </c>
      <c r="O3728" s="6">
        <f t="shared" si="977"/>
        <v>-1750</v>
      </c>
      <c r="P3728" s="6">
        <f t="shared" si="978"/>
        <v>0</v>
      </c>
      <c r="Q3728" s="7">
        <v>6126957.2500000009</v>
      </c>
      <c r="R3728" s="44" t="str">
        <f>VLOOKUP(F3728,'Set up'!$A$2:$E$70,5,FALSE)</f>
        <v>Chq</v>
      </c>
      <c r="S3728" s="1" t="s">
        <v>3595</v>
      </c>
    </row>
    <row r="3729" spans="1:19" ht="16.25" customHeight="1" x14ac:dyDescent="0.35">
      <c r="A3729" s="140">
        <v>45720</v>
      </c>
      <c r="B3729" s="5">
        <f t="shared" si="972"/>
        <v>3</v>
      </c>
      <c r="C3729" s="5">
        <f t="shared" si="973"/>
        <v>2025</v>
      </c>
      <c r="D3729" s="105" t="s">
        <v>3505</v>
      </c>
      <c r="E3729" s="5" t="str">
        <f>VLOOKUP(F3729,'Set up'!$A$2:$C$70,2,FALSE)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up'!$A$2:$C$70,3,FALSE)</f>
        <v>Cash</v>
      </c>
      <c r="J3729" s="5">
        <f>VLOOKUP(F3729,'Set up'!$A$2:$D$70,4,FALSE)</f>
        <v>0</v>
      </c>
      <c r="K3729" s="4">
        <f t="shared" si="965"/>
        <v>45720</v>
      </c>
      <c r="L3729" s="5">
        <f t="shared" si="974"/>
        <v>3</v>
      </c>
      <c r="M3729" s="5">
        <f t="shared" si="975"/>
        <v>2025</v>
      </c>
      <c r="N3729" s="135">
        <v>55.2</v>
      </c>
      <c r="O3729" s="6">
        <f t="shared" si="977"/>
        <v>-55.2</v>
      </c>
      <c r="P3729" s="6">
        <f t="shared" si="978"/>
        <v>0</v>
      </c>
      <c r="Q3729" s="7">
        <v>6127012.4500000011</v>
      </c>
      <c r="R3729" s="44" t="str">
        <f>VLOOKUP(F3729,'Set up'!$A$2:$E$70,5,FALSE)</f>
        <v>Chq</v>
      </c>
      <c r="S3729" s="1" t="s">
        <v>3595</v>
      </c>
    </row>
    <row r="3730" spans="1:19" ht="16.25" customHeight="1" x14ac:dyDescent="0.35">
      <c r="A3730" s="140">
        <v>45720</v>
      </c>
      <c r="B3730" s="5">
        <f t="shared" si="972"/>
        <v>3</v>
      </c>
      <c r="C3730" s="5">
        <f t="shared" si="973"/>
        <v>2025</v>
      </c>
      <c r="D3730" s="105" t="s">
        <v>3505</v>
      </c>
      <c r="E3730" s="5" t="str">
        <f>VLOOKUP(F3730,'Set up'!$A$2:$C$70,2,FALSE)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up'!$A$2:$C$70,3,FALSE)</f>
        <v>Cash</v>
      </c>
      <c r="J3730" s="5">
        <f>VLOOKUP(F3730,'Set up'!$A$2:$D$70,4,FALSE)</f>
        <v>0</v>
      </c>
      <c r="K3730" s="4">
        <f t="shared" si="965"/>
        <v>45720</v>
      </c>
      <c r="L3730" s="5">
        <f t="shared" si="974"/>
        <v>3</v>
      </c>
      <c r="M3730" s="5">
        <f t="shared" si="975"/>
        <v>2025</v>
      </c>
      <c r="N3730" s="135">
        <v>1108.4000000000001</v>
      </c>
      <c r="O3730" s="6">
        <f t="shared" si="977"/>
        <v>-1108.4000000000001</v>
      </c>
      <c r="P3730" s="6">
        <f t="shared" si="978"/>
        <v>0</v>
      </c>
      <c r="Q3730" s="7">
        <v>6128120.8500000015</v>
      </c>
      <c r="R3730" s="44" t="str">
        <f>VLOOKUP(F3730,'Set up'!$A$2:$E$70,5,FALSE)</f>
        <v>Chq</v>
      </c>
      <c r="S3730" s="1" t="s">
        <v>3595</v>
      </c>
    </row>
    <row r="3731" spans="1:19" ht="16.25" customHeight="1" x14ac:dyDescent="0.35">
      <c r="A3731" s="140">
        <v>45720</v>
      </c>
      <c r="B3731" s="5">
        <f t="shared" si="972"/>
        <v>3</v>
      </c>
      <c r="C3731" s="5">
        <f t="shared" si="973"/>
        <v>2025</v>
      </c>
      <c r="D3731" s="105" t="s">
        <v>3505</v>
      </c>
      <c r="E3731" s="5" t="str">
        <f>VLOOKUP(F3731,'Set up'!$A$2:$C$70,2,FALSE)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up'!$A$2:$C$70,3,FALSE)</f>
        <v>Cash</v>
      </c>
      <c r="J3731" s="5">
        <f>VLOOKUP(F3731,'Set up'!$A$2:$D$70,4,FALSE)</f>
        <v>0</v>
      </c>
      <c r="K3731" s="4">
        <f t="shared" si="965"/>
        <v>45720</v>
      </c>
      <c r="L3731" s="5">
        <f t="shared" si="974"/>
        <v>3</v>
      </c>
      <c r="M3731" s="5">
        <f t="shared" si="975"/>
        <v>2025</v>
      </c>
      <c r="N3731" s="135">
        <v>260</v>
      </c>
      <c r="O3731" s="6">
        <f t="shared" si="977"/>
        <v>-260</v>
      </c>
      <c r="P3731" s="6">
        <f t="shared" si="978"/>
        <v>0</v>
      </c>
      <c r="Q3731" s="7">
        <v>6128380.8500000015</v>
      </c>
      <c r="R3731" s="44" t="str">
        <f>VLOOKUP(F3731,'Set up'!$A$2:$E$70,5,FALSE)</f>
        <v>Chq</v>
      </c>
      <c r="S3731" s="1" t="s">
        <v>3595</v>
      </c>
    </row>
    <row r="3732" spans="1:19" ht="16.25" customHeight="1" x14ac:dyDescent="0.35">
      <c r="A3732" s="140">
        <v>45720</v>
      </c>
      <c r="B3732" s="5">
        <f t="shared" si="972"/>
        <v>3</v>
      </c>
      <c r="C3732" s="5">
        <f t="shared" si="973"/>
        <v>2025</v>
      </c>
      <c r="D3732" s="105" t="s">
        <v>3505</v>
      </c>
      <c r="E3732" s="5" t="str">
        <f>VLOOKUP(F3732,'Set up'!$A$2:$C$70,2,FALSE)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up'!$A$2:$C$70,3,FALSE)</f>
        <v>Cash</v>
      </c>
      <c r="J3732" s="5">
        <f>VLOOKUP(F3732,'Set up'!$A$2:$D$70,4,FALSE)</f>
        <v>0</v>
      </c>
      <c r="K3732" s="4">
        <f t="shared" si="965"/>
        <v>45720</v>
      </c>
      <c r="L3732" s="5">
        <f t="shared" si="974"/>
        <v>3</v>
      </c>
      <c r="M3732" s="5">
        <f t="shared" si="975"/>
        <v>2025</v>
      </c>
      <c r="N3732" s="135">
        <v>180</v>
      </c>
      <c r="O3732" s="6">
        <f t="shared" si="977"/>
        <v>-180</v>
      </c>
      <c r="P3732" s="6">
        <f t="shared" si="978"/>
        <v>0</v>
      </c>
      <c r="Q3732" s="7">
        <v>6128560.8500000015</v>
      </c>
      <c r="R3732" s="44" t="str">
        <f>VLOOKUP(F3732,'Set up'!$A$2:$E$70,5,FALSE)</f>
        <v>Chq</v>
      </c>
      <c r="S3732" s="1" t="s">
        <v>3595</v>
      </c>
    </row>
    <row r="3733" spans="1:19" ht="16.25" customHeight="1" x14ac:dyDescent="0.35">
      <c r="A3733" s="140">
        <v>45720</v>
      </c>
      <c r="B3733" s="5">
        <f t="shared" si="972"/>
        <v>3</v>
      </c>
      <c r="C3733" s="5">
        <f t="shared" si="973"/>
        <v>2025</v>
      </c>
      <c r="D3733" s="105" t="s">
        <v>3505</v>
      </c>
      <c r="E3733" s="5" t="str">
        <f>VLOOKUP(F3733,'Set up'!$A$2:$C$70,2,FALSE)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up'!$A$2:$C$70,3,FALSE)</f>
        <v>Cash</v>
      </c>
      <c r="J3733" s="5">
        <f>VLOOKUP(F3733,'Set up'!$A$2:$D$70,4,FALSE)</f>
        <v>0</v>
      </c>
      <c r="K3733" s="4">
        <f t="shared" si="965"/>
        <v>45720</v>
      </c>
      <c r="L3733" s="5">
        <f t="shared" si="974"/>
        <v>3</v>
      </c>
      <c r="M3733" s="5">
        <f t="shared" si="975"/>
        <v>2025</v>
      </c>
      <c r="N3733" s="135">
        <v>1290</v>
      </c>
      <c r="O3733" s="6">
        <f t="shared" si="977"/>
        <v>-1290</v>
      </c>
      <c r="P3733" s="6">
        <f t="shared" si="978"/>
        <v>0</v>
      </c>
      <c r="Q3733" s="7">
        <v>6129850.8500000015</v>
      </c>
      <c r="R3733" s="44" t="str">
        <f>VLOOKUP(F3733,'Set up'!$A$2:$E$70,5,FALSE)</f>
        <v>Chq</v>
      </c>
      <c r="S3733" s="1" t="s">
        <v>3595</v>
      </c>
    </row>
    <row r="3734" spans="1:19" ht="16.25" customHeight="1" x14ac:dyDescent="0.35">
      <c r="A3734" s="140">
        <v>45720</v>
      </c>
      <c r="B3734" s="5">
        <f t="shared" si="972"/>
        <v>3</v>
      </c>
      <c r="C3734" s="5">
        <f t="shared" si="973"/>
        <v>2025</v>
      </c>
      <c r="D3734" s="105" t="s">
        <v>3505</v>
      </c>
      <c r="E3734" s="5" t="str">
        <f>VLOOKUP(F3734,'Set up'!$A$2:$C$70,2,FALSE)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up'!$A$2:$C$70,3,FALSE)</f>
        <v>Cash</v>
      </c>
      <c r="J3734" s="5">
        <f>VLOOKUP(F3734,'Set up'!$A$2:$D$70,4,FALSE)</f>
        <v>0</v>
      </c>
      <c r="K3734" s="4">
        <f t="shared" si="965"/>
        <v>45720</v>
      </c>
      <c r="L3734" s="5">
        <f t="shared" si="974"/>
        <v>3</v>
      </c>
      <c r="M3734" s="5">
        <f t="shared" si="975"/>
        <v>2025</v>
      </c>
      <c r="N3734" s="135">
        <v>420</v>
      </c>
      <c r="O3734" s="6">
        <f t="shared" si="977"/>
        <v>-420</v>
      </c>
      <c r="P3734" s="6">
        <f t="shared" si="978"/>
        <v>0</v>
      </c>
      <c r="Q3734" s="7">
        <v>6130270.8500000015</v>
      </c>
      <c r="R3734" s="44" t="str">
        <f>VLOOKUP(F3734,'Set up'!$A$2:$E$70,5,FALSE)</f>
        <v>Chq</v>
      </c>
      <c r="S3734" s="1" t="s">
        <v>3595</v>
      </c>
    </row>
    <row r="3735" spans="1:19" ht="16.25" customHeight="1" x14ac:dyDescent="0.35">
      <c r="A3735" s="140">
        <v>45720</v>
      </c>
      <c r="B3735" s="5">
        <f t="shared" si="972"/>
        <v>3</v>
      </c>
      <c r="C3735" s="5">
        <f t="shared" si="973"/>
        <v>2025</v>
      </c>
      <c r="D3735" s="105" t="s">
        <v>3505</v>
      </c>
      <c r="E3735" s="5" t="str">
        <f>VLOOKUP(F3735,'Set up'!$A$2:$C$70,2,FALSE)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up'!$A$2:$C$70,3,FALSE)</f>
        <v>Cash</v>
      </c>
      <c r="J3735" s="5">
        <f>VLOOKUP(F3735,'Set up'!$A$2:$D$70,4,FALSE)</f>
        <v>0</v>
      </c>
      <c r="K3735" s="4">
        <f t="shared" si="965"/>
        <v>45720</v>
      </c>
      <c r="L3735" s="5">
        <f t="shared" si="974"/>
        <v>3</v>
      </c>
      <c r="M3735" s="5">
        <f t="shared" si="975"/>
        <v>2025</v>
      </c>
      <c r="N3735" s="135">
        <v>345</v>
      </c>
      <c r="O3735" s="6">
        <f t="shared" si="977"/>
        <v>-345</v>
      </c>
      <c r="P3735" s="6">
        <f t="shared" si="978"/>
        <v>0</v>
      </c>
      <c r="Q3735" s="7">
        <v>6130615.8500000015</v>
      </c>
      <c r="R3735" s="44" t="str">
        <f>VLOOKUP(F3735,'Set up'!$A$2:$E$70,5,FALSE)</f>
        <v>Chq</v>
      </c>
      <c r="S3735" s="1" t="s">
        <v>3595</v>
      </c>
    </row>
    <row r="3736" spans="1:19" ht="16.25" customHeight="1" x14ac:dyDescent="0.35">
      <c r="A3736" s="140">
        <v>45720</v>
      </c>
      <c r="B3736" s="5">
        <f t="shared" si="972"/>
        <v>3</v>
      </c>
      <c r="C3736" s="5">
        <f t="shared" si="973"/>
        <v>2025</v>
      </c>
      <c r="D3736" s="105" t="s">
        <v>3505</v>
      </c>
      <c r="E3736" s="5" t="str">
        <f>VLOOKUP(F3736,'Set up'!$A$2:$C$70,2,FALSE)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up'!$A$2:$C$70,3,FALSE)</f>
        <v>Cash</v>
      </c>
      <c r="J3736" s="5">
        <f>VLOOKUP(F3736,'Set up'!$A$2:$D$70,4,FALSE)</f>
        <v>0</v>
      </c>
      <c r="K3736" s="4">
        <f t="shared" si="965"/>
        <v>45720</v>
      </c>
      <c r="L3736" s="5">
        <f t="shared" si="974"/>
        <v>3</v>
      </c>
      <c r="M3736" s="5">
        <f t="shared" si="975"/>
        <v>2025</v>
      </c>
      <c r="N3736" s="135">
        <v>70</v>
      </c>
      <c r="O3736" s="6">
        <f t="shared" si="977"/>
        <v>-70</v>
      </c>
      <c r="P3736" s="6">
        <f t="shared" si="978"/>
        <v>0</v>
      </c>
      <c r="Q3736" s="7">
        <v>6130685.8500000015</v>
      </c>
      <c r="R3736" s="44" t="str">
        <f>VLOOKUP(F3736,'Set up'!$A$2:$E$70,5,FALSE)</f>
        <v>Chq</v>
      </c>
      <c r="S3736" s="1" t="s">
        <v>3595</v>
      </c>
    </row>
    <row r="3737" spans="1:19" ht="16.25" customHeight="1" x14ac:dyDescent="0.35">
      <c r="A3737" s="140">
        <v>45720</v>
      </c>
      <c r="B3737" s="5">
        <f t="shared" si="972"/>
        <v>3</v>
      </c>
      <c r="C3737" s="5">
        <f t="shared" si="973"/>
        <v>2025</v>
      </c>
      <c r="D3737" s="105" t="s">
        <v>3505</v>
      </c>
      <c r="E3737" s="5" t="str">
        <f>VLOOKUP(F3737,'Set up'!$A$2:$C$70,2,FALSE)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up'!$A$2:$C$70,3,FALSE)</f>
        <v>Cash</v>
      </c>
      <c r="J3737" s="5">
        <f>VLOOKUP(F3737,'Set up'!$A$2:$D$70,4,FALSE)</f>
        <v>0</v>
      </c>
      <c r="K3737" s="4">
        <f t="shared" si="965"/>
        <v>45720</v>
      </c>
      <c r="L3737" s="5">
        <f t="shared" si="974"/>
        <v>3</v>
      </c>
      <c r="M3737" s="5">
        <f t="shared" si="975"/>
        <v>2025</v>
      </c>
      <c r="N3737" s="135">
        <v>430</v>
      </c>
      <c r="O3737" s="6">
        <f t="shared" si="977"/>
        <v>-430</v>
      </c>
      <c r="P3737" s="6">
        <f t="shared" si="978"/>
        <v>0</v>
      </c>
      <c r="Q3737" s="7">
        <v>6131115.8500000015</v>
      </c>
      <c r="R3737" s="44" t="str">
        <f>VLOOKUP(F3737,'Set up'!$A$2:$E$70,5,FALSE)</f>
        <v>Chq</v>
      </c>
      <c r="S3737" s="1" t="s">
        <v>3595</v>
      </c>
    </row>
    <row r="3738" spans="1:19" ht="16.25" customHeight="1" x14ac:dyDescent="0.35">
      <c r="A3738" s="140">
        <v>45720</v>
      </c>
      <c r="B3738" s="5">
        <f t="shared" si="972"/>
        <v>3</v>
      </c>
      <c r="C3738" s="5">
        <f t="shared" si="973"/>
        <v>2025</v>
      </c>
      <c r="D3738" s="105" t="s">
        <v>3505</v>
      </c>
      <c r="E3738" s="5" t="str">
        <f>VLOOKUP(F3738,'Set up'!$A$2:$C$70,2,FALSE)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up'!$A$2:$C$70,3,FALSE)</f>
        <v>Cash</v>
      </c>
      <c r="J3738" s="5">
        <f>VLOOKUP(F3738,'Set up'!$A$2:$D$70,4,FALSE)</f>
        <v>0</v>
      </c>
      <c r="K3738" s="4">
        <f t="shared" si="965"/>
        <v>45720</v>
      </c>
      <c r="L3738" s="5">
        <f t="shared" si="974"/>
        <v>3</v>
      </c>
      <c r="M3738" s="5">
        <f t="shared" si="975"/>
        <v>2025</v>
      </c>
      <c r="N3738" s="135">
        <v>280</v>
      </c>
      <c r="O3738" s="6">
        <f t="shared" si="977"/>
        <v>-280</v>
      </c>
      <c r="P3738" s="6">
        <f t="shared" si="978"/>
        <v>0</v>
      </c>
      <c r="Q3738" s="7">
        <v>6131395.8500000015</v>
      </c>
      <c r="R3738" s="44" t="str">
        <f>VLOOKUP(F3738,'Set up'!$A$2:$E$70,5,FALSE)</f>
        <v>Chq</v>
      </c>
      <c r="S3738" s="1" t="s">
        <v>3595</v>
      </c>
    </row>
    <row r="3739" spans="1:19" ht="16.25" customHeight="1" x14ac:dyDescent="0.35">
      <c r="A3739" s="140">
        <v>45720</v>
      </c>
      <c r="B3739" s="5">
        <f t="shared" si="972"/>
        <v>3</v>
      </c>
      <c r="C3739" s="5">
        <f t="shared" si="973"/>
        <v>2025</v>
      </c>
      <c r="D3739" s="105" t="s">
        <v>3516</v>
      </c>
      <c r="E3739" s="5" t="str">
        <f>VLOOKUP(F3739,'Set up'!$A$2:$C$70,2,FALSE)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up'!$A$2:$C$70,3,FALSE)</f>
        <v>Cash</v>
      </c>
      <c r="J3739" s="5">
        <f>VLOOKUP(F3739,'Set up'!$A$2:$D$70,4,FALSE)</f>
        <v>0</v>
      </c>
      <c r="K3739" s="4">
        <f t="shared" si="965"/>
        <v>45720</v>
      </c>
      <c r="L3739" s="5">
        <f t="shared" si="974"/>
        <v>3</v>
      </c>
      <c r="M3739" s="5">
        <f t="shared" si="975"/>
        <v>2025</v>
      </c>
      <c r="N3739" s="135">
        <v>312.5</v>
      </c>
      <c r="O3739" s="6">
        <f t="shared" si="977"/>
        <v>-312.5</v>
      </c>
      <c r="P3739" s="12">
        <f t="shared" si="978"/>
        <v>0</v>
      </c>
      <c r="Q3739" s="7">
        <v>6131708.3500000015</v>
      </c>
      <c r="R3739" s="44" t="str">
        <f>VLOOKUP(F3739,'Set up'!$A$2:$E$70,5,FALSE)</f>
        <v>Trsf</v>
      </c>
      <c r="S3739" s="1" t="s">
        <v>3974</v>
      </c>
    </row>
    <row r="3740" spans="1:19" ht="16.25" customHeight="1" x14ac:dyDescent="0.35">
      <c r="A3740" s="140">
        <v>45720</v>
      </c>
      <c r="B3740" s="5">
        <f t="shared" si="972"/>
        <v>3</v>
      </c>
      <c r="C3740" s="5">
        <f t="shared" si="973"/>
        <v>2025</v>
      </c>
      <c r="D3740" s="105" t="s">
        <v>3517</v>
      </c>
      <c r="E3740" s="5" t="str">
        <f>VLOOKUP(F3740,'Set up'!$A$2:$C$70,2,FALSE)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up'!$A$2:$C$70,3,FALSE)</f>
        <v>Cash</v>
      </c>
      <c r="J3740" s="5">
        <f>VLOOKUP(F3740,'Set up'!$A$2:$D$70,4,FALSE)</f>
        <v>0</v>
      </c>
      <c r="K3740" s="4">
        <f t="shared" si="965"/>
        <v>45720</v>
      </c>
      <c r="L3740" s="5">
        <f t="shared" si="974"/>
        <v>3</v>
      </c>
      <c r="M3740" s="5">
        <f t="shared" si="975"/>
        <v>2025</v>
      </c>
      <c r="N3740" s="135">
        <v>16200</v>
      </c>
      <c r="O3740" s="141">
        <f>-5171.6-11028.4</f>
        <v>-16200</v>
      </c>
      <c r="P3740" s="12">
        <f t="shared" si="978"/>
        <v>0</v>
      </c>
      <c r="Q3740" s="7">
        <v>6147908.3500000015</v>
      </c>
      <c r="R3740" s="44" t="str">
        <f>VLOOKUP(F3740,'Set up'!$A$2:$E$70,5,FALSE)</f>
        <v>Trsf</v>
      </c>
      <c r="S3740" s="1" t="s">
        <v>3975</v>
      </c>
    </row>
    <row r="3741" spans="1:19" ht="16.25" customHeight="1" x14ac:dyDescent="0.35">
      <c r="A3741" s="140">
        <v>45720</v>
      </c>
      <c r="B3741" s="5">
        <f t="shared" si="972"/>
        <v>3</v>
      </c>
      <c r="C3741" s="5">
        <f t="shared" si="973"/>
        <v>2025</v>
      </c>
      <c r="D3741" s="105" t="s">
        <v>3517</v>
      </c>
      <c r="E3741" s="5" t="str">
        <f>VLOOKUP(F3741,'Set up'!$A$2:$C$70,2,FALSE)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up'!$A$2:$C$70,3,FALSE)</f>
        <v>Cash</v>
      </c>
      <c r="J3741" s="5">
        <f>VLOOKUP(F3741,'Set up'!$A$2:$D$70,4,FALSE)</f>
        <v>0</v>
      </c>
      <c r="K3741" s="4">
        <f t="shared" si="965"/>
        <v>45720</v>
      </c>
      <c r="L3741" s="5">
        <f t="shared" si="974"/>
        <v>3</v>
      </c>
      <c r="M3741" s="5">
        <f t="shared" si="975"/>
        <v>2025</v>
      </c>
      <c r="N3741" s="135">
        <v>6438</v>
      </c>
      <c r="O3741" s="141">
        <f>-5971.6-466.4</f>
        <v>-6438</v>
      </c>
      <c r="P3741" s="12">
        <f t="shared" si="978"/>
        <v>0</v>
      </c>
      <c r="Q3741" s="7">
        <v>6154346.3500000015</v>
      </c>
      <c r="R3741" s="44" t="str">
        <f>VLOOKUP(F3741,'Set up'!$A$2:$E$70,5,FALSE)</f>
        <v>Trsf</v>
      </c>
      <c r="S3741" s="1" t="s">
        <v>3976</v>
      </c>
    </row>
    <row r="3742" spans="1:19" ht="16.25" customHeight="1" x14ac:dyDescent="0.35">
      <c r="A3742" s="140">
        <v>45720</v>
      </c>
      <c r="B3742" s="5">
        <f t="shared" si="972"/>
        <v>3</v>
      </c>
      <c r="C3742" s="5">
        <f t="shared" si="973"/>
        <v>2025</v>
      </c>
      <c r="D3742" s="105" t="s">
        <v>3517</v>
      </c>
      <c r="E3742" s="5" t="str">
        <f>VLOOKUP(F3742,'Set up'!$A$2:$C$70,2,FALSE)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up'!$A$2:$C$70,3,FALSE)</f>
        <v>Cash</v>
      </c>
      <c r="J3742" s="5">
        <f>VLOOKUP(F3742,'Set up'!$A$2:$D$70,4,FALSE)</f>
        <v>0</v>
      </c>
      <c r="K3742" s="4">
        <f t="shared" si="965"/>
        <v>45720</v>
      </c>
      <c r="L3742" s="5">
        <f t="shared" si="974"/>
        <v>3</v>
      </c>
      <c r="M3742" s="5">
        <f t="shared" si="975"/>
        <v>2025</v>
      </c>
      <c r="N3742" s="135">
        <v>3712.5</v>
      </c>
      <c r="O3742" s="6">
        <f t="shared" ref="O3742:O3744" si="979">-N3742</f>
        <v>-3712.5</v>
      </c>
      <c r="P3742" s="12">
        <f t="shared" si="978"/>
        <v>0</v>
      </c>
      <c r="Q3742" s="7">
        <v>6158058.8500000015</v>
      </c>
      <c r="R3742" s="44" t="str">
        <f>VLOOKUP(F3742,'Set up'!$A$2:$E$70,5,FALSE)</f>
        <v>Trsf</v>
      </c>
      <c r="S3742" s="1" t="s">
        <v>3977</v>
      </c>
    </row>
    <row r="3743" spans="1:19" ht="16.25" customHeight="1" x14ac:dyDescent="0.35">
      <c r="A3743" s="140">
        <v>45720</v>
      </c>
      <c r="B3743" s="5">
        <f t="shared" si="972"/>
        <v>3</v>
      </c>
      <c r="C3743" s="5">
        <f t="shared" si="973"/>
        <v>2025</v>
      </c>
      <c r="D3743" s="105" t="s">
        <v>3517</v>
      </c>
      <c r="E3743" s="5" t="str">
        <f>VLOOKUP(F3743,'Set up'!$A$2:$C$70,2,FALSE)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up'!$A$2:$C$70,3,FALSE)</f>
        <v>Cash</v>
      </c>
      <c r="J3743" s="5">
        <f>VLOOKUP(F3743,'Set up'!$A$2:$D$70,4,FALSE)</f>
        <v>0</v>
      </c>
      <c r="K3743" s="4">
        <f t="shared" si="965"/>
        <v>45720</v>
      </c>
      <c r="L3743" s="5">
        <f t="shared" si="974"/>
        <v>3</v>
      </c>
      <c r="M3743" s="5">
        <f t="shared" si="975"/>
        <v>2025</v>
      </c>
      <c r="N3743" s="135">
        <v>460</v>
      </c>
      <c r="O3743" s="6">
        <f t="shared" si="979"/>
        <v>-460</v>
      </c>
      <c r="P3743" s="12">
        <f t="shared" si="978"/>
        <v>0</v>
      </c>
      <c r="Q3743" s="7">
        <v>6158518.8500000015</v>
      </c>
      <c r="R3743" s="44" t="str">
        <f>VLOOKUP(F3743,'Set up'!$A$2:$E$70,5,FALSE)</f>
        <v>Trsf</v>
      </c>
      <c r="S3743" s="1" t="s">
        <v>3978</v>
      </c>
    </row>
    <row r="3744" spans="1:19" ht="16.25" customHeight="1" x14ac:dyDescent="0.35">
      <c r="A3744" s="140">
        <v>45720</v>
      </c>
      <c r="B3744" s="5">
        <f t="shared" si="972"/>
        <v>3</v>
      </c>
      <c r="C3744" s="5">
        <f t="shared" si="973"/>
        <v>2025</v>
      </c>
      <c r="D3744" s="105" t="s">
        <v>3517</v>
      </c>
      <c r="E3744" s="5" t="str">
        <f>VLOOKUP(F3744,'Set up'!$A$2:$C$70,2,FALSE)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up'!$A$2:$C$70,3,FALSE)</f>
        <v>Cash</v>
      </c>
      <c r="J3744" s="5">
        <f>VLOOKUP(F3744,'Set up'!$A$2:$D$70,4,FALSE)</f>
        <v>0</v>
      </c>
      <c r="K3744" s="4">
        <f t="shared" si="965"/>
        <v>45720</v>
      </c>
      <c r="L3744" s="5">
        <f t="shared" si="974"/>
        <v>3</v>
      </c>
      <c r="M3744" s="5">
        <f t="shared" si="975"/>
        <v>2025</v>
      </c>
      <c r="N3744" s="135">
        <v>2000</v>
      </c>
      <c r="O3744" s="6">
        <f t="shared" si="979"/>
        <v>-2000</v>
      </c>
      <c r="P3744" s="12">
        <f t="shared" si="978"/>
        <v>0</v>
      </c>
      <c r="Q3744" s="7">
        <v>6160518.8500000015</v>
      </c>
      <c r="R3744" s="44" t="str">
        <f>VLOOKUP(F3744,'Set up'!$A$2:$E$70,5,FALSE)</f>
        <v>Trsf</v>
      </c>
      <c r="S3744" s="1" t="s">
        <v>3979</v>
      </c>
    </row>
    <row r="3745" spans="1:19" ht="16.25" customHeight="1" x14ac:dyDescent="0.35">
      <c r="A3745" s="140">
        <v>45722</v>
      </c>
      <c r="B3745" s="5">
        <f t="shared" si="972"/>
        <v>3</v>
      </c>
      <c r="C3745" s="5">
        <f t="shared" si="973"/>
        <v>2025</v>
      </c>
      <c r="D3745" s="105" t="s">
        <v>3518</v>
      </c>
      <c r="E3745" s="5" t="str">
        <f>VLOOKUP(F3745,'Set up'!$A$2:$C$70,2,FALSE)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up'!$A$2:$C$70,3,FALSE)</f>
        <v>Cash</v>
      </c>
      <c r="J3745" s="5">
        <f>VLOOKUP(F3745,'Set up'!$A$2:$D$70,4,FALSE)</f>
        <v>0</v>
      </c>
      <c r="K3745" s="4">
        <f t="shared" si="965"/>
        <v>45722</v>
      </c>
      <c r="L3745" s="5">
        <f t="shared" si="974"/>
        <v>3</v>
      </c>
      <c r="M3745" s="5">
        <f t="shared" si="975"/>
        <v>2025</v>
      </c>
      <c r="N3745" s="135">
        <v>390</v>
      </c>
      <c r="O3745" s="141"/>
      <c r="P3745" s="12">
        <f t="shared" si="978"/>
        <v>390</v>
      </c>
      <c r="Q3745" s="7">
        <v>6160908.8500000015</v>
      </c>
      <c r="R3745" s="44" t="str">
        <f>VLOOKUP(F3745,'Set up'!$A$2:$E$70,5,FALSE)</f>
        <v>Trsf</v>
      </c>
    </row>
    <row r="3746" spans="1:19" ht="16.25" customHeight="1" x14ac:dyDescent="0.35">
      <c r="A3746" s="140">
        <v>45722</v>
      </c>
      <c r="B3746" s="5">
        <f t="shared" si="972"/>
        <v>3</v>
      </c>
      <c r="C3746" s="5">
        <f t="shared" si="973"/>
        <v>2025</v>
      </c>
      <c r="D3746" s="105" t="s">
        <v>3518</v>
      </c>
      <c r="E3746" s="5" t="str">
        <f>VLOOKUP(F3746,'Set up'!$A$2:$C$70,2,FALSE)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up'!$A$2:$C$70,3,FALSE)</f>
        <v>Cash</v>
      </c>
      <c r="J3746" s="5">
        <f>VLOOKUP(F3746,'Set up'!$A$2:$D$70,4,FALSE)</f>
        <v>0</v>
      </c>
      <c r="K3746" s="4">
        <f t="shared" si="965"/>
        <v>45722</v>
      </c>
      <c r="L3746" s="5">
        <f t="shared" si="974"/>
        <v>3</v>
      </c>
      <c r="M3746" s="5">
        <f t="shared" si="975"/>
        <v>2025</v>
      </c>
      <c r="N3746" s="135">
        <v>1755</v>
      </c>
      <c r="O3746" s="141"/>
      <c r="P3746" s="12">
        <f t="shared" si="978"/>
        <v>1755</v>
      </c>
      <c r="Q3746" s="7">
        <v>6162663.8500000015</v>
      </c>
      <c r="R3746" s="44" t="str">
        <f>VLOOKUP(F3746,'Set up'!$A$2:$E$70,5,FALSE)</f>
        <v>Trsf</v>
      </c>
    </row>
    <row r="3747" spans="1:19" ht="16.25" customHeight="1" x14ac:dyDescent="0.35">
      <c r="A3747" s="140">
        <v>45722</v>
      </c>
      <c r="B3747" s="5">
        <f t="shared" si="972"/>
        <v>3</v>
      </c>
      <c r="C3747" s="5">
        <f t="shared" si="973"/>
        <v>2025</v>
      </c>
      <c r="D3747" s="105" t="s">
        <v>3518</v>
      </c>
      <c r="E3747" s="5" t="str">
        <f>VLOOKUP(F3747,'Set up'!$A$2:$C$70,2,FALSE)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up'!$A$2:$C$70,3,FALSE)</f>
        <v>Cash</v>
      </c>
      <c r="J3747" s="5">
        <f>VLOOKUP(F3747,'Set up'!$A$2:$D$70,4,FALSE)</f>
        <v>0</v>
      </c>
      <c r="K3747" s="4">
        <f t="shared" si="965"/>
        <v>45722</v>
      </c>
      <c r="L3747" s="5">
        <f t="shared" si="974"/>
        <v>3</v>
      </c>
      <c r="M3747" s="5">
        <f t="shared" si="975"/>
        <v>2025</v>
      </c>
      <c r="N3747" s="135">
        <v>405</v>
      </c>
      <c r="O3747" s="141"/>
      <c r="P3747" s="12">
        <f t="shared" si="978"/>
        <v>405</v>
      </c>
      <c r="Q3747" s="7">
        <v>6163068.8500000015</v>
      </c>
      <c r="R3747" s="44" t="str">
        <f>VLOOKUP(F3747,'Set up'!$A$2:$E$70,5,FALSE)</f>
        <v>Trsf</v>
      </c>
    </row>
    <row r="3748" spans="1:19" ht="16.25" customHeight="1" x14ac:dyDescent="0.35">
      <c r="A3748" s="140">
        <v>45722</v>
      </c>
      <c r="B3748" s="5">
        <f t="shared" si="972"/>
        <v>3</v>
      </c>
      <c r="C3748" s="5">
        <f t="shared" si="973"/>
        <v>2025</v>
      </c>
      <c r="D3748" s="105" t="s">
        <v>3518</v>
      </c>
      <c r="E3748" s="5" t="str">
        <f>VLOOKUP(F3748,'Set up'!$A$2:$C$70,2,FALSE)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up'!$A$2:$C$70,3,FALSE)</f>
        <v>Cash</v>
      </c>
      <c r="J3748" s="5">
        <f>VLOOKUP(F3748,'Set up'!$A$2:$D$70,4,FALSE)</f>
        <v>0</v>
      </c>
      <c r="K3748" s="4">
        <f t="shared" ref="K3748:K3811" si="980">A3748+J3748</f>
        <v>45722</v>
      </c>
      <c r="L3748" s="5">
        <f t="shared" si="974"/>
        <v>3</v>
      </c>
      <c r="M3748" s="5">
        <f t="shared" si="975"/>
        <v>2025</v>
      </c>
      <c r="N3748" s="135">
        <v>187.5</v>
      </c>
      <c r="O3748" s="141"/>
      <c r="P3748" s="12">
        <f t="shared" si="978"/>
        <v>187.5</v>
      </c>
      <c r="Q3748" s="7">
        <v>6163256.3500000015</v>
      </c>
      <c r="R3748" s="44" t="str">
        <f>VLOOKUP(F3748,'Set up'!$A$2:$E$70,5,FALSE)</f>
        <v>Trsf</v>
      </c>
    </row>
    <row r="3749" spans="1:19" ht="16.25" customHeight="1" x14ac:dyDescent="0.35">
      <c r="A3749" s="140">
        <v>45722</v>
      </c>
      <c r="B3749" s="5">
        <f t="shared" si="972"/>
        <v>3</v>
      </c>
      <c r="C3749" s="5">
        <f t="shared" si="973"/>
        <v>2025</v>
      </c>
      <c r="D3749" s="105" t="s">
        <v>3518</v>
      </c>
      <c r="E3749" s="5" t="str">
        <f>VLOOKUP(F3749,'Set up'!$A$2:$C$70,2,FALSE)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up'!$A$2:$C$70,3,FALSE)</f>
        <v>Cash</v>
      </c>
      <c r="J3749" s="5">
        <f>VLOOKUP(F3749,'Set up'!$A$2:$D$70,4,FALSE)</f>
        <v>0</v>
      </c>
      <c r="K3749" s="4">
        <f t="shared" si="980"/>
        <v>45722</v>
      </c>
      <c r="L3749" s="5">
        <f t="shared" si="974"/>
        <v>3</v>
      </c>
      <c r="M3749" s="5">
        <f t="shared" si="975"/>
        <v>2025</v>
      </c>
      <c r="N3749" s="135">
        <v>150</v>
      </c>
      <c r="O3749" s="141"/>
      <c r="P3749" s="12">
        <f t="shared" si="978"/>
        <v>150</v>
      </c>
      <c r="Q3749" s="7">
        <v>6163406.3500000015</v>
      </c>
      <c r="R3749" s="44" t="str">
        <f>VLOOKUP(F3749,'Set up'!$A$2:$E$70,5,FALSE)</f>
        <v>Trsf</v>
      </c>
    </row>
    <row r="3750" spans="1:19" ht="16.25" customHeight="1" x14ac:dyDescent="0.35">
      <c r="A3750" s="140">
        <v>45722</v>
      </c>
      <c r="B3750" s="5">
        <f t="shared" si="972"/>
        <v>3</v>
      </c>
      <c r="C3750" s="5">
        <f t="shared" si="973"/>
        <v>2025</v>
      </c>
      <c r="D3750" s="105" t="s">
        <v>3518</v>
      </c>
      <c r="E3750" s="5" t="str">
        <f>VLOOKUP(F3750,'Set up'!$A$2:$C$70,2,FALSE)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up'!$A$2:$C$70,3,FALSE)</f>
        <v>Cash</v>
      </c>
      <c r="J3750" s="5">
        <f>VLOOKUP(F3750,'Set up'!$A$2:$D$70,4,FALSE)</f>
        <v>0</v>
      </c>
      <c r="K3750" s="4">
        <f t="shared" si="980"/>
        <v>45722</v>
      </c>
      <c r="L3750" s="5">
        <f t="shared" si="974"/>
        <v>3</v>
      </c>
      <c r="M3750" s="5">
        <f t="shared" si="975"/>
        <v>2025</v>
      </c>
      <c r="N3750" s="135">
        <v>260</v>
      </c>
      <c r="O3750" s="141"/>
      <c r="P3750" s="12">
        <f t="shared" si="978"/>
        <v>260</v>
      </c>
      <c r="Q3750" s="7">
        <v>6163666.3500000015</v>
      </c>
      <c r="R3750" s="44" t="str">
        <f>VLOOKUP(F3750,'Set up'!$A$2:$E$70,5,FALSE)</f>
        <v>Trsf</v>
      </c>
    </row>
    <row r="3751" spans="1:19" ht="16.25" customHeight="1" x14ac:dyDescent="0.35">
      <c r="A3751" s="140">
        <v>45722</v>
      </c>
      <c r="B3751" s="5">
        <f t="shared" si="972"/>
        <v>3</v>
      </c>
      <c r="C3751" s="5">
        <f t="shared" si="973"/>
        <v>2025</v>
      </c>
      <c r="D3751" s="105" t="s">
        <v>3518</v>
      </c>
      <c r="E3751" s="5" t="str">
        <f>VLOOKUP(F3751,'Set up'!$A$2:$C$70,2,FALSE)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up'!$A$2:$C$70,3,FALSE)</f>
        <v>Cash</v>
      </c>
      <c r="J3751" s="5">
        <f>VLOOKUP(F3751,'Set up'!$A$2:$D$70,4,FALSE)</f>
        <v>0</v>
      </c>
      <c r="K3751" s="4">
        <f t="shared" si="980"/>
        <v>45722</v>
      </c>
      <c r="L3751" s="5">
        <f t="shared" si="974"/>
        <v>3</v>
      </c>
      <c r="M3751" s="5">
        <f t="shared" si="975"/>
        <v>2025</v>
      </c>
      <c r="N3751" s="135">
        <v>110</v>
      </c>
      <c r="O3751" s="141"/>
      <c r="P3751" s="12">
        <f t="shared" si="978"/>
        <v>110</v>
      </c>
      <c r="Q3751" s="7">
        <v>6163776.3500000015</v>
      </c>
      <c r="R3751" s="44" t="str">
        <f>VLOOKUP(F3751,'Set up'!$A$2:$E$70,5,FALSE)</f>
        <v>Trsf</v>
      </c>
    </row>
    <row r="3752" spans="1:19" ht="16.25" customHeight="1" x14ac:dyDescent="0.35">
      <c r="A3752" s="140">
        <v>45723</v>
      </c>
      <c r="B3752" s="5">
        <f t="shared" si="972"/>
        <v>3</v>
      </c>
      <c r="C3752" s="5">
        <f t="shared" si="973"/>
        <v>2025</v>
      </c>
      <c r="D3752" s="105" t="s">
        <v>3520</v>
      </c>
      <c r="E3752" s="5" t="str">
        <f>VLOOKUP(F3752,'Set up'!$A$2:$C$70,2,FALSE)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up'!$A$2:$C$70,3,FALSE)</f>
        <v>30</v>
      </c>
      <c r="J3752" s="5">
        <f>VLOOKUP(F3752,'Set up'!$A$2:$D$70,4,FALSE)</f>
        <v>30</v>
      </c>
      <c r="K3752" s="4">
        <f t="shared" si="980"/>
        <v>45753</v>
      </c>
      <c r="L3752" s="5">
        <f t="shared" si="974"/>
        <v>4</v>
      </c>
      <c r="M3752" s="5">
        <f t="shared" si="975"/>
        <v>2025</v>
      </c>
      <c r="N3752" s="135">
        <v>144</v>
      </c>
      <c r="O3752" s="6">
        <f t="shared" ref="O3752:O3754" si="981">-N3752</f>
        <v>-144</v>
      </c>
      <c r="P3752" s="12">
        <f t="shared" si="978"/>
        <v>0</v>
      </c>
      <c r="Q3752" s="7">
        <v>6163920.3500000015</v>
      </c>
      <c r="R3752" s="44" t="str">
        <f>VLOOKUP(F3752,'Set up'!$A$2:$E$70,5,FALSE)</f>
        <v>Chq</v>
      </c>
      <c r="S3752" s="1" t="s">
        <v>3598</v>
      </c>
    </row>
    <row r="3753" spans="1:19" ht="16.25" customHeight="1" x14ac:dyDescent="0.35">
      <c r="A3753" s="140">
        <v>45723</v>
      </c>
      <c r="B3753" s="5">
        <f t="shared" si="972"/>
        <v>3</v>
      </c>
      <c r="C3753" s="5">
        <f t="shared" si="973"/>
        <v>2025</v>
      </c>
      <c r="D3753" s="105" t="s">
        <v>3521</v>
      </c>
      <c r="E3753" s="5" t="str">
        <f>VLOOKUP(F3753,'Set up'!$A$2:$C$70,2,FALSE)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up'!$A$2:$C$70,3,FALSE)</f>
        <v>Cash</v>
      </c>
      <c r="J3753" s="5">
        <f>VLOOKUP(F3753,'Set up'!$A$2:$D$70,4,FALSE)</f>
        <v>0</v>
      </c>
      <c r="K3753" s="4">
        <f t="shared" si="980"/>
        <v>45723</v>
      </c>
      <c r="L3753" s="5">
        <f t="shared" si="974"/>
        <v>3</v>
      </c>
      <c r="M3753" s="5">
        <f t="shared" si="975"/>
        <v>2025</v>
      </c>
      <c r="N3753" s="135">
        <v>460</v>
      </c>
      <c r="O3753" s="6">
        <f t="shared" si="981"/>
        <v>-460</v>
      </c>
      <c r="P3753" s="12">
        <f t="shared" si="978"/>
        <v>0</v>
      </c>
      <c r="Q3753" s="7">
        <v>6164380.3500000015</v>
      </c>
      <c r="R3753" s="44" t="str">
        <f>VLOOKUP(F3753,'Set up'!$A$2:$E$70,5,FALSE)</f>
        <v>Trsf</v>
      </c>
      <c r="S3753" s="1" t="s">
        <v>3978</v>
      </c>
    </row>
    <row r="3754" spans="1:19" ht="16.25" customHeight="1" x14ac:dyDescent="0.35">
      <c r="A3754" s="140">
        <v>45726</v>
      </c>
      <c r="B3754" s="5">
        <f t="shared" si="972"/>
        <v>3</v>
      </c>
      <c r="C3754" s="5">
        <f t="shared" si="973"/>
        <v>2025</v>
      </c>
      <c r="D3754" s="105" t="s">
        <v>3522</v>
      </c>
      <c r="E3754" s="5" t="str">
        <f>VLOOKUP(F3754,'Set up'!$A$2:$C$70,2,FALSE)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up'!$A$2:$C$70,3,FALSE)</f>
        <v>Cash</v>
      </c>
      <c r="J3754" s="5">
        <f>VLOOKUP(F3754,'Set up'!$A$2:$D$70,4,FALSE)</f>
        <v>0</v>
      </c>
      <c r="K3754" s="4">
        <f t="shared" si="980"/>
        <v>45726</v>
      </c>
      <c r="L3754" s="5">
        <f t="shared" si="974"/>
        <v>3</v>
      </c>
      <c r="M3754" s="5">
        <f t="shared" si="975"/>
        <v>2025</v>
      </c>
      <c r="N3754" s="135">
        <v>125</v>
      </c>
      <c r="O3754" s="6">
        <f t="shared" si="981"/>
        <v>-125</v>
      </c>
      <c r="P3754" s="12">
        <f t="shared" si="978"/>
        <v>0</v>
      </c>
      <c r="Q3754" s="7">
        <v>6164505.3500000015</v>
      </c>
      <c r="R3754" s="44" t="str">
        <f>VLOOKUP(F3754,'Set up'!$A$2:$E$70,5,FALSE)</f>
        <v>Trsf</v>
      </c>
      <c r="S3754" s="1" t="s">
        <v>3980</v>
      </c>
    </row>
    <row r="3755" spans="1:19" ht="16.25" customHeight="1" x14ac:dyDescent="0.35">
      <c r="A3755" s="140">
        <v>45726</v>
      </c>
      <c r="B3755" s="5">
        <f t="shared" si="972"/>
        <v>3</v>
      </c>
      <c r="C3755" s="5">
        <f t="shared" si="973"/>
        <v>2025</v>
      </c>
      <c r="D3755" s="105" t="s">
        <v>3523</v>
      </c>
      <c r="E3755" s="5" t="str">
        <f>VLOOKUP(F3755,'Set up'!$A$2:$C$70,2,FALSE)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up'!$A$2:$C$70,3,FALSE)</f>
        <v>Cash</v>
      </c>
      <c r="J3755" s="5">
        <f>VLOOKUP(F3755,'Set up'!$A$2:$D$70,4,FALSE)</f>
        <v>0</v>
      </c>
      <c r="K3755" s="4">
        <f t="shared" si="980"/>
        <v>45726</v>
      </c>
      <c r="L3755" s="5">
        <f t="shared" si="974"/>
        <v>3</v>
      </c>
      <c r="M3755" s="5">
        <f t="shared" si="975"/>
        <v>2025</v>
      </c>
      <c r="N3755" s="135">
        <v>8100</v>
      </c>
      <c r="O3755" s="141">
        <f>-7776.1-323.9</f>
        <v>-8100</v>
      </c>
      <c r="P3755" s="12">
        <f t="shared" si="978"/>
        <v>0</v>
      </c>
      <c r="Q3755" s="7">
        <v>6172605.3500000015</v>
      </c>
      <c r="R3755" s="44" t="str">
        <f>VLOOKUP(F3755,'Set up'!$A$2:$E$70,5,FALSE)</f>
        <v>Trsf</v>
      </c>
      <c r="S3755" s="1" t="s">
        <v>3981</v>
      </c>
    </row>
    <row r="3756" spans="1:19" ht="16.25" customHeight="1" x14ac:dyDescent="0.35">
      <c r="A3756" s="140">
        <v>45726</v>
      </c>
      <c r="B3756" s="5">
        <f t="shared" si="972"/>
        <v>3</v>
      </c>
      <c r="C3756" s="5">
        <f t="shared" si="973"/>
        <v>2025</v>
      </c>
      <c r="D3756" s="105" t="s">
        <v>3523</v>
      </c>
      <c r="E3756" s="5" t="str">
        <f>VLOOKUP(F3756,'Set up'!$A$2:$C$70,2,FALSE)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up'!$A$2:$C$70,3,FALSE)</f>
        <v>Cash</v>
      </c>
      <c r="J3756" s="5">
        <f>VLOOKUP(F3756,'Set up'!$A$2:$D$70,4,FALSE)</f>
        <v>0</v>
      </c>
      <c r="K3756" s="4">
        <f t="shared" si="980"/>
        <v>45726</v>
      </c>
      <c r="L3756" s="5">
        <f t="shared" si="974"/>
        <v>3</v>
      </c>
      <c r="M3756" s="5">
        <f t="shared" si="975"/>
        <v>2025</v>
      </c>
      <c r="N3756" s="135">
        <v>3219</v>
      </c>
      <c r="O3756" s="6">
        <f t="shared" ref="O3756:O3759" si="982">-N3756</f>
        <v>-3219</v>
      </c>
      <c r="P3756" s="12">
        <f t="shared" si="978"/>
        <v>0</v>
      </c>
      <c r="Q3756" s="7">
        <v>6175824.3500000015</v>
      </c>
      <c r="R3756" s="44" t="str">
        <f>VLOOKUP(F3756,'Set up'!$A$2:$E$70,5,FALSE)</f>
        <v>Trsf</v>
      </c>
      <c r="S3756" s="1" t="s">
        <v>3982</v>
      </c>
    </row>
    <row r="3757" spans="1:19" ht="16.25" customHeight="1" x14ac:dyDescent="0.35">
      <c r="A3757" s="140">
        <v>45726</v>
      </c>
      <c r="B3757" s="5">
        <f t="shared" si="972"/>
        <v>3</v>
      </c>
      <c r="C3757" s="5">
        <f t="shared" si="973"/>
        <v>2025</v>
      </c>
      <c r="D3757" s="105" t="s">
        <v>3523</v>
      </c>
      <c r="E3757" s="5" t="str">
        <f>VLOOKUP(F3757,'Set up'!$A$2:$C$70,2,FALSE)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up'!$A$2:$C$70,3,FALSE)</f>
        <v>Cash</v>
      </c>
      <c r="J3757" s="5">
        <f>VLOOKUP(F3757,'Set up'!$A$2:$D$70,4,FALSE)</f>
        <v>0</v>
      </c>
      <c r="K3757" s="4">
        <f t="shared" si="980"/>
        <v>45726</v>
      </c>
      <c r="L3757" s="5">
        <f t="shared" si="974"/>
        <v>3</v>
      </c>
      <c r="M3757" s="5">
        <f t="shared" si="975"/>
        <v>2025</v>
      </c>
      <c r="N3757" s="135">
        <v>1980</v>
      </c>
      <c r="O3757" s="6">
        <f t="shared" si="982"/>
        <v>-1980</v>
      </c>
      <c r="P3757" s="12">
        <f t="shared" si="978"/>
        <v>0</v>
      </c>
      <c r="Q3757" s="7">
        <v>6177804.3500000015</v>
      </c>
      <c r="R3757" s="44" t="str">
        <f>VLOOKUP(F3757,'Set up'!$A$2:$E$70,5,FALSE)</f>
        <v>Trsf</v>
      </c>
      <c r="S3757" s="1" t="s">
        <v>3983</v>
      </c>
    </row>
    <row r="3758" spans="1:19" ht="16.25" customHeight="1" x14ac:dyDescent="0.35">
      <c r="A3758" s="140">
        <v>45726</v>
      </c>
      <c r="B3758" s="5">
        <f t="shared" si="972"/>
        <v>3</v>
      </c>
      <c r="C3758" s="5">
        <f t="shared" si="973"/>
        <v>2025</v>
      </c>
      <c r="D3758" s="105" t="s">
        <v>3523</v>
      </c>
      <c r="E3758" s="5" t="str">
        <f>VLOOKUP(F3758,'Set up'!$A$2:$C$70,2,FALSE)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up'!$A$2:$C$70,3,FALSE)</f>
        <v>Cash</v>
      </c>
      <c r="J3758" s="5">
        <f>VLOOKUP(F3758,'Set up'!$A$2:$D$70,4,FALSE)</f>
        <v>0</v>
      </c>
      <c r="K3758" s="4">
        <f t="shared" si="980"/>
        <v>45726</v>
      </c>
      <c r="L3758" s="5">
        <f t="shared" si="974"/>
        <v>3</v>
      </c>
      <c r="M3758" s="5">
        <f t="shared" si="975"/>
        <v>2025</v>
      </c>
      <c r="N3758" s="135">
        <v>460</v>
      </c>
      <c r="O3758" s="6">
        <f t="shared" si="982"/>
        <v>-460</v>
      </c>
      <c r="P3758" s="12">
        <f t="shared" si="978"/>
        <v>0</v>
      </c>
      <c r="Q3758" s="7">
        <v>6178264.3500000015</v>
      </c>
      <c r="R3758" s="44" t="str">
        <f>VLOOKUP(F3758,'Set up'!$A$2:$E$70,5,FALSE)</f>
        <v>Trsf</v>
      </c>
      <c r="S3758" s="1" t="s">
        <v>3984</v>
      </c>
    </row>
    <row r="3759" spans="1:19" ht="16.25" customHeight="1" x14ac:dyDescent="0.35">
      <c r="A3759" s="140">
        <v>45726</v>
      </c>
      <c r="B3759" s="5">
        <f t="shared" si="972"/>
        <v>3</v>
      </c>
      <c r="C3759" s="5">
        <f t="shared" si="973"/>
        <v>2025</v>
      </c>
      <c r="D3759" s="105" t="s">
        <v>3523</v>
      </c>
      <c r="E3759" s="5" t="str">
        <f>VLOOKUP(F3759,'Set up'!$A$2:$C$70,2,FALSE)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up'!$A$2:$C$70,3,FALSE)</f>
        <v>Cash</v>
      </c>
      <c r="J3759" s="5">
        <f>VLOOKUP(F3759,'Set up'!$A$2:$D$70,4,FALSE)</f>
        <v>0</v>
      </c>
      <c r="K3759" s="4">
        <f t="shared" si="980"/>
        <v>45726</v>
      </c>
      <c r="L3759" s="5">
        <f t="shared" si="974"/>
        <v>3</v>
      </c>
      <c r="M3759" s="5">
        <f t="shared" si="975"/>
        <v>2025</v>
      </c>
      <c r="N3759" s="135">
        <v>1000</v>
      </c>
      <c r="O3759" s="6">
        <f t="shared" si="982"/>
        <v>-1000</v>
      </c>
      <c r="P3759" s="12">
        <f t="shared" si="978"/>
        <v>0</v>
      </c>
      <c r="Q3759" s="7">
        <v>6179264.3500000015</v>
      </c>
      <c r="R3759" s="44" t="str">
        <f>VLOOKUP(F3759,'Set up'!$A$2:$E$70,5,FALSE)</f>
        <v>Trsf</v>
      </c>
      <c r="S3759" s="1" t="s">
        <v>3985</v>
      </c>
    </row>
    <row r="3760" spans="1:19" ht="16.25" customHeight="1" x14ac:dyDescent="0.35">
      <c r="A3760" s="140">
        <v>45728</v>
      </c>
      <c r="B3760" s="5">
        <f t="shared" si="972"/>
        <v>3</v>
      </c>
      <c r="C3760" s="5">
        <f t="shared" si="973"/>
        <v>2025</v>
      </c>
      <c r="D3760" s="105" t="s">
        <v>3524</v>
      </c>
      <c r="E3760" s="5" t="str">
        <f>VLOOKUP(F3760,'Set up'!$A$2:$C$70,2,FALSE)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up'!$A$2:$C$70,3,FALSE)</f>
        <v>Cash</v>
      </c>
      <c r="J3760" s="5">
        <f>VLOOKUP(F3760,'Set up'!$A$2:$D$70,4,FALSE)</f>
        <v>0</v>
      </c>
      <c r="K3760" s="4">
        <f t="shared" si="980"/>
        <v>45728</v>
      </c>
      <c r="L3760" s="5">
        <f t="shared" si="974"/>
        <v>3</v>
      </c>
      <c r="M3760" s="5">
        <f t="shared" si="975"/>
        <v>2025</v>
      </c>
      <c r="N3760" s="135">
        <v>3420</v>
      </c>
      <c r="O3760" s="6">
        <f t="shared" ref="O3760:O3763" si="983">-N3760</f>
        <v>-3420</v>
      </c>
      <c r="P3760" s="12">
        <f t="shared" si="978"/>
        <v>0</v>
      </c>
      <c r="Q3760" s="7">
        <v>6182684.3500000015</v>
      </c>
      <c r="R3760" s="44" t="str">
        <f>VLOOKUP(F3760,'Set up'!$A$2:$E$70,5,FALSE)</f>
        <v>Chq</v>
      </c>
      <c r="S3760" s="1" t="s">
        <v>3947</v>
      </c>
    </row>
    <row r="3761" spans="1:19" ht="16.25" customHeight="1" x14ac:dyDescent="0.35">
      <c r="A3761" s="140">
        <v>45728</v>
      </c>
      <c r="B3761" s="5">
        <f t="shared" si="972"/>
        <v>3</v>
      </c>
      <c r="C3761" s="5">
        <f t="shared" si="973"/>
        <v>2025</v>
      </c>
      <c r="D3761" s="105" t="s">
        <v>3524</v>
      </c>
      <c r="E3761" s="5" t="str">
        <f>VLOOKUP(F3761,'Set up'!$A$2:$C$70,2,FALSE)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up'!$A$2:$C$70,3,FALSE)</f>
        <v>Cash</v>
      </c>
      <c r="J3761" s="5">
        <f>VLOOKUP(F3761,'Set up'!$A$2:$D$70,4,FALSE)</f>
        <v>0</v>
      </c>
      <c r="K3761" s="4">
        <f t="shared" si="980"/>
        <v>45728</v>
      </c>
      <c r="L3761" s="5">
        <f t="shared" si="974"/>
        <v>3</v>
      </c>
      <c r="M3761" s="5">
        <f t="shared" si="975"/>
        <v>2025</v>
      </c>
      <c r="N3761" s="135">
        <v>648</v>
      </c>
      <c r="O3761" s="6">
        <f t="shared" si="983"/>
        <v>-648</v>
      </c>
      <c r="P3761" s="12">
        <f t="shared" si="978"/>
        <v>0</v>
      </c>
      <c r="Q3761" s="7">
        <v>6183332.3500000015</v>
      </c>
      <c r="R3761" s="44" t="str">
        <f>VLOOKUP(F3761,'Set up'!$A$2:$E$70,5,FALSE)</f>
        <v>Chq</v>
      </c>
      <c r="S3761" s="1" t="s">
        <v>3947</v>
      </c>
    </row>
    <row r="3762" spans="1:19" ht="16.25" customHeight="1" x14ac:dyDescent="0.35">
      <c r="A3762" s="140">
        <v>45728</v>
      </c>
      <c r="B3762" s="5">
        <f t="shared" si="972"/>
        <v>3</v>
      </c>
      <c r="C3762" s="5">
        <f t="shared" si="973"/>
        <v>2025</v>
      </c>
      <c r="D3762" s="105" t="s">
        <v>3524</v>
      </c>
      <c r="E3762" s="5" t="str">
        <f>VLOOKUP(F3762,'Set up'!$A$2:$C$70,2,FALSE)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up'!$A$2:$C$70,3,FALSE)</f>
        <v>Cash</v>
      </c>
      <c r="J3762" s="5">
        <f>VLOOKUP(F3762,'Set up'!$A$2:$D$70,4,FALSE)</f>
        <v>0</v>
      </c>
      <c r="K3762" s="4">
        <f t="shared" si="980"/>
        <v>45728</v>
      </c>
      <c r="L3762" s="5">
        <f t="shared" si="974"/>
        <v>3</v>
      </c>
      <c r="M3762" s="5">
        <f t="shared" si="975"/>
        <v>2025</v>
      </c>
      <c r="N3762" s="135">
        <v>230</v>
      </c>
      <c r="O3762" s="6">
        <f t="shared" si="983"/>
        <v>-230</v>
      </c>
      <c r="P3762" s="12">
        <f t="shared" si="978"/>
        <v>0</v>
      </c>
      <c r="Q3762" s="7">
        <v>6183562.3500000015</v>
      </c>
      <c r="R3762" s="44" t="str">
        <f>VLOOKUP(F3762,'Set up'!$A$2:$E$70,5,FALSE)</f>
        <v>Chq</v>
      </c>
      <c r="S3762" s="1" t="s">
        <v>3947</v>
      </c>
    </row>
    <row r="3763" spans="1:19" ht="16.25" customHeight="1" x14ac:dyDescent="0.35">
      <c r="A3763" s="140">
        <v>45728</v>
      </c>
      <c r="B3763" s="5">
        <f t="shared" si="972"/>
        <v>3</v>
      </c>
      <c r="C3763" s="5">
        <f t="shared" si="973"/>
        <v>2025</v>
      </c>
      <c r="D3763" s="105" t="s">
        <v>3524</v>
      </c>
      <c r="E3763" s="5" t="str">
        <f>VLOOKUP(F3763,'Set up'!$A$2:$C$70,2,FALSE)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up'!$A$2:$C$70,3,FALSE)</f>
        <v>Cash</v>
      </c>
      <c r="J3763" s="5">
        <f>VLOOKUP(F3763,'Set up'!$A$2:$D$70,4,FALSE)</f>
        <v>0</v>
      </c>
      <c r="K3763" s="4">
        <f t="shared" si="980"/>
        <v>45728</v>
      </c>
      <c r="L3763" s="5">
        <f t="shared" si="974"/>
        <v>3</v>
      </c>
      <c r="M3763" s="5">
        <f t="shared" si="975"/>
        <v>2025</v>
      </c>
      <c r="N3763" s="135">
        <v>325</v>
      </c>
      <c r="O3763" s="6">
        <f t="shared" si="983"/>
        <v>-325</v>
      </c>
      <c r="P3763" s="12">
        <f t="shared" si="978"/>
        <v>0</v>
      </c>
      <c r="Q3763" s="7">
        <v>6183887.3500000015</v>
      </c>
      <c r="R3763" s="44" t="str">
        <f>VLOOKUP(F3763,'Set up'!$A$2:$E$70,5,FALSE)</f>
        <v>Chq</v>
      </c>
      <c r="S3763" s="1" t="s">
        <v>3947</v>
      </c>
    </row>
    <row r="3764" spans="1:19" ht="16.25" customHeight="1" x14ac:dyDescent="0.35">
      <c r="A3764" s="140">
        <v>45729</v>
      </c>
      <c r="B3764" s="5">
        <f t="shared" si="972"/>
        <v>3</v>
      </c>
      <c r="C3764" s="5">
        <f t="shared" si="973"/>
        <v>2025</v>
      </c>
      <c r="D3764" s="105" t="s">
        <v>3526</v>
      </c>
      <c r="E3764" s="5" t="str">
        <f>VLOOKUP(F3764,'Set up'!$A$2:$C$70,2,FALSE)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up'!$A$2:$C$70,3,FALSE)</f>
        <v>Cash</v>
      </c>
      <c r="J3764" s="5">
        <f>VLOOKUP(F3764,'Set up'!$A$2:$D$70,4,FALSE)</f>
        <v>0</v>
      </c>
      <c r="K3764" s="4">
        <f t="shared" si="980"/>
        <v>45729</v>
      </c>
      <c r="L3764" s="5">
        <f t="shared" si="974"/>
        <v>3</v>
      </c>
      <c r="M3764" s="5">
        <f t="shared" si="975"/>
        <v>2025</v>
      </c>
      <c r="N3764" s="135">
        <v>1755</v>
      </c>
      <c r="O3764" s="6">
        <f t="shared" ref="O3764:O3767" si="984">-N3764</f>
        <v>-1755</v>
      </c>
      <c r="P3764" s="12">
        <f t="shared" si="978"/>
        <v>0</v>
      </c>
      <c r="Q3764" s="7">
        <v>6185642.3500000015</v>
      </c>
      <c r="R3764" s="44" t="str">
        <f>VLOOKUP(F3764,'Set up'!$A$2:$E$70,5,FALSE)</f>
        <v>Cash</v>
      </c>
      <c r="S3764" s="1" t="s">
        <v>3674</v>
      </c>
    </row>
    <row r="3765" spans="1:19" ht="16.25" customHeight="1" x14ac:dyDescent="0.35">
      <c r="A3765" s="140">
        <v>45729</v>
      </c>
      <c r="B3765" s="5">
        <f t="shared" si="972"/>
        <v>3</v>
      </c>
      <c r="C3765" s="5">
        <f t="shared" si="973"/>
        <v>2025</v>
      </c>
      <c r="D3765" s="105" t="s">
        <v>3526</v>
      </c>
      <c r="E3765" s="5" t="str">
        <f>VLOOKUP(F3765,'Set up'!$A$2:$C$70,2,FALSE)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up'!$A$2:$C$70,3,FALSE)</f>
        <v>Cash</v>
      </c>
      <c r="J3765" s="5">
        <f>VLOOKUP(F3765,'Set up'!$A$2:$D$70,4,FALSE)</f>
        <v>0</v>
      </c>
      <c r="K3765" s="4">
        <f t="shared" si="980"/>
        <v>45729</v>
      </c>
      <c r="L3765" s="5">
        <f t="shared" si="974"/>
        <v>3</v>
      </c>
      <c r="M3765" s="5">
        <f t="shared" si="975"/>
        <v>2025</v>
      </c>
      <c r="N3765" s="135">
        <v>555</v>
      </c>
      <c r="O3765" s="6">
        <f t="shared" si="984"/>
        <v>-555</v>
      </c>
      <c r="P3765" s="12">
        <f t="shared" si="978"/>
        <v>0</v>
      </c>
      <c r="Q3765" s="7">
        <v>6186197.3500000015</v>
      </c>
      <c r="R3765" s="44" t="str">
        <f>VLOOKUP(F3765,'Set up'!$A$2:$E$70,5,FALSE)</f>
        <v>Cash</v>
      </c>
      <c r="S3765" s="1" t="s">
        <v>3674</v>
      </c>
    </row>
    <row r="3766" spans="1:19" ht="16.25" customHeight="1" x14ac:dyDescent="0.35">
      <c r="A3766" s="140">
        <v>45729</v>
      </c>
      <c r="B3766" s="5">
        <f t="shared" si="972"/>
        <v>3</v>
      </c>
      <c r="C3766" s="5">
        <f t="shared" si="973"/>
        <v>2025</v>
      </c>
      <c r="D3766" s="105" t="s">
        <v>3526</v>
      </c>
      <c r="E3766" s="5" t="str">
        <f>VLOOKUP(F3766,'Set up'!$A$2:$C$70,2,FALSE)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up'!$A$2:$C$70,3,FALSE)</f>
        <v>Cash</v>
      </c>
      <c r="J3766" s="5">
        <f>VLOOKUP(F3766,'Set up'!$A$2:$D$70,4,FALSE)</f>
        <v>0</v>
      </c>
      <c r="K3766" s="4">
        <f t="shared" si="980"/>
        <v>45729</v>
      </c>
      <c r="L3766" s="5">
        <f t="shared" si="974"/>
        <v>3</v>
      </c>
      <c r="M3766" s="5">
        <f t="shared" si="975"/>
        <v>2025</v>
      </c>
      <c r="N3766" s="135">
        <v>95</v>
      </c>
      <c r="O3766" s="6">
        <f t="shared" si="984"/>
        <v>-95</v>
      </c>
      <c r="P3766" s="12">
        <f t="shared" si="978"/>
        <v>0</v>
      </c>
      <c r="Q3766" s="7">
        <v>6186292.3500000015</v>
      </c>
      <c r="R3766" s="44" t="str">
        <f>VLOOKUP(F3766,'Set up'!$A$2:$E$70,5,FALSE)</f>
        <v>Cash</v>
      </c>
      <c r="S3766" s="1" t="s">
        <v>3674</v>
      </c>
    </row>
    <row r="3767" spans="1:19" ht="16.25" customHeight="1" x14ac:dyDescent="0.35">
      <c r="A3767" s="140">
        <v>45729</v>
      </c>
      <c r="B3767" s="5">
        <f t="shared" si="972"/>
        <v>3</v>
      </c>
      <c r="C3767" s="5">
        <f t="shared" si="973"/>
        <v>2025</v>
      </c>
      <c r="D3767" s="105" t="s">
        <v>3526</v>
      </c>
      <c r="E3767" s="5" t="str">
        <f>VLOOKUP(F3767,'Set up'!$A$2:$C$70,2,FALSE)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up'!$A$2:$C$70,3,FALSE)</f>
        <v>Cash</v>
      </c>
      <c r="J3767" s="5">
        <f>VLOOKUP(F3767,'Set up'!$A$2:$D$70,4,FALSE)</f>
        <v>0</v>
      </c>
      <c r="K3767" s="4">
        <f t="shared" si="980"/>
        <v>45729</v>
      </c>
      <c r="L3767" s="5">
        <f t="shared" si="974"/>
        <v>3</v>
      </c>
      <c r="M3767" s="5">
        <f t="shared" si="975"/>
        <v>2025</v>
      </c>
      <c r="N3767" s="135">
        <v>625</v>
      </c>
      <c r="O3767" s="6">
        <f t="shared" si="984"/>
        <v>-625</v>
      </c>
      <c r="P3767" s="12">
        <f t="shared" si="978"/>
        <v>0</v>
      </c>
      <c r="Q3767" s="7">
        <v>6186917.3500000015</v>
      </c>
      <c r="R3767" s="44" t="str">
        <f>VLOOKUP(F3767,'Set up'!$A$2:$E$70,5,FALSE)</f>
        <v>Cash</v>
      </c>
      <c r="S3767" s="1" t="s">
        <v>3674</v>
      </c>
    </row>
    <row r="3768" spans="1:19" ht="16.25" customHeight="1" x14ac:dyDescent="0.35">
      <c r="A3768" s="140">
        <v>45729</v>
      </c>
      <c r="B3768" s="5">
        <f t="shared" si="972"/>
        <v>3</v>
      </c>
      <c r="C3768" s="5">
        <f t="shared" si="973"/>
        <v>2025</v>
      </c>
      <c r="D3768" s="105" t="s">
        <v>3527</v>
      </c>
      <c r="E3768" s="5" t="str">
        <f>VLOOKUP(F3768,'Set up'!$A$2:$C$70,2,FALSE)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up'!$A$2:$C$70,3,FALSE)</f>
        <v>Cash</v>
      </c>
      <c r="J3768" s="5">
        <f>VLOOKUP(F3768,'Set up'!$A$2:$D$70,4,FALSE)</f>
        <v>0</v>
      </c>
      <c r="K3768" s="4">
        <f t="shared" si="980"/>
        <v>45729</v>
      </c>
      <c r="L3768" s="5">
        <f t="shared" si="974"/>
        <v>3</v>
      </c>
      <c r="M3768" s="5">
        <f t="shared" si="975"/>
        <v>2025</v>
      </c>
      <c r="N3768" s="135">
        <v>1575</v>
      </c>
      <c r="O3768" s="6">
        <f t="shared" ref="O3768:O3769" si="985">-N3768</f>
        <v>-1575</v>
      </c>
      <c r="P3768" s="12">
        <f t="shared" si="978"/>
        <v>0</v>
      </c>
      <c r="Q3768" s="7">
        <v>6188492.3500000015</v>
      </c>
      <c r="R3768" s="44" t="str">
        <f>VLOOKUP(F3768,'Set up'!$A$2:$E$70,5,FALSE)</f>
        <v>Trsf</v>
      </c>
      <c r="S3768" s="1" t="s">
        <v>3605</v>
      </c>
    </row>
    <row r="3769" spans="1:19" ht="16.25" customHeight="1" x14ac:dyDescent="0.35">
      <c r="A3769" s="140">
        <v>45729</v>
      </c>
      <c r="B3769" s="5">
        <f t="shared" si="972"/>
        <v>3</v>
      </c>
      <c r="C3769" s="5">
        <f t="shared" si="973"/>
        <v>2025</v>
      </c>
      <c r="D3769" s="105" t="s">
        <v>3527</v>
      </c>
      <c r="E3769" s="5" t="str">
        <f>VLOOKUP(F3769,'Set up'!$A$2:$C$70,2,FALSE)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up'!$A$2:$C$70,3,FALSE)</f>
        <v>Cash</v>
      </c>
      <c r="J3769" s="5">
        <f>VLOOKUP(F3769,'Set up'!$A$2:$D$70,4,FALSE)</f>
        <v>0</v>
      </c>
      <c r="K3769" s="4">
        <f t="shared" si="980"/>
        <v>45729</v>
      </c>
      <c r="L3769" s="5">
        <f t="shared" si="974"/>
        <v>3</v>
      </c>
      <c r="M3769" s="5">
        <f t="shared" si="975"/>
        <v>2025</v>
      </c>
      <c r="N3769" s="135">
        <v>858.4</v>
      </c>
      <c r="O3769" s="6">
        <f t="shared" si="985"/>
        <v>-858.4</v>
      </c>
      <c r="P3769" s="12">
        <f t="shared" si="978"/>
        <v>0</v>
      </c>
      <c r="Q3769" s="7">
        <v>6189350.7500000019</v>
      </c>
      <c r="R3769" s="44" t="str">
        <f>VLOOKUP(F3769,'Set up'!$A$2:$E$70,5,FALSE)</f>
        <v>Trsf</v>
      </c>
      <c r="S3769" s="1" t="s">
        <v>3606</v>
      </c>
    </row>
    <row r="3770" spans="1:19" ht="16.25" customHeight="1" x14ac:dyDescent="0.35">
      <c r="A3770" s="143">
        <v>45730</v>
      </c>
      <c r="B3770" s="5">
        <f t="shared" si="972"/>
        <v>3</v>
      </c>
      <c r="C3770" s="5">
        <f t="shared" si="973"/>
        <v>2025</v>
      </c>
      <c r="D3770" s="144" t="s">
        <v>3528</v>
      </c>
      <c r="E3770" s="5" t="str">
        <f>VLOOKUP(F3770,'Set up'!$A$2:$C$70,2,FALSE)</f>
        <v>C00000013a</v>
      </c>
      <c r="F3770" s="142" t="s">
        <v>1453</v>
      </c>
      <c r="G3770" s="142" t="s">
        <v>3529</v>
      </c>
      <c r="H3770" s="145">
        <v>2</v>
      </c>
      <c r="I3770" s="5" t="str">
        <f>VLOOKUP(F3770,'Set up'!$A$2:$C$70,3,FALSE)</f>
        <v>Cash</v>
      </c>
      <c r="J3770" s="5">
        <f>VLOOKUP(F3770,'Set up'!$A$2:$D$70,4,FALSE)</f>
        <v>0</v>
      </c>
      <c r="K3770" s="4">
        <f t="shared" si="980"/>
        <v>45730</v>
      </c>
      <c r="L3770" s="5">
        <f t="shared" si="974"/>
        <v>3</v>
      </c>
      <c r="M3770" s="5">
        <f t="shared" si="975"/>
        <v>2025</v>
      </c>
      <c r="N3770" s="146">
        <v>0</v>
      </c>
      <c r="O3770" s="147"/>
      <c r="P3770" s="34">
        <f t="shared" si="978"/>
        <v>0</v>
      </c>
      <c r="Q3770" s="148">
        <v>6189350.7500000019</v>
      </c>
      <c r="R3770" s="44" t="str">
        <f>VLOOKUP(F3770,'Set up'!$A$2:$E$70,5,FALSE)</f>
        <v>Chq</v>
      </c>
    </row>
    <row r="3771" spans="1:19" ht="16.25" customHeight="1" x14ac:dyDescent="0.35">
      <c r="A3771" s="140">
        <v>45730</v>
      </c>
      <c r="B3771" s="5">
        <f t="shared" si="972"/>
        <v>3</v>
      </c>
      <c r="C3771" s="5">
        <f t="shared" si="973"/>
        <v>2025</v>
      </c>
      <c r="D3771" s="105" t="s">
        <v>3530</v>
      </c>
      <c r="E3771" s="5" t="str">
        <f>VLOOKUP(F3771,'Set up'!$A$2:$C$70,2,FALSE)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up'!$A$2:$C$70,3,FALSE)</f>
        <v>Cash</v>
      </c>
      <c r="J3771" s="5">
        <f>VLOOKUP(F3771,'Set up'!$A$2:$D$70,4,FALSE)</f>
        <v>0</v>
      </c>
      <c r="K3771" s="4">
        <f t="shared" si="980"/>
        <v>45730</v>
      </c>
      <c r="L3771" s="5">
        <f t="shared" si="974"/>
        <v>3</v>
      </c>
      <c r="M3771" s="5">
        <f t="shared" si="975"/>
        <v>2025</v>
      </c>
      <c r="N3771" s="135">
        <v>1710</v>
      </c>
      <c r="O3771" s="6">
        <f t="shared" ref="O3771:O3775" si="986">-N3771</f>
        <v>-1710</v>
      </c>
      <c r="P3771" s="12">
        <f t="shared" si="978"/>
        <v>0</v>
      </c>
      <c r="Q3771" s="7">
        <v>6191060.7500000019</v>
      </c>
      <c r="R3771" s="44" t="str">
        <f>VLOOKUP(F3771,'Set up'!$A$2:$E$70,5,FALSE)</f>
        <v>Cash</v>
      </c>
      <c r="S3771" s="1" t="s">
        <v>3600</v>
      </c>
    </row>
    <row r="3772" spans="1:19" ht="16.25" customHeight="1" x14ac:dyDescent="0.35">
      <c r="A3772" s="140">
        <v>45730</v>
      </c>
      <c r="B3772" s="5">
        <f t="shared" si="972"/>
        <v>3</v>
      </c>
      <c r="C3772" s="5">
        <f t="shared" si="973"/>
        <v>2025</v>
      </c>
      <c r="D3772" s="105" t="s">
        <v>3530</v>
      </c>
      <c r="E3772" s="5" t="str">
        <f>VLOOKUP(F3772,'Set up'!$A$2:$C$70,2,FALSE)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up'!$A$2:$C$70,3,FALSE)</f>
        <v>Cash</v>
      </c>
      <c r="J3772" s="5">
        <f>VLOOKUP(F3772,'Set up'!$A$2:$D$70,4,FALSE)</f>
        <v>0</v>
      </c>
      <c r="K3772" s="4">
        <f t="shared" si="980"/>
        <v>45730</v>
      </c>
      <c r="L3772" s="5">
        <f t="shared" si="974"/>
        <v>3</v>
      </c>
      <c r="M3772" s="5">
        <f t="shared" si="975"/>
        <v>2025</v>
      </c>
      <c r="N3772" s="135">
        <v>313.2</v>
      </c>
      <c r="O3772" s="6">
        <f t="shared" si="986"/>
        <v>-313.2</v>
      </c>
      <c r="P3772" s="12">
        <f t="shared" si="978"/>
        <v>0</v>
      </c>
      <c r="Q3772" s="7">
        <v>6191373.950000002</v>
      </c>
      <c r="R3772" s="44" t="str">
        <f>VLOOKUP(F3772,'Set up'!$A$2:$E$70,5,FALSE)</f>
        <v>Cash</v>
      </c>
      <c r="S3772" s="1" t="s">
        <v>3600</v>
      </c>
    </row>
    <row r="3773" spans="1:19" ht="16.25" customHeight="1" x14ac:dyDescent="0.35">
      <c r="A3773" s="140">
        <v>45731</v>
      </c>
      <c r="B3773" s="5">
        <f t="shared" si="972"/>
        <v>3</v>
      </c>
      <c r="C3773" s="5">
        <f t="shared" si="973"/>
        <v>2025</v>
      </c>
      <c r="D3773" s="105" t="s">
        <v>3534</v>
      </c>
      <c r="E3773" s="5" t="str">
        <f>VLOOKUP(F3773,'Set up'!$A$2:$C$70,2,FALSE)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up'!$A$2:$C$70,3,FALSE)</f>
        <v>Cash</v>
      </c>
      <c r="J3773" s="5">
        <f>VLOOKUP(F3773,'Set up'!$A$2:$D$70,4,FALSE)</f>
        <v>0</v>
      </c>
      <c r="K3773" s="4">
        <f t="shared" si="980"/>
        <v>45731</v>
      </c>
      <c r="L3773" s="5">
        <f t="shared" si="974"/>
        <v>3</v>
      </c>
      <c r="M3773" s="5">
        <f t="shared" si="975"/>
        <v>2025</v>
      </c>
      <c r="N3773" s="135">
        <v>187.5</v>
      </c>
      <c r="O3773" s="6">
        <f t="shared" si="986"/>
        <v>-187.5</v>
      </c>
      <c r="P3773" s="12">
        <f t="shared" si="978"/>
        <v>0</v>
      </c>
      <c r="Q3773" s="7">
        <v>6191561.450000002</v>
      </c>
      <c r="R3773" s="44" t="str">
        <f>VLOOKUP(F3773,'Set up'!$A$2:$E$70,5,FALSE)</f>
        <v>Trsf</v>
      </c>
      <c r="S3773" s="1" t="s">
        <v>3986</v>
      </c>
    </row>
    <row r="3774" spans="1:19" ht="16.25" customHeight="1" x14ac:dyDescent="0.35">
      <c r="A3774" s="140">
        <v>45731</v>
      </c>
      <c r="B3774" s="5">
        <f t="shared" si="972"/>
        <v>3</v>
      </c>
      <c r="C3774" s="5">
        <f t="shared" si="973"/>
        <v>2025</v>
      </c>
      <c r="D3774" s="105" t="s">
        <v>3535</v>
      </c>
      <c r="E3774" s="5" t="str">
        <f>VLOOKUP(F3774,'Set up'!$A$2:$C$70,2,FALSE)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up'!$A$2:$C$70,3,FALSE)</f>
        <v>Cash</v>
      </c>
      <c r="J3774" s="5">
        <f>VLOOKUP(F3774,'Set up'!$A$2:$D$70,4,FALSE)</f>
        <v>0</v>
      </c>
      <c r="K3774" s="4">
        <f t="shared" si="980"/>
        <v>45731</v>
      </c>
      <c r="L3774" s="5">
        <f t="shared" si="974"/>
        <v>3</v>
      </c>
      <c r="M3774" s="5">
        <f t="shared" si="975"/>
        <v>2025</v>
      </c>
      <c r="N3774" s="135">
        <v>8100</v>
      </c>
      <c r="O3774" s="6">
        <f t="shared" si="986"/>
        <v>-8100</v>
      </c>
      <c r="P3774" s="12">
        <f t="shared" si="978"/>
        <v>0</v>
      </c>
      <c r="Q3774" s="7">
        <v>6199661.450000002</v>
      </c>
      <c r="R3774" s="44" t="str">
        <f>VLOOKUP(F3774,'Set up'!$A$2:$E$70,5,FALSE)</f>
        <v>Trsf</v>
      </c>
      <c r="S3774" s="1" t="s">
        <v>3987</v>
      </c>
    </row>
    <row r="3775" spans="1:19" ht="16.25" customHeight="1" x14ac:dyDescent="0.35">
      <c r="A3775" s="140">
        <v>45731</v>
      </c>
      <c r="B3775" s="5">
        <f t="shared" si="972"/>
        <v>3</v>
      </c>
      <c r="C3775" s="5">
        <f t="shared" si="973"/>
        <v>2025</v>
      </c>
      <c r="D3775" s="105" t="s">
        <v>3535</v>
      </c>
      <c r="E3775" s="5" t="str">
        <f>VLOOKUP(F3775,'Set up'!$A$2:$C$70,2,FALSE)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up'!$A$2:$C$70,3,FALSE)</f>
        <v>Cash</v>
      </c>
      <c r="J3775" s="5">
        <f>VLOOKUP(F3775,'Set up'!$A$2:$D$70,4,FALSE)</f>
        <v>0</v>
      </c>
      <c r="K3775" s="4">
        <f t="shared" si="980"/>
        <v>45731</v>
      </c>
      <c r="L3775" s="5">
        <f t="shared" si="974"/>
        <v>3</v>
      </c>
      <c r="M3775" s="5">
        <f t="shared" si="975"/>
        <v>2025</v>
      </c>
      <c r="N3775" s="135">
        <v>975</v>
      </c>
      <c r="O3775" s="6">
        <f t="shared" si="986"/>
        <v>-975</v>
      </c>
      <c r="P3775" s="12">
        <f t="shared" si="978"/>
        <v>0</v>
      </c>
      <c r="Q3775" s="7">
        <v>6200636.450000002</v>
      </c>
      <c r="R3775" s="44" t="str">
        <f>VLOOKUP(F3775,'Set up'!$A$2:$E$70,5,FALSE)</f>
        <v>Trsf</v>
      </c>
      <c r="S3775" s="1" t="s">
        <v>3988</v>
      </c>
    </row>
    <row r="3776" spans="1:19" ht="16.25" customHeight="1" x14ac:dyDescent="0.35">
      <c r="A3776" s="140">
        <v>45733</v>
      </c>
      <c r="B3776" s="5">
        <f t="shared" si="972"/>
        <v>3</v>
      </c>
      <c r="C3776" s="5">
        <f t="shared" si="973"/>
        <v>2025</v>
      </c>
      <c r="D3776" s="105" t="s">
        <v>3536</v>
      </c>
      <c r="E3776" s="5" t="str">
        <f>VLOOKUP(F3776,'Set up'!$A$2:$C$70,2,FALSE)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up'!$A$2:$C$70,3,FALSE)</f>
        <v>45</v>
      </c>
      <c r="J3776" s="5">
        <f>VLOOKUP(F3776,'Set up'!$A$2:$D$70,4,FALSE)</f>
        <v>45</v>
      </c>
      <c r="K3776" s="4">
        <f t="shared" si="980"/>
        <v>45778</v>
      </c>
      <c r="L3776" s="5">
        <f t="shared" si="974"/>
        <v>5</v>
      </c>
      <c r="M3776" s="5">
        <f t="shared" si="975"/>
        <v>2025</v>
      </c>
      <c r="N3776" s="135">
        <v>1755</v>
      </c>
      <c r="O3776" s="141">
        <f>-1000-755</f>
        <v>-1755</v>
      </c>
      <c r="P3776" s="12">
        <f t="shared" si="978"/>
        <v>0</v>
      </c>
      <c r="Q3776" s="7">
        <v>6202391.450000002</v>
      </c>
      <c r="R3776" s="44" t="str">
        <f>VLOOKUP(F3776,'Set up'!$A$2:$E$70,5,FALSE)</f>
        <v>PD Chq</v>
      </c>
      <c r="S3776" s="1" t="s">
        <v>3826</v>
      </c>
    </row>
    <row r="3777" spans="1:19" ht="16.25" customHeight="1" x14ac:dyDescent="0.35">
      <c r="A3777" s="140">
        <v>45733</v>
      </c>
      <c r="B3777" s="5">
        <f t="shared" si="972"/>
        <v>3</v>
      </c>
      <c r="C3777" s="5">
        <f t="shared" si="973"/>
        <v>2025</v>
      </c>
      <c r="D3777" s="105" t="s">
        <v>3536</v>
      </c>
      <c r="E3777" s="5" t="str">
        <f>VLOOKUP(F3777,'Set up'!$A$2:$C$70,2,FALSE)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up'!$A$2:$C$70,3,FALSE)</f>
        <v>45</v>
      </c>
      <c r="J3777" s="5">
        <f>VLOOKUP(F3777,'Set up'!$A$2:$D$70,4,FALSE)</f>
        <v>45</v>
      </c>
      <c r="K3777" s="4">
        <f t="shared" si="980"/>
        <v>45778</v>
      </c>
      <c r="L3777" s="5">
        <f t="shared" si="974"/>
        <v>5</v>
      </c>
      <c r="M3777" s="5">
        <f t="shared" si="975"/>
        <v>2025</v>
      </c>
      <c r="N3777" s="135">
        <v>220</v>
      </c>
      <c r="O3777" s="6">
        <f>-N3777</f>
        <v>-220</v>
      </c>
      <c r="P3777" s="12">
        <f t="shared" si="978"/>
        <v>0</v>
      </c>
      <c r="Q3777" s="7">
        <v>6202611.450000002</v>
      </c>
      <c r="R3777" s="44" t="str">
        <f>VLOOKUP(F3777,'Set up'!$A$2:$E$70,5,FALSE)</f>
        <v>PD Chq</v>
      </c>
      <c r="S3777" s="1" t="s">
        <v>3828</v>
      </c>
    </row>
    <row r="3778" spans="1:19" ht="16.25" customHeight="1" x14ac:dyDescent="0.35">
      <c r="A3778" s="140">
        <v>45733</v>
      </c>
      <c r="B3778" s="5">
        <f t="shared" si="972"/>
        <v>3</v>
      </c>
      <c r="C3778" s="5">
        <f t="shared" si="973"/>
        <v>2025</v>
      </c>
      <c r="D3778" s="105" t="s">
        <v>3536</v>
      </c>
      <c r="E3778" s="5" t="str">
        <f>VLOOKUP(F3778,'Set up'!$A$2:$C$70,2,FALSE)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up'!$A$2:$C$70,3,FALSE)</f>
        <v>45</v>
      </c>
      <c r="J3778" s="5">
        <f>VLOOKUP(F3778,'Set up'!$A$2:$D$70,4,FALSE)</f>
        <v>45</v>
      </c>
      <c r="K3778" s="4">
        <f t="shared" si="980"/>
        <v>45778</v>
      </c>
      <c r="L3778" s="5">
        <f t="shared" si="974"/>
        <v>5</v>
      </c>
      <c r="M3778" s="5">
        <f t="shared" si="975"/>
        <v>2025</v>
      </c>
      <c r="N3778" s="135">
        <v>195</v>
      </c>
      <c r="O3778" s="6">
        <f>-N3778</f>
        <v>-195</v>
      </c>
      <c r="P3778" s="12">
        <f t="shared" si="978"/>
        <v>0</v>
      </c>
      <c r="Q3778" s="7">
        <v>6202806.450000002</v>
      </c>
      <c r="R3778" s="44" t="str">
        <f>VLOOKUP(F3778,'Set up'!$A$2:$E$70,5,FALSE)</f>
        <v>PD Chq</v>
      </c>
      <c r="S3778" s="1" t="s">
        <v>3827</v>
      </c>
    </row>
    <row r="3779" spans="1:19" ht="16.25" customHeight="1" x14ac:dyDescent="0.35">
      <c r="A3779" s="140">
        <v>45735</v>
      </c>
      <c r="B3779" s="5">
        <f t="shared" ref="B3779:B3842" si="987">MONTH(A3779)</f>
        <v>3</v>
      </c>
      <c r="C3779" s="5">
        <f t="shared" ref="C3779:C3842" si="988">YEAR(A3779)</f>
        <v>2025</v>
      </c>
      <c r="D3779" s="105" t="s">
        <v>3537</v>
      </c>
      <c r="E3779" s="5" t="str">
        <f>VLOOKUP(F3779,'Set up'!$A$2:$C$70,2,FALSE)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up'!$A$2:$C$70,3,FALSE)</f>
        <v>Cash</v>
      </c>
      <c r="J3779" s="5">
        <f>VLOOKUP(F3779,'Set up'!$A$2:$D$70,4,FALSE)</f>
        <v>0</v>
      </c>
      <c r="K3779" s="4">
        <f t="shared" si="980"/>
        <v>45735</v>
      </c>
      <c r="L3779" s="5">
        <f t="shared" ref="L3779:L3842" si="989">MONTH(K3779)</f>
        <v>3</v>
      </c>
      <c r="M3779" s="5">
        <f t="shared" ref="M3779:M3842" si="990">YEAR(K3779)</f>
        <v>2025</v>
      </c>
      <c r="N3779" s="135">
        <v>1755</v>
      </c>
      <c r="O3779" s="141"/>
      <c r="P3779" s="12">
        <f t="shared" si="978"/>
        <v>1755</v>
      </c>
      <c r="Q3779" s="7">
        <v>6204561.450000002</v>
      </c>
      <c r="R3779" s="44" t="str">
        <f>VLOOKUP(F3779,'Set up'!$A$2:$E$70,5,FALSE)</f>
        <v>Trsf</v>
      </c>
    </row>
    <row r="3780" spans="1:19" ht="16.25" customHeight="1" x14ac:dyDescent="0.35">
      <c r="A3780" s="140">
        <v>45735</v>
      </c>
      <c r="B3780" s="5">
        <f t="shared" si="987"/>
        <v>3</v>
      </c>
      <c r="C3780" s="5">
        <f t="shared" si="988"/>
        <v>2025</v>
      </c>
      <c r="D3780" s="105" t="s">
        <v>3537</v>
      </c>
      <c r="E3780" s="5" t="str">
        <f>VLOOKUP(F3780,'Set up'!$A$2:$C$70,2,FALSE)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up'!$A$2:$C$70,3,FALSE)</f>
        <v>Cash</v>
      </c>
      <c r="J3780" s="5">
        <f>VLOOKUP(F3780,'Set up'!$A$2:$D$70,4,FALSE)</f>
        <v>0</v>
      </c>
      <c r="K3780" s="4">
        <f t="shared" si="980"/>
        <v>45735</v>
      </c>
      <c r="L3780" s="5">
        <f t="shared" si="989"/>
        <v>3</v>
      </c>
      <c r="M3780" s="5">
        <f t="shared" si="990"/>
        <v>2025</v>
      </c>
      <c r="N3780" s="135">
        <v>405</v>
      </c>
      <c r="O3780" s="141"/>
      <c r="P3780" s="12">
        <f t="shared" si="978"/>
        <v>405</v>
      </c>
      <c r="Q3780" s="7">
        <v>6204966.450000002</v>
      </c>
      <c r="R3780" s="44" t="str">
        <f>VLOOKUP(F3780,'Set up'!$A$2:$E$70,5,FALSE)</f>
        <v>Trsf</v>
      </c>
    </row>
    <row r="3781" spans="1:19" ht="16.25" customHeight="1" x14ac:dyDescent="0.35">
      <c r="A3781" s="140">
        <v>45735</v>
      </c>
      <c r="B3781" s="5">
        <f t="shared" si="987"/>
        <v>3</v>
      </c>
      <c r="C3781" s="5">
        <f t="shared" si="988"/>
        <v>2025</v>
      </c>
      <c r="D3781" s="105" t="s">
        <v>3537</v>
      </c>
      <c r="E3781" s="5" t="str">
        <f>VLOOKUP(F3781,'Set up'!$A$2:$C$70,2,FALSE)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up'!$A$2:$C$70,3,FALSE)</f>
        <v>Cash</v>
      </c>
      <c r="J3781" s="5">
        <f>VLOOKUP(F3781,'Set up'!$A$2:$D$70,4,FALSE)</f>
        <v>0</v>
      </c>
      <c r="K3781" s="4">
        <f t="shared" si="980"/>
        <v>45735</v>
      </c>
      <c r="L3781" s="5">
        <f t="shared" si="989"/>
        <v>3</v>
      </c>
      <c r="M3781" s="5">
        <f t="shared" si="990"/>
        <v>2025</v>
      </c>
      <c r="N3781" s="135">
        <v>110</v>
      </c>
      <c r="O3781" s="141"/>
      <c r="P3781" s="12">
        <f t="shared" si="978"/>
        <v>110</v>
      </c>
      <c r="Q3781" s="7">
        <v>6205076.450000002</v>
      </c>
      <c r="R3781" s="44" t="str">
        <f>VLOOKUP(F3781,'Set up'!$A$2:$E$70,5,FALSE)</f>
        <v>Trsf</v>
      </c>
    </row>
    <row r="3782" spans="1:19" ht="16.25" customHeight="1" x14ac:dyDescent="0.35">
      <c r="A3782" s="140">
        <v>45735</v>
      </c>
      <c r="B3782" s="5">
        <f t="shared" si="987"/>
        <v>3</v>
      </c>
      <c r="C3782" s="5">
        <f t="shared" si="988"/>
        <v>2025</v>
      </c>
      <c r="D3782" s="105" t="s">
        <v>3537</v>
      </c>
      <c r="E3782" s="5" t="str">
        <f>VLOOKUP(F3782,'Set up'!$A$2:$C$70,2,FALSE)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up'!$A$2:$C$70,3,FALSE)</f>
        <v>Cash</v>
      </c>
      <c r="J3782" s="5">
        <f>VLOOKUP(F3782,'Set up'!$A$2:$D$70,4,FALSE)</f>
        <v>0</v>
      </c>
      <c r="K3782" s="4">
        <f t="shared" si="980"/>
        <v>45735</v>
      </c>
      <c r="L3782" s="5">
        <f t="shared" si="989"/>
        <v>3</v>
      </c>
      <c r="M3782" s="5">
        <f t="shared" si="990"/>
        <v>2025</v>
      </c>
      <c r="N3782" s="135">
        <v>390</v>
      </c>
      <c r="O3782" s="141"/>
      <c r="P3782" s="12">
        <f t="shared" si="978"/>
        <v>390</v>
      </c>
      <c r="Q3782" s="7">
        <v>6205466.450000002</v>
      </c>
      <c r="R3782" s="44" t="str">
        <f>VLOOKUP(F3782,'Set up'!$A$2:$E$70,5,FALSE)</f>
        <v>Trsf</v>
      </c>
    </row>
    <row r="3783" spans="1:19" ht="16.25" customHeight="1" x14ac:dyDescent="0.35">
      <c r="A3783" s="140">
        <v>45735</v>
      </c>
      <c r="B3783" s="5">
        <f t="shared" si="987"/>
        <v>3</v>
      </c>
      <c r="C3783" s="5">
        <f t="shared" si="988"/>
        <v>2025</v>
      </c>
      <c r="D3783" s="105" t="s">
        <v>3537</v>
      </c>
      <c r="E3783" s="5" t="str">
        <f>VLOOKUP(F3783,'Set up'!$A$2:$C$70,2,FALSE)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up'!$A$2:$C$70,3,FALSE)</f>
        <v>Cash</v>
      </c>
      <c r="J3783" s="5">
        <f>VLOOKUP(F3783,'Set up'!$A$2:$D$70,4,FALSE)</f>
        <v>0</v>
      </c>
      <c r="K3783" s="4">
        <f t="shared" si="980"/>
        <v>45735</v>
      </c>
      <c r="L3783" s="5">
        <f t="shared" si="989"/>
        <v>3</v>
      </c>
      <c r="M3783" s="5">
        <f t="shared" si="990"/>
        <v>2025</v>
      </c>
      <c r="N3783" s="135">
        <v>125</v>
      </c>
      <c r="O3783" s="141"/>
      <c r="P3783" s="12">
        <f t="shared" si="978"/>
        <v>125</v>
      </c>
      <c r="Q3783" s="7">
        <v>6205591.450000002</v>
      </c>
      <c r="R3783" s="44" t="str">
        <f>VLOOKUP(F3783,'Set up'!$A$2:$E$70,5,FALSE)</f>
        <v>Trsf</v>
      </c>
    </row>
    <row r="3784" spans="1:19" ht="16.25" customHeight="1" x14ac:dyDescent="0.35">
      <c r="A3784" s="140">
        <v>45735</v>
      </c>
      <c r="B3784" s="5">
        <f t="shared" si="987"/>
        <v>3</v>
      </c>
      <c r="C3784" s="5">
        <f t="shared" si="988"/>
        <v>2025</v>
      </c>
      <c r="D3784" s="105" t="s">
        <v>3537</v>
      </c>
      <c r="E3784" s="5" t="str">
        <f>VLOOKUP(F3784,'Set up'!$A$2:$C$70,2,FALSE)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up'!$A$2:$C$70,3,FALSE)</f>
        <v>Cash</v>
      </c>
      <c r="J3784" s="5">
        <f>VLOOKUP(F3784,'Set up'!$A$2:$D$70,4,FALSE)</f>
        <v>0</v>
      </c>
      <c r="K3784" s="4">
        <f t="shared" si="980"/>
        <v>45735</v>
      </c>
      <c r="L3784" s="5">
        <f t="shared" si="989"/>
        <v>3</v>
      </c>
      <c r="M3784" s="5">
        <f t="shared" si="990"/>
        <v>2025</v>
      </c>
      <c r="N3784" s="135">
        <v>420</v>
      </c>
      <c r="O3784" s="141"/>
      <c r="P3784" s="12">
        <f t="shared" si="978"/>
        <v>420</v>
      </c>
      <c r="Q3784" s="7">
        <v>6206011.450000002</v>
      </c>
      <c r="R3784" s="44" t="str">
        <f>VLOOKUP(F3784,'Set up'!$A$2:$E$70,5,FALSE)</f>
        <v>Trsf</v>
      </c>
    </row>
    <row r="3785" spans="1:19" ht="16.25" customHeight="1" x14ac:dyDescent="0.35">
      <c r="A3785" s="143">
        <v>45735</v>
      </c>
      <c r="B3785" s="5">
        <f t="shared" si="987"/>
        <v>3</v>
      </c>
      <c r="C3785" s="5">
        <f t="shared" si="988"/>
        <v>2025</v>
      </c>
      <c r="D3785" s="144" t="s">
        <v>3538</v>
      </c>
      <c r="E3785" s="5" t="str">
        <f>VLOOKUP(F3785,'Set up'!$A$2:$C$70,2,FALSE)</f>
        <v>C00000026</v>
      </c>
      <c r="F3785" s="142" t="s">
        <v>784</v>
      </c>
      <c r="G3785" s="142" t="s">
        <v>3539</v>
      </c>
      <c r="H3785" s="145">
        <v>2</v>
      </c>
      <c r="I3785" s="5" t="str">
        <f>VLOOKUP(F3785,'Set up'!$A$2:$C$70,3,FALSE)</f>
        <v>Cash</v>
      </c>
      <c r="J3785" s="5">
        <f>VLOOKUP(F3785,'Set up'!$A$2:$D$70,4,FALSE)</f>
        <v>0</v>
      </c>
      <c r="K3785" s="4">
        <f t="shared" si="980"/>
        <v>45735</v>
      </c>
      <c r="L3785" s="5">
        <f t="shared" si="989"/>
        <v>3</v>
      </c>
      <c r="M3785" s="5">
        <f t="shared" si="990"/>
        <v>2025</v>
      </c>
      <c r="N3785" s="146">
        <v>0</v>
      </c>
      <c r="O3785" s="147"/>
      <c r="P3785" s="34">
        <f t="shared" si="978"/>
        <v>0</v>
      </c>
      <c r="Q3785" s="148">
        <v>6206011.450000002</v>
      </c>
      <c r="R3785" s="44" t="str">
        <f>VLOOKUP(F3785,'Set up'!$A$2:$E$70,5,FALSE)</f>
        <v>Trsf</v>
      </c>
    </row>
    <row r="3786" spans="1:19" ht="16.25" customHeight="1" x14ac:dyDescent="0.35">
      <c r="A3786" s="140">
        <v>45736</v>
      </c>
      <c r="B3786" s="5">
        <f t="shared" si="987"/>
        <v>3</v>
      </c>
      <c r="C3786" s="5">
        <f t="shared" si="988"/>
        <v>2025</v>
      </c>
      <c r="D3786" s="105" t="s">
        <v>3540</v>
      </c>
      <c r="E3786" s="5" t="str">
        <f>VLOOKUP(F3786,'Set up'!$A$2:$C$70,2,FALSE)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up'!$A$2:$C$70,3,FALSE)</f>
        <v>Cash</v>
      </c>
      <c r="J3786" s="5">
        <f>VLOOKUP(F3786,'Set up'!$A$2:$D$70,4,FALSE)</f>
        <v>0</v>
      </c>
      <c r="K3786" s="4">
        <f t="shared" si="980"/>
        <v>45736</v>
      </c>
      <c r="L3786" s="5">
        <f t="shared" si="989"/>
        <v>3</v>
      </c>
      <c r="M3786" s="5">
        <f t="shared" si="990"/>
        <v>2025</v>
      </c>
      <c r="N3786" s="135">
        <v>1597.5</v>
      </c>
      <c r="O3786" s="6">
        <f t="shared" ref="O3786:O3791" si="991">-N3786</f>
        <v>-1597.5</v>
      </c>
      <c r="P3786" s="12">
        <f t="shared" si="978"/>
        <v>0</v>
      </c>
      <c r="Q3786" s="7">
        <v>6207608.950000002</v>
      </c>
      <c r="R3786" s="44" t="str">
        <f>VLOOKUP(F3786,'Set up'!$A$2:$E$70,5,FALSE)</f>
        <v>Cash</v>
      </c>
      <c r="S3786" s="1" t="s">
        <v>3601</v>
      </c>
    </row>
    <row r="3787" spans="1:19" ht="16.25" customHeight="1" x14ac:dyDescent="0.35">
      <c r="A3787" s="140">
        <v>45736</v>
      </c>
      <c r="B3787" s="5">
        <f t="shared" si="987"/>
        <v>3</v>
      </c>
      <c r="C3787" s="5">
        <f t="shared" si="988"/>
        <v>2025</v>
      </c>
      <c r="D3787" s="105" t="s">
        <v>3540</v>
      </c>
      <c r="E3787" s="5" t="str">
        <f>VLOOKUP(F3787,'Set up'!$A$2:$C$70,2,FALSE)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up'!$A$2:$C$70,3,FALSE)</f>
        <v>Cash</v>
      </c>
      <c r="J3787" s="5">
        <f>VLOOKUP(F3787,'Set up'!$A$2:$D$70,4,FALSE)</f>
        <v>0</v>
      </c>
      <c r="K3787" s="4">
        <f t="shared" si="980"/>
        <v>45736</v>
      </c>
      <c r="L3787" s="5">
        <f t="shared" si="989"/>
        <v>3</v>
      </c>
      <c r="M3787" s="5">
        <f t="shared" si="990"/>
        <v>2025</v>
      </c>
      <c r="N3787" s="135">
        <v>313.2</v>
      </c>
      <c r="O3787" s="141">
        <f>-303.2-10</f>
        <v>-313.2</v>
      </c>
      <c r="P3787" s="12">
        <f t="shared" si="978"/>
        <v>0</v>
      </c>
      <c r="Q3787" s="7">
        <v>6207922.1500000022</v>
      </c>
      <c r="R3787" s="44" t="str">
        <f>VLOOKUP(F3787,'Set up'!$A$2:$E$70,5,FALSE)</f>
        <v>Cash</v>
      </c>
      <c r="S3787" s="1" t="s">
        <v>3676</v>
      </c>
    </row>
    <row r="3788" spans="1:19" ht="16.25" customHeight="1" x14ac:dyDescent="0.35">
      <c r="A3788" s="140">
        <v>45736</v>
      </c>
      <c r="B3788" s="5">
        <f t="shared" si="987"/>
        <v>3</v>
      </c>
      <c r="C3788" s="5">
        <f t="shared" si="988"/>
        <v>2025</v>
      </c>
      <c r="D3788" s="105" t="s">
        <v>3540</v>
      </c>
      <c r="E3788" s="5" t="str">
        <f>VLOOKUP(F3788,'Set up'!$A$2:$C$70,2,FALSE)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up'!$A$2:$C$70,3,FALSE)</f>
        <v>Cash</v>
      </c>
      <c r="J3788" s="5">
        <f>VLOOKUP(F3788,'Set up'!$A$2:$D$70,4,FALSE)</f>
        <v>0</v>
      </c>
      <c r="K3788" s="4">
        <f t="shared" si="980"/>
        <v>45736</v>
      </c>
      <c r="L3788" s="5">
        <f t="shared" si="989"/>
        <v>3</v>
      </c>
      <c r="M3788" s="5">
        <f t="shared" si="990"/>
        <v>2025</v>
      </c>
      <c r="N3788" s="135">
        <v>115</v>
      </c>
      <c r="O3788" s="6">
        <f t="shared" si="991"/>
        <v>-115</v>
      </c>
      <c r="P3788" s="12">
        <f t="shared" si="978"/>
        <v>0</v>
      </c>
      <c r="Q3788" s="7">
        <v>6208037.1500000022</v>
      </c>
      <c r="R3788" s="44" t="str">
        <f>VLOOKUP(F3788,'Set up'!$A$2:$E$70,5,FALSE)</f>
        <v>Cash</v>
      </c>
      <c r="S3788" s="1" t="s">
        <v>3677</v>
      </c>
    </row>
    <row r="3789" spans="1:19" ht="16.25" customHeight="1" x14ac:dyDescent="0.35">
      <c r="A3789" s="140">
        <v>45736</v>
      </c>
      <c r="B3789" s="5">
        <f t="shared" si="987"/>
        <v>3</v>
      </c>
      <c r="C3789" s="5">
        <f t="shared" si="988"/>
        <v>2025</v>
      </c>
      <c r="D3789" s="105" t="s">
        <v>3540</v>
      </c>
      <c r="E3789" s="5" t="str">
        <f>VLOOKUP(F3789,'Set up'!$A$2:$C$70,2,FALSE)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up'!$A$2:$C$70,3,FALSE)</f>
        <v>Cash</v>
      </c>
      <c r="J3789" s="5">
        <f>VLOOKUP(F3789,'Set up'!$A$2:$D$70,4,FALSE)</f>
        <v>0</v>
      </c>
      <c r="K3789" s="4">
        <f t="shared" si="980"/>
        <v>45736</v>
      </c>
      <c r="L3789" s="5">
        <f t="shared" si="989"/>
        <v>3</v>
      </c>
      <c r="M3789" s="5">
        <f t="shared" si="990"/>
        <v>2025</v>
      </c>
      <c r="N3789" s="135">
        <v>115</v>
      </c>
      <c r="O3789" s="6">
        <f t="shared" si="991"/>
        <v>-115</v>
      </c>
      <c r="P3789" s="12">
        <f t="shared" si="978"/>
        <v>0</v>
      </c>
      <c r="Q3789" s="7">
        <v>6208152.1500000022</v>
      </c>
      <c r="R3789" s="44" t="str">
        <f>VLOOKUP(F3789,'Set up'!$A$2:$E$70,5,FALSE)</f>
        <v>Cash</v>
      </c>
      <c r="S3789" s="1" t="s">
        <v>3677</v>
      </c>
    </row>
    <row r="3790" spans="1:19" ht="16.25" customHeight="1" x14ac:dyDescent="0.35">
      <c r="A3790" s="140">
        <v>45736</v>
      </c>
      <c r="B3790" s="5">
        <f t="shared" si="987"/>
        <v>3</v>
      </c>
      <c r="C3790" s="5">
        <f t="shared" si="988"/>
        <v>2025</v>
      </c>
      <c r="D3790" s="105" t="s">
        <v>3540</v>
      </c>
      <c r="E3790" s="5" t="str">
        <f>VLOOKUP(F3790,'Set up'!$A$2:$C$70,2,FALSE)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up'!$A$2:$C$70,3,FALSE)</f>
        <v>Cash</v>
      </c>
      <c r="J3790" s="5">
        <f>VLOOKUP(F3790,'Set up'!$A$2:$D$70,4,FALSE)</f>
        <v>0</v>
      </c>
      <c r="K3790" s="4">
        <f t="shared" si="980"/>
        <v>45736</v>
      </c>
      <c r="L3790" s="5">
        <f t="shared" si="989"/>
        <v>3</v>
      </c>
      <c r="M3790" s="5">
        <f t="shared" si="990"/>
        <v>2025</v>
      </c>
      <c r="N3790" s="135">
        <v>60</v>
      </c>
      <c r="O3790" s="6">
        <f t="shared" si="991"/>
        <v>-60</v>
      </c>
      <c r="P3790" s="12">
        <f t="shared" si="978"/>
        <v>0</v>
      </c>
      <c r="Q3790" s="7">
        <v>6208212.1500000022</v>
      </c>
      <c r="R3790" s="44" t="str">
        <f>VLOOKUP(F3790,'Set up'!$A$2:$E$70,5,FALSE)</f>
        <v>Cash</v>
      </c>
      <c r="S3790" s="1" t="s">
        <v>3678</v>
      </c>
    </row>
    <row r="3791" spans="1:19" ht="16.25" customHeight="1" x14ac:dyDescent="0.35">
      <c r="A3791" s="140">
        <v>45736</v>
      </c>
      <c r="B3791" s="5">
        <f t="shared" si="987"/>
        <v>3</v>
      </c>
      <c r="C3791" s="5">
        <f t="shared" si="988"/>
        <v>2025</v>
      </c>
      <c r="D3791" s="105" t="s">
        <v>3542</v>
      </c>
      <c r="E3791" s="5" t="str">
        <f>VLOOKUP(F3791,'Set up'!$A$2:$C$70,2,FALSE)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up'!$A$2:$C$70,3,FALSE)</f>
        <v>Cash</v>
      </c>
      <c r="J3791" s="5">
        <f>VLOOKUP(F3791,'Set up'!$A$2:$D$70,4,FALSE)</f>
        <v>0</v>
      </c>
      <c r="K3791" s="4">
        <f t="shared" si="980"/>
        <v>45736</v>
      </c>
      <c r="L3791" s="5">
        <f t="shared" si="989"/>
        <v>3</v>
      </c>
      <c r="M3791" s="5">
        <f t="shared" si="990"/>
        <v>2025</v>
      </c>
      <c r="N3791" s="135">
        <v>187.5</v>
      </c>
      <c r="O3791" s="6">
        <f t="shared" si="991"/>
        <v>-187.5</v>
      </c>
      <c r="P3791" s="12">
        <f t="shared" si="978"/>
        <v>0</v>
      </c>
      <c r="Q3791" s="7">
        <v>6208399.6500000022</v>
      </c>
      <c r="R3791" s="44" t="str">
        <f>VLOOKUP(F3791,'Set up'!$A$2:$E$70,5,FALSE)</f>
        <v>Trsf</v>
      </c>
      <c r="S3791" s="1" t="s">
        <v>3986</v>
      </c>
    </row>
    <row r="3792" spans="1:19" ht="16.25" customHeight="1" x14ac:dyDescent="0.35">
      <c r="A3792" s="140">
        <v>45736</v>
      </c>
      <c r="B3792" s="5">
        <f t="shared" si="987"/>
        <v>3</v>
      </c>
      <c r="C3792" s="5">
        <f t="shared" si="988"/>
        <v>2025</v>
      </c>
      <c r="D3792" s="105" t="s">
        <v>3543</v>
      </c>
      <c r="E3792" s="5" t="str">
        <f>VLOOKUP(F3792,'Set up'!$A$2:$C$70,2,FALSE)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up'!$A$2:$C$70,3,FALSE)</f>
        <v>Cash</v>
      </c>
      <c r="J3792" s="5">
        <f>VLOOKUP(F3792,'Set up'!$A$2:$D$70,4,FALSE)</f>
        <v>0</v>
      </c>
      <c r="K3792" s="4">
        <f t="shared" si="980"/>
        <v>45736</v>
      </c>
      <c r="L3792" s="5">
        <f t="shared" si="989"/>
        <v>3</v>
      </c>
      <c r="M3792" s="5">
        <f t="shared" si="990"/>
        <v>2025</v>
      </c>
      <c r="N3792" s="135">
        <v>11340</v>
      </c>
      <c r="O3792" s="141">
        <f>-567.1-10772.9</f>
        <v>-11340</v>
      </c>
      <c r="P3792" s="12">
        <f t="shared" si="978"/>
        <v>0</v>
      </c>
      <c r="Q3792" s="7">
        <v>6219739.6500000022</v>
      </c>
      <c r="R3792" s="44" t="str">
        <f>VLOOKUP(F3792,'Set up'!$A$2:$E$70,5,FALSE)</f>
        <v>Trsf</v>
      </c>
      <c r="S3792" s="1" t="s">
        <v>3989</v>
      </c>
    </row>
    <row r="3793" spans="1:19" ht="16.25" customHeight="1" x14ac:dyDescent="0.35">
      <c r="A3793" s="140">
        <v>45736</v>
      </c>
      <c r="B3793" s="5">
        <f t="shared" si="987"/>
        <v>3</v>
      </c>
      <c r="C3793" s="5">
        <f t="shared" si="988"/>
        <v>2025</v>
      </c>
      <c r="D3793" s="105" t="s">
        <v>3543</v>
      </c>
      <c r="E3793" s="5" t="str">
        <f>VLOOKUP(F3793,'Set up'!$A$2:$C$70,2,FALSE)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up'!$A$2:$C$70,3,FALSE)</f>
        <v>Cash</v>
      </c>
      <c r="J3793" s="5">
        <f>VLOOKUP(F3793,'Set up'!$A$2:$D$70,4,FALSE)</f>
        <v>0</v>
      </c>
      <c r="K3793" s="4">
        <f t="shared" si="980"/>
        <v>45736</v>
      </c>
      <c r="L3793" s="5">
        <f t="shared" si="989"/>
        <v>3</v>
      </c>
      <c r="M3793" s="5">
        <f t="shared" si="990"/>
        <v>2025</v>
      </c>
      <c r="N3793" s="135">
        <v>3862.8</v>
      </c>
      <c r="O3793" s="6">
        <f t="shared" ref="O3793" si="992">-N3793</f>
        <v>-3862.8</v>
      </c>
      <c r="P3793" s="12">
        <f t="shared" si="978"/>
        <v>0</v>
      </c>
      <c r="Q3793" s="7">
        <v>6223602.450000002</v>
      </c>
      <c r="R3793" s="44" t="str">
        <f>VLOOKUP(F3793,'Set up'!$A$2:$E$70,5,FALSE)</f>
        <v>Trsf</v>
      </c>
      <c r="S3793" s="1" t="s">
        <v>3990</v>
      </c>
    </row>
    <row r="3794" spans="1:19" ht="16.25" customHeight="1" x14ac:dyDescent="0.35">
      <c r="A3794" s="140">
        <v>45736</v>
      </c>
      <c r="B3794" s="5">
        <f t="shared" si="987"/>
        <v>3</v>
      </c>
      <c r="C3794" s="5">
        <f t="shared" si="988"/>
        <v>2025</v>
      </c>
      <c r="D3794" s="105" t="s">
        <v>3543</v>
      </c>
      <c r="E3794" s="5" t="str">
        <f>VLOOKUP(F3794,'Set up'!$A$2:$C$70,2,FALSE)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up'!$A$2:$C$70,3,FALSE)</f>
        <v>Cash</v>
      </c>
      <c r="J3794" s="5">
        <f>VLOOKUP(F3794,'Set up'!$A$2:$D$70,4,FALSE)</f>
        <v>0</v>
      </c>
      <c r="K3794" s="4">
        <f t="shared" si="980"/>
        <v>45736</v>
      </c>
      <c r="L3794" s="5">
        <f t="shared" si="989"/>
        <v>3</v>
      </c>
      <c r="M3794" s="5">
        <f t="shared" si="990"/>
        <v>2025</v>
      </c>
      <c r="N3794" s="135">
        <v>2227.5</v>
      </c>
      <c r="O3794" s="141">
        <f>-364.3-1863.2</f>
        <v>-2227.5</v>
      </c>
      <c r="P3794" s="12">
        <f t="shared" si="978"/>
        <v>0</v>
      </c>
      <c r="Q3794" s="7">
        <v>6225829.950000002</v>
      </c>
      <c r="R3794" s="44" t="str">
        <f>VLOOKUP(F3794,'Set up'!$A$2:$E$70,5,FALSE)</f>
        <v>Trsf</v>
      </c>
      <c r="S3794" s="1" t="s">
        <v>3993</v>
      </c>
    </row>
    <row r="3795" spans="1:19" ht="16.25" customHeight="1" x14ac:dyDescent="0.35">
      <c r="A3795" s="140">
        <v>45736</v>
      </c>
      <c r="B3795" s="5">
        <f t="shared" si="987"/>
        <v>3</v>
      </c>
      <c r="C3795" s="5">
        <f t="shared" si="988"/>
        <v>2025</v>
      </c>
      <c r="D3795" s="105" t="s">
        <v>3543</v>
      </c>
      <c r="E3795" s="5" t="str">
        <f>VLOOKUP(F3795,'Set up'!$A$2:$C$70,2,FALSE)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up'!$A$2:$C$70,3,FALSE)</f>
        <v>Cash</v>
      </c>
      <c r="J3795" s="5">
        <f>VLOOKUP(F3795,'Set up'!$A$2:$D$70,4,FALSE)</f>
        <v>0</v>
      </c>
      <c r="K3795" s="4">
        <f t="shared" si="980"/>
        <v>45736</v>
      </c>
      <c r="L3795" s="5">
        <f t="shared" si="989"/>
        <v>3</v>
      </c>
      <c r="M3795" s="5">
        <f t="shared" si="990"/>
        <v>2025</v>
      </c>
      <c r="N3795" s="135">
        <v>460</v>
      </c>
      <c r="O3795" s="6">
        <f t="shared" ref="O3795:O3797" si="993">-N3795</f>
        <v>-460</v>
      </c>
      <c r="P3795" s="12">
        <f t="shared" si="978"/>
        <v>0</v>
      </c>
      <c r="Q3795" s="7">
        <v>6226289.950000002</v>
      </c>
      <c r="R3795" s="44" t="str">
        <f>VLOOKUP(F3795,'Set up'!$A$2:$E$70,5,FALSE)</f>
        <v>Trsf</v>
      </c>
      <c r="S3795" s="1" t="s">
        <v>3991</v>
      </c>
    </row>
    <row r="3796" spans="1:19" ht="16.25" customHeight="1" x14ac:dyDescent="0.35">
      <c r="A3796" s="140">
        <v>45738</v>
      </c>
      <c r="B3796" s="5">
        <f t="shared" si="987"/>
        <v>3</v>
      </c>
      <c r="C3796" s="5">
        <f t="shared" si="988"/>
        <v>2025</v>
      </c>
      <c r="D3796" s="105" t="s">
        <v>3544</v>
      </c>
      <c r="E3796" s="5" t="str">
        <f>VLOOKUP(F3796,'Set up'!$A$2:$C$70,2,FALSE)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up'!$A$2:$C$70,3,FALSE)</f>
        <v>Cash</v>
      </c>
      <c r="J3796" s="5">
        <f>VLOOKUP(F3796,'Set up'!$A$2:$D$70,4,FALSE)</f>
        <v>0</v>
      </c>
      <c r="K3796" s="4">
        <f t="shared" si="980"/>
        <v>45738</v>
      </c>
      <c r="L3796" s="5">
        <f t="shared" si="989"/>
        <v>3</v>
      </c>
      <c r="M3796" s="5">
        <f t="shared" si="990"/>
        <v>2025</v>
      </c>
      <c r="N3796" s="135">
        <v>990</v>
      </c>
      <c r="O3796" s="6">
        <f t="shared" si="993"/>
        <v>-990</v>
      </c>
      <c r="P3796" s="12">
        <f t="shared" si="978"/>
        <v>0</v>
      </c>
      <c r="Q3796" s="7">
        <v>6227279.950000002</v>
      </c>
      <c r="R3796" s="44" t="str">
        <f>VLOOKUP(F3796,'Set up'!$A$2:$E$70,5,FALSE)</f>
        <v>Trsf</v>
      </c>
      <c r="S3796" s="1" t="s">
        <v>3994</v>
      </c>
    </row>
    <row r="3797" spans="1:19" ht="16.25" customHeight="1" x14ac:dyDescent="0.35">
      <c r="A3797" s="140">
        <v>45738</v>
      </c>
      <c r="B3797" s="5">
        <f t="shared" si="987"/>
        <v>3</v>
      </c>
      <c r="C3797" s="5">
        <f t="shared" si="988"/>
        <v>2025</v>
      </c>
      <c r="D3797" s="105" t="s">
        <v>3544</v>
      </c>
      <c r="E3797" s="5" t="str">
        <f>VLOOKUP(F3797,'Set up'!$A$2:$C$70,2,FALSE)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up'!$A$2:$C$70,3,FALSE)</f>
        <v>Cash</v>
      </c>
      <c r="J3797" s="5">
        <f>VLOOKUP(F3797,'Set up'!$A$2:$D$70,4,FALSE)</f>
        <v>0</v>
      </c>
      <c r="K3797" s="4">
        <f t="shared" si="980"/>
        <v>45738</v>
      </c>
      <c r="L3797" s="5">
        <f t="shared" si="989"/>
        <v>3</v>
      </c>
      <c r="M3797" s="5">
        <f t="shared" si="990"/>
        <v>2025</v>
      </c>
      <c r="N3797" s="135">
        <v>1000</v>
      </c>
      <c r="O3797" s="6">
        <f t="shared" si="993"/>
        <v>-1000</v>
      </c>
      <c r="P3797" s="12">
        <f t="shared" si="978"/>
        <v>0</v>
      </c>
      <c r="Q3797" s="7">
        <v>6228279.950000002</v>
      </c>
      <c r="R3797" s="44" t="str">
        <f>VLOOKUP(F3797,'Set up'!$A$2:$E$70,5,FALSE)</f>
        <v>Trsf</v>
      </c>
      <c r="S3797" s="1" t="s">
        <v>3995</v>
      </c>
    </row>
    <row r="3798" spans="1:19" ht="16.25" customHeight="1" x14ac:dyDescent="0.35">
      <c r="A3798" s="140">
        <v>45740</v>
      </c>
      <c r="B3798" s="5">
        <f t="shared" si="987"/>
        <v>3</v>
      </c>
      <c r="C3798" s="5">
        <f t="shared" si="988"/>
        <v>2025</v>
      </c>
      <c r="D3798" s="105" t="s">
        <v>3545</v>
      </c>
      <c r="E3798" s="5" t="str">
        <f>VLOOKUP(F3798,'Set up'!$A$2:$C$70,2,FALSE)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up'!$A$2:$C$70,3,FALSE)</f>
        <v>Cash</v>
      </c>
      <c r="J3798" s="5">
        <f>VLOOKUP(F3798,'Set up'!$A$2:$D$70,4,FALSE)</f>
        <v>0</v>
      </c>
      <c r="K3798" s="4">
        <f t="shared" si="980"/>
        <v>45740</v>
      </c>
      <c r="L3798" s="5">
        <f t="shared" si="989"/>
        <v>3</v>
      </c>
      <c r="M3798" s="5">
        <f t="shared" si="990"/>
        <v>2025</v>
      </c>
      <c r="N3798" s="135">
        <v>1642.5</v>
      </c>
      <c r="O3798" s="6">
        <f t="shared" ref="O3798:O3802" si="994">-N3798</f>
        <v>-1642.5</v>
      </c>
      <c r="P3798" s="12">
        <f t="shared" si="978"/>
        <v>0</v>
      </c>
      <c r="Q3798" s="7">
        <v>6229922.450000002</v>
      </c>
      <c r="R3798" s="44" t="str">
        <f>VLOOKUP(F3798,'Set up'!$A$2:$E$70,5,FALSE)</f>
        <v>Cash</v>
      </c>
      <c r="S3798" s="1" t="s">
        <v>3602</v>
      </c>
    </row>
    <row r="3799" spans="1:19" ht="16.25" customHeight="1" x14ac:dyDescent="0.35">
      <c r="A3799" s="140">
        <v>45740</v>
      </c>
      <c r="B3799" s="5">
        <f t="shared" si="987"/>
        <v>3</v>
      </c>
      <c r="C3799" s="5">
        <f t="shared" si="988"/>
        <v>2025</v>
      </c>
      <c r="D3799" s="105" t="s">
        <v>3545</v>
      </c>
      <c r="E3799" s="5" t="str">
        <f>VLOOKUP(F3799,'Set up'!$A$2:$C$70,2,FALSE)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up'!$A$2:$C$70,3,FALSE)</f>
        <v>Cash</v>
      </c>
      <c r="J3799" s="5">
        <f>VLOOKUP(F3799,'Set up'!$A$2:$D$70,4,FALSE)</f>
        <v>0</v>
      </c>
      <c r="K3799" s="4">
        <f t="shared" si="980"/>
        <v>45740</v>
      </c>
      <c r="L3799" s="5">
        <f t="shared" si="989"/>
        <v>3</v>
      </c>
      <c r="M3799" s="5">
        <f t="shared" si="990"/>
        <v>2025</v>
      </c>
      <c r="N3799" s="135">
        <v>313.2</v>
      </c>
      <c r="O3799" s="6">
        <f t="shared" si="994"/>
        <v>-313.2</v>
      </c>
      <c r="P3799" s="12">
        <f t="shared" si="978"/>
        <v>0</v>
      </c>
      <c r="Q3799" s="7">
        <v>6230235.6500000022</v>
      </c>
      <c r="R3799" s="44" t="str">
        <f>VLOOKUP(F3799,'Set up'!$A$2:$E$70,5,FALSE)</f>
        <v>Cash</v>
      </c>
      <c r="S3799" s="1" t="s">
        <v>3602</v>
      </c>
    </row>
    <row r="3800" spans="1:19" ht="16.25" customHeight="1" x14ac:dyDescent="0.35">
      <c r="A3800" s="140">
        <v>45740</v>
      </c>
      <c r="B3800" s="5">
        <f t="shared" si="987"/>
        <v>3</v>
      </c>
      <c r="C3800" s="5">
        <f t="shared" si="988"/>
        <v>2025</v>
      </c>
      <c r="D3800" s="105" t="s">
        <v>3545</v>
      </c>
      <c r="E3800" s="5" t="str">
        <f>VLOOKUP(F3800,'Set up'!$A$2:$C$70,2,FALSE)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up'!$A$2:$C$70,3,FALSE)</f>
        <v>Cash</v>
      </c>
      <c r="J3800" s="5">
        <f>VLOOKUP(F3800,'Set up'!$A$2:$D$70,4,FALSE)</f>
        <v>0</v>
      </c>
      <c r="K3800" s="4">
        <f t="shared" si="980"/>
        <v>45740</v>
      </c>
      <c r="L3800" s="5">
        <f t="shared" si="989"/>
        <v>3</v>
      </c>
      <c r="M3800" s="5">
        <f t="shared" si="990"/>
        <v>2025</v>
      </c>
      <c r="N3800" s="135">
        <v>115</v>
      </c>
      <c r="O3800" s="6">
        <f t="shared" si="994"/>
        <v>-115</v>
      </c>
      <c r="P3800" s="12">
        <f t="shared" si="978"/>
        <v>0</v>
      </c>
      <c r="Q3800" s="7">
        <v>6230350.6500000022</v>
      </c>
      <c r="R3800" s="44" t="str">
        <f>VLOOKUP(F3800,'Set up'!$A$2:$E$70,5,FALSE)</f>
        <v>Cash</v>
      </c>
      <c r="S3800" s="1" t="s">
        <v>3602</v>
      </c>
    </row>
    <row r="3801" spans="1:19" ht="16.25" customHeight="1" x14ac:dyDescent="0.35">
      <c r="A3801" s="140">
        <v>45740</v>
      </c>
      <c r="B3801" s="5">
        <f t="shared" si="987"/>
        <v>3</v>
      </c>
      <c r="C3801" s="5">
        <f t="shared" si="988"/>
        <v>2025</v>
      </c>
      <c r="D3801" s="105" t="s">
        <v>3545</v>
      </c>
      <c r="E3801" s="5" t="str">
        <f>VLOOKUP(F3801,'Set up'!$A$2:$C$70,2,FALSE)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up'!$A$2:$C$70,3,FALSE)</f>
        <v>Cash</v>
      </c>
      <c r="J3801" s="5">
        <f>VLOOKUP(F3801,'Set up'!$A$2:$D$70,4,FALSE)</f>
        <v>0</v>
      </c>
      <c r="K3801" s="4">
        <f t="shared" si="980"/>
        <v>45740</v>
      </c>
      <c r="L3801" s="5">
        <f t="shared" si="989"/>
        <v>3</v>
      </c>
      <c r="M3801" s="5">
        <f t="shared" si="990"/>
        <v>2025</v>
      </c>
      <c r="N3801" s="135">
        <v>172.5</v>
      </c>
      <c r="O3801" s="6">
        <f t="shared" si="994"/>
        <v>-172.5</v>
      </c>
      <c r="P3801" s="12">
        <f t="shared" si="978"/>
        <v>0</v>
      </c>
      <c r="Q3801" s="7">
        <v>6230523.1500000022</v>
      </c>
      <c r="R3801" s="44" t="str">
        <f>VLOOKUP(F3801,'Set up'!$A$2:$E$70,5,FALSE)</f>
        <v>Cash</v>
      </c>
      <c r="S3801" s="1" t="s">
        <v>3602</v>
      </c>
    </row>
    <row r="3802" spans="1:19" ht="16.25" customHeight="1" x14ac:dyDescent="0.35">
      <c r="A3802" s="140">
        <v>45740</v>
      </c>
      <c r="B3802" s="5">
        <f t="shared" si="987"/>
        <v>3</v>
      </c>
      <c r="C3802" s="5">
        <f t="shared" si="988"/>
        <v>2025</v>
      </c>
      <c r="D3802" s="105" t="s">
        <v>3546</v>
      </c>
      <c r="E3802" s="5" t="str">
        <f>VLOOKUP(F3802,'Set up'!$A$2:$C$70,2,FALSE)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up'!$A$2:$C$70,3,FALSE)</f>
        <v>Cash</v>
      </c>
      <c r="J3802" s="5">
        <f>VLOOKUP(F3802,'Set up'!$A$2:$D$70,4,FALSE)</f>
        <v>0</v>
      </c>
      <c r="K3802" s="4">
        <f t="shared" si="980"/>
        <v>45740</v>
      </c>
      <c r="L3802" s="5">
        <f t="shared" si="989"/>
        <v>3</v>
      </c>
      <c r="M3802" s="5">
        <f t="shared" si="990"/>
        <v>2025</v>
      </c>
      <c r="N3802" s="135">
        <v>375</v>
      </c>
      <c r="O3802" s="6">
        <f t="shared" si="994"/>
        <v>-375</v>
      </c>
      <c r="P3802" s="12">
        <f t="shared" si="978"/>
        <v>0</v>
      </c>
      <c r="Q3802" s="7">
        <v>6230898.1500000022</v>
      </c>
      <c r="R3802" s="44" t="str">
        <f>VLOOKUP(F3802,'Set up'!$A$2:$E$70,5,FALSE)</f>
        <v>Trsf</v>
      </c>
      <c r="S3802" s="1" t="s">
        <v>3992</v>
      </c>
    </row>
    <row r="3803" spans="1:19" ht="16.25" customHeight="1" x14ac:dyDescent="0.35">
      <c r="A3803" s="140">
        <v>45740</v>
      </c>
      <c r="B3803" s="5">
        <f t="shared" si="987"/>
        <v>3</v>
      </c>
      <c r="C3803" s="5">
        <f t="shared" si="988"/>
        <v>2025</v>
      </c>
      <c r="D3803" s="105" t="s">
        <v>3547</v>
      </c>
      <c r="E3803" s="5" t="str">
        <f>VLOOKUP(F3803,'Set up'!$A$2:$C$70,2,FALSE)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up'!$A$2:$C$70,3,FALSE)</f>
        <v>Cash</v>
      </c>
      <c r="J3803" s="5">
        <f>VLOOKUP(F3803,'Set up'!$A$2:$D$70,4,FALSE)</f>
        <v>0</v>
      </c>
      <c r="K3803" s="4">
        <f t="shared" si="980"/>
        <v>45740</v>
      </c>
      <c r="L3803" s="5">
        <f t="shared" si="989"/>
        <v>3</v>
      </c>
      <c r="M3803" s="5">
        <f t="shared" si="990"/>
        <v>2025</v>
      </c>
      <c r="N3803" s="135">
        <v>19440</v>
      </c>
      <c r="O3803" s="141">
        <f>-5311.8</f>
        <v>-5311.8</v>
      </c>
      <c r="P3803" s="12">
        <f t="shared" si="978"/>
        <v>14128.2</v>
      </c>
      <c r="Q3803" s="7">
        <v>6250338.1500000022</v>
      </c>
      <c r="R3803" s="44" t="str">
        <f>VLOOKUP(F3803,'Set up'!$A$2:$E$70,5,FALSE)</f>
        <v>Trsf</v>
      </c>
      <c r="S3803" s="1" t="s">
        <v>3996</v>
      </c>
    </row>
    <row r="3804" spans="1:19" ht="16.25" customHeight="1" x14ac:dyDescent="0.35">
      <c r="A3804" s="140">
        <v>45740</v>
      </c>
      <c r="B3804" s="5">
        <f t="shared" si="987"/>
        <v>3</v>
      </c>
      <c r="C3804" s="5">
        <f t="shared" si="988"/>
        <v>2025</v>
      </c>
      <c r="D3804" s="105" t="s">
        <v>3547</v>
      </c>
      <c r="E3804" s="5" t="str">
        <f>VLOOKUP(F3804,'Set up'!$A$2:$C$70,2,FALSE)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up'!$A$2:$C$70,3,FALSE)</f>
        <v>Cash</v>
      </c>
      <c r="J3804" s="5">
        <f>VLOOKUP(F3804,'Set up'!$A$2:$D$70,4,FALSE)</f>
        <v>0</v>
      </c>
      <c r="K3804" s="4">
        <f t="shared" si="980"/>
        <v>45740</v>
      </c>
      <c r="L3804" s="5">
        <f t="shared" si="989"/>
        <v>3</v>
      </c>
      <c r="M3804" s="5">
        <f t="shared" si="990"/>
        <v>2025</v>
      </c>
      <c r="N3804" s="135">
        <v>8584</v>
      </c>
      <c r="O3804" s="141"/>
      <c r="P3804" s="12">
        <f t="shared" si="978"/>
        <v>8584</v>
      </c>
      <c r="Q3804" s="7">
        <v>6258922.1500000022</v>
      </c>
      <c r="R3804" s="44" t="str">
        <f>VLOOKUP(F3804,'Set up'!$A$2:$E$70,5,FALSE)</f>
        <v>Trsf</v>
      </c>
    </row>
    <row r="3805" spans="1:19" ht="16.25" customHeight="1" x14ac:dyDescent="0.35">
      <c r="A3805" s="140">
        <v>45740</v>
      </c>
      <c r="B3805" s="5">
        <f t="shared" si="987"/>
        <v>3</v>
      </c>
      <c r="C3805" s="5">
        <f t="shared" si="988"/>
        <v>2025</v>
      </c>
      <c r="D3805" s="105" t="s">
        <v>3547</v>
      </c>
      <c r="E3805" s="5" t="str">
        <f>VLOOKUP(F3805,'Set up'!$A$2:$C$70,2,FALSE)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up'!$A$2:$C$70,3,FALSE)</f>
        <v>Cash</v>
      </c>
      <c r="J3805" s="5">
        <f>VLOOKUP(F3805,'Set up'!$A$2:$D$70,4,FALSE)</f>
        <v>0</v>
      </c>
      <c r="K3805" s="4">
        <f t="shared" si="980"/>
        <v>45740</v>
      </c>
      <c r="L3805" s="5">
        <f t="shared" si="989"/>
        <v>3</v>
      </c>
      <c r="M3805" s="5">
        <f t="shared" si="990"/>
        <v>2025</v>
      </c>
      <c r="N3805" s="135">
        <v>4950</v>
      </c>
      <c r="O3805" s="141"/>
      <c r="P3805" s="12">
        <f t="shared" si="978"/>
        <v>4950</v>
      </c>
      <c r="Q3805" s="7">
        <v>6263872.1500000022</v>
      </c>
      <c r="R3805" s="44" t="str">
        <f>VLOOKUP(F3805,'Set up'!$A$2:$E$70,5,FALSE)</f>
        <v>Trsf</v>
      </c>
    </row>
    <row r="3806" spans="1:19" ht="16.25" customHeight="1" x14ac:dyDescent="0.35">
      <c r="A3806" s="140">
        <v>45740</v>
      </c>
      <c r="B3806" s="5">
        <f t="shared" si="987"/>
        <v>3</v>
      </c>
      <c r="C3806" s="5">
        <f t="shared" si="988"/>
        <v>2025</v>
      </c>
      <c r="D3806" s="105" t="s">
        <v>3547</v>
      </c>
      <c r="E3806" s="5" t="str">
        <f>VLOOKUP(F3806,'Set up'!$A$2:$C$70,2,FALSE)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up'!$A$2:$C$70,3,FALSE)</f>
        <v>Cash</v>
      </c>
      <c r="J3806" s="5">
        <f>VLOOKUP(F3806,'Set up'!$A$2:$D$70,4,FALSE)</f>
        <v>0</v>
      </c>
      <c r="K3806" s="4">
        <f t="shared" si="980"/>
        <v>45740</v>
      </c>
      <c r="L3806" s="5">
        <f t="shared" si="989"/>
        <v>3</v>
      </c>
      <c r="M3806" s="5">
        <f t="shared" si="990"/>
        <v>2025</v>
      </c>
      <c r="N3806" s="135">
        <v>460</v>
      </c>
      <c r="O3806" s="141"/>
      <c r="P3806" s="12">
        <f t="shared" si="978"/>
        <v>460</v>
      </c>
      <c r="Q3806" s="7">
        <v>6264332.1500000022</v>
      </c>
      <c r="R3806" s="44" t="str">
        <f>VLOOKUP(F3806,'Set up'!$A$2:$E$70,5,FALSE)</f>
        <v>Trsf</v>
      </c>
    </row>
    <row r="3807" spans="1:19" ht="16.25" customHeight="1" x14ac:dyDescent="0.35">
      <c r="A3807" s="140">
        <v>45740</v>
      </c>
      <c r="B3807" s="5">
        <f t="shared" si="987"/>
        <v>3</v>
      </c>
      <c r="C3807" s="5">
        <f t="shared" si="988"/>
        <v>2025</v>
      </c>
      <c r="D3807" s="105" t="s">
        <v>3547</v>
      </c>
      <c r="E3807" s="5" t="str">
        <f>VLOOKUP(F3807,'Set up'!$A$2:$C$70,2,FALSE)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up'!$A$2:$C$70,3,FALSE)</f>
        <v>Cash</v>
      </c>
      <c r="J3807" s="5">
        <f>VLOOKUP(F3807,'Set up'!$A$2:$D$70,4,FALSE)</f>
        <v>0</v>
      </c>
      <c r="K3807" s="4">
        <f t="shared" si="980"/>
        <v>45740</v>
      </c>
      <c r="L3807" s="5">
        <f t="shared" si="989"/>
        <v>3</v>
      </c>
      <c r="M3807" s="5">
        <f t="shared" si="990"/>
        <v>2025</v>
      </c>
      <c r="N3807" s="135">
        <v>975</v>
      </c>
      <c r="O3807" s="141"/>
      <c r="P3807" s="12">
        <f t="shared" si="978"/>
        <v>975</v>
      </c>
      <c r="Q3807" s="7">
        <v>6265307.1500000022</v>
      </c>
      <c r="R3807" s="44" t="str">
        <f>VLOOKUP(F3807,'Set up'!$A$2:$E$70,5,FALSE)</f>
        <v>Trsf</v>
      </c>
    </row>
    <row r="3808" spans="1:19" ht="16.25" customHeight="1" x14ac:dyDescent="0.35">
      <c r="A3808" s="140">
        <v>45743</v>
      </c>
      <c r="B3808" s="5">
        <f t="shared" si="987"/>
        <v>3</v>
      </c>
      <c r="C3808" s="5">
        <f t="shared" si="988"/>
        <v>2025</v>
      </c>
      <c r="D3808" s="105" t="s">
        <v>3548</v>
      </c>
      <c r="E3808" s="5" t="str">
        <f>VLOOKUP(F3808,'Set up'!$A$2:$C$70,2,FALSE)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up'!$A$2:$C$70,3,FALSE)</f>
        <v>Cash</v>
      </c>
      <c r="J3808" s="5">
        <f>VLOOKUP(F3808,'Set up'!$A$2:$D$70,4,FALSE)</f>
        <v>0</v>
      </c>
      <c r="K3808" s="4">
        <f t="shared" si="980"/>
        <v>45743</v>
      </c>
      <c r="L3808" s="5">
        <f t="shared" si="989"/>
        <v>3</v>
      </c>
      <c r="M3808" s="5">
        <f t="shared" si="990"/>
        <v>2025</v>
      </c>
      <c r="N3808" s="135">
        <v>810</v>
      </c>
      <c r="O3808" s="6">
        <f t="shared" ref="O3808:O3812" si="995">-N3808</f>
        <v>-810</v>
      </c>
      <c r="P3808" s="6">
        <f t="shared" ref="P3808:P3871" si="996">SUM(N3808+O3808)</f>
        <v>0</v>
      </c>
      <c r="Q3808" s="7">
        <v>6266117.1500000022</v>
      </c>
      <c r="R3808" s="44" t="str">
        <f>VLOOKUP(F3808,'Set up'!$A$2:$E$70,5,FALSE)</f>
        <v>Chq</v>
      </c>
      <c r="S3808" s="1" t="s">
        <v>3596</v>
      </c>
    </row>
    <row r="3809" spans="1:19" ht="16.25" customHeight="1" x14ac:dyDescent="0.35">
      <c r="A3809" s="140">
        <v>45743</v>
      </c>
      <c r="B3809" s="5">
        <f t="shared" si="987"/>
        <v>3</v>
      </c>
      <c r="C3809" s="5">
        <f t="shared" si="988"/>
        <v>2025</v>
      </c>
      <c r="D3809" s="105" t="s">
        <v>3548</v>
      </c>
      <c r="E3809" s="5" t="str">
        <f>VLOOKUP(F3809,'Set up'!$A$2:$C$70,2,FALSE)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up'!$A$2:$C$70,3,FALSE)</f>
        <v>Cash</v>
      </c>
      <c r="J3809" s="5">
        <f>VLOOKUP(F3809,'Set up'!$A$2:$D$70,4,FALSE)</f>
        <v>0</v>
      </c>
      <c r="K3809" s="4">
        <f t="shared" si="980"/>
        <v>45743</v>
      </c>
      <c r="L3809" s="5">
        <f t="shared" si="989"/>
        <v>3</v>
      </c>
      <c r="M3809" s="5">
        <f t="shared" si="990"/>
        <v>2025</v>
      </c>
      <c r="N3809" s="135">
        <v>1400</v>
      </c>
      <c r="O3809" s="6">
        <f t="shared" si="995"/>
        <v>-1400</v>
      </c>
      <c r="P3809" s="6">
        <f t="shared" si="996"/>
        <v>0</v>
      </c>
      <c r="Q3809" s="7">
        <v>6267517.1500000022</v>
      </c>
      <c r="R3809" s="44" t="str">
        <f>VLOOKUP(F3809,'Set up'!$A$2:$E$70,5,FALSE)</f>
        <v>Chq</v>
      </c>
      <c r="S3809" s="1" t="s">
        <v>3596</v>
      </c>
    </row>
    <row r="3810" spans="1:19" ht="16.25" customHeight="1" x14ac:dyDescent="0.35">
      <c r="A3810" s="140">
        <v>45743</v>
      </c>
      <c r="B3810" s="5">
        <f t="shared" si="987"/>
        <v>3</v>
      </c>
      <c r="C3810" s="5">
        <f t="shared" si="988"/>
        <v>2025</v>
      </c>
      <c r="D3810" s="105" t="s">
        <v>3548</v>
      </c>
      <c r="E3810" s="5" t="str">
        <f>VLOOKUP(F3810,'Set up'!$A$2:$C$70,2,FALSE)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up'!$A$2:$C$70,3,FALSE)</f>
        <v>Cash</v>
      </c>
      <c r="J3810" s="5">
        <f>VLOOKUP(F3810,'Set up'!$A$2:$D$70,4,FALSE)</f>
        <v>0</v>
      </c>
      <c r="K3810" s="4">
        <f t="shared" si="980"/>
        <v>45743</v>
      </c>
      <c r="L3810" s="5">
        <f t="shared" si="989"/>
        <v>3</v>
      </c>
      <c r="M3810" s="5">
        <f t="shared" si="990"/>
        <v>2025</v>
      </c>
      <c r="N3810" s="135">
        <v>55.2</v>
      </c>
      <c r="O3810" s="6">
        <f t="shared" si="995"/>
        <v>-55.2</v>
      </c>
      <c r="P3810" s="6">
        <f t="shared" si="996"/>
        <v>0</v>
      </c>
      <c r="Q3810" s="7">
        <v>6267572.3500000024</v>
      </c>
      <c r="R3810" s="44" t="str">
        <f>VLOOKUP(F3810,'Set up'!$A$2:$E$70,5,FALSE)</f>
        <v>Chq</v>
      </c>
      <c r="S3810" s="1" t="s">
        <v>3596</v>
      </c>
    </row>
    <row r="3811" spans="1:19" ht="16.25" customHeight="1" x14ac:dyDescent="0.35">
      <c r="A3811" s="140">
        <v>45743</v>
      </c>
      <c r="B3811" s="5">
        <f t="shared" si="987"/>
        <v>3</v>
      </c>
      <c r="C3811" s="5">
        <f t="shared" si="988"/>
        <v>2025</v>
      </c>
      <c r="D3811" s="105" t="s">
        <v>3548</v>
      </c>
      <c r="E3811" s="5" t="str">
        <f>VLOOKUP(F3811,'Set up'!$A$2:$C$70,2,FALSE)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up'!$A$2:$C$70,3,FALSE)</f>
        <v>Cash</v>
      </c>
      <c r="J3811" s="5">
        <f>VLOOKUP(F3811,'Set up'!$A$2:$D$70,4,FALSE)</f>
        <v>0</v>
      </c>
      <c r="K3811" s="4">
        <f t="shared" si="980"/>
        <v>45743</v>
      </c>
      <c r="L3811" s="5">
        <f t="shared" si="989"/>
        <v>3</v>
      </c>
      <c r="M3811" s="5">
        <f t="shared" si="990"/>
        <v>2025</v>
      </c>
      <c r="N3811" s="135">
        <v>1720</v>
      </c>
      <c r="O3811" s="6">
        <f t="shared" si="995"/>
        <v>-1720</v>
      </c>
      <c r="P3811" s="6">
        <f t="shared" si="996"/>
        <v>0</v>
      </c>
      <c r="Q3811" s="7">
        <v>6269292.3500000024</v>
      </c>
      <c r="R3811" s="44" t="str">
        <f>VLOOKUP(F3811,'Set up'!$A$2:$E$70,5,FALSE)</f>
        <v>Chq</v>
      </c>
      <c r="S3811" s="1" t="s">
        <v>3596</v>
      </c>
    </row>
    <row r="3812" spans="1:19" ht="16.25" customHeight="1" x14ac:dyDescent="0.35">
      <c r="A3812" s="140">
        <v>45743</v>
      </c>
      <c r="B3812" s="5">
        <f t="shared" si="987"/>
        <v>3</v>
      </c>
      <c r="C3812" s="5">
        <f t="shared" si="988"/>
        <v>2025</v>
      </c>
      <c r="D3812" s="105" t="s">
        <v>3548</v>
      </c>
      <c r="E3812" s="5" t="str">
        <f>VLOOKUP(F3812,'Set up'!$A$2:$C$70,2,FALSE)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up'!$A$2:$C$70,3,FALSE)</f>
        <v>Cash</v>
      </c>
      <c r="J3812" s="5">
        <f>VLOOKUP(F3812,'Set up'!$A$2:$D$70,4,FALSE)</f>
        <v>0</v>
      </c>
      <c r="K3812" s="4">
        <f t="shared" ref="K3812:K3875" si="997">A3812+J3812</f>
        <v>45743</v>
      </c>
      <c r="L3812" s="5">
        <f t="shared" si="989"/>
        <v>3</v>
      </c>
      <c r="M3812" s="5">
        <f t="shared" si="990"/>
        <v>2025</v>
      </c>
      <c r="N3812" s="135">
        <v>2838</v>
      </c>
      <c r="O3812" s="6">
        <f t="shared" si="995"/>
        <v>-2838</v>
      </c>
      <c r="P3812" s="6">
        <f t="shared" si="996"/>
        <v>0</v>
      </c>
      <c r="Q3812" s="7">
        <v>6272130.3500000024</v>
      </c>
      <c r="R3812" s="44" t="str">
        <f>VLOOKUP(F3812,'Set up'!$A$2:$E$70,5,FALSE)</f>
        <v>Chq</v>
      </c>
      <c r="S3812" s="1" t="s">
        <v>3596</v>
      </c>
    </row>
    <row r="3813" spans="1:19" ht="16.25" customHeight="1" x14ac:dyDescent="0.35">
      <c r="A3813" s="140">
        <v>45744</v>
      </c>
      <c r="B3813" s="5">
        <f t="shared" si="987"/>
        <v>3</v>
      </c>
      <c r="C3813" s="5">
        <f t="shared" si="988"/>
        <v>2025</v>
      </c>
      <c r="D3813" s="105" t="s">
        <v>3550</v>
      </c>
      <c r="E3813" s="5" t="str">
        <f>VLOOKUP(F3813,'Set up'!$A$2:$C$70,2,FALSE)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up'!$A$2:$C$70,3,FALSE)</f>
        <v>Cash</v>
      </c>
      <c r="J3813" s="5">
        <f>VLOOKUP(F3813,'Set up'!$A$2:$D$70,4,FALSE)</f>
        <v>0</v>
      </c>
      <c r="K3813" s="4">
        <f t="shared" si="997"/>
        <v>45744</v>
      </c>
      <c r="L3813" s="5">
        <f t="shared" si="989"/>
        <v>3</v>
      </c>
      <c r="M3813" s="5">
        <f t="shared" si="990"/>
        <v>2025</v>
      </c>
      <c r="N3813" s="135">
        <v>375</v>
      </c>
      <c r="O3813" s="141"/>
      <c r="P3813" s="12">
        <f t="shared" si="996"/>
        <v>375</v>
      </c>
      <c r="Q3813" s="7">
        <v>6272505.3500000024</v>
      </c>
      <c r="R3813" s="44" t="str">
        <f>VLOOKUP(F3813,'Set up'!$A$2:$E$70,5,FALSE)</f>
        <v>Trsf</v>
      </c>
    </row>
    <row r="3814" spans="1:19" ht="16.25" customHeight="1" x14ac:dyDescent="0.35">
      <c r="A3814" s="140">
        <v>45744</v>
      </c>
      <c r="B3814" s="5">
        <f t="shared" si="987"/>
        <v>3</v>
      </c>
      <c r="C3814" s="5">
        <f t="shared" si="988"/>
        <v>2025</v>
      </c>
      <c r="D3814" s="105" t="s">
        <v>3551</v>
      </c>
      <c r="E3814" s="5" t="str">
        <f>VLOOKUP(F3814,'Set up'!$A$2:$C$70,2,FALSE)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up'!$A$2:$C$70,3,FALSE)</f>
        <v>Cash</v>
      </c>
      <c r="J3814" s="5">
        <f>VLOOKUP(F3814,'Set up'!$A$2:$D$70,4,FALSE)</f>
        <v>0</v>
      </c>
      <c r="K3814" s="4">
        <f t="shared" si="997"/>
        <v>45744</v>
      </c>
      <c r="L3814" s="5">
        <f t="shared" si="989"/>
        <v>3</v>
      </c>
      <c r="M3814" s="5">
        <f t="shared" si="990"/>
        <v>2025</v>
      </c>
      <c r="N3814" s="135">
        <v>19440</v>
      </c>
      <c r="O3814" s="141"/>
      <c r="P3814" s="12">
        <f t="shared" si="996"/>
        <v>19440</v>
      </c>
      <c r="Q3814" s="7">
        <v>6291945.3500000024</v>
      </c>
      <c r="R3814" s="44" t="str">
        <f>VLOOKUP(F3814,'Set up'!$A$2:$E$70,5,FALSE)</f>
        <v>Trsf</v>
      </c>
    </row>
    <row r="3815" spans="1:19" ht="16.25" customHeight="1" x14ac:dyDescent="0.35">
      <c r="A3815" s="140">
        <v>45744</v>
      </c>
      <c r="B3815" s="5">
        <f t="shared" si="987"/>
        <v>3</v>
      </c>
      <c r="C3815" s="5">
        <f t="shared" si="988"/>
        <v>2025</v>
      </c>
      <c r="D3815" s="105" t="s">
        <v>3551</v>
      </c>
      <c r="E3815" s="5" t="str">
        <f>VLOOKUP(F3815,'Set up'!$A$2:$C$70,2,FALSE)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up'!$A$2:$C$70,3,FALSE)</f>
        <v>Cash</v>
      </c>
      <c r="J3815" s="5">
        <f>VLOOKUP(F3815,'Set up'!$A$2:$D$70,4,FALSE)</f>
        <v>0</v>
      </c>
      <c r="K3815" s="4">
        <f t="shared" si="997"/>
        <v>45744</v>
      </c>
      <c r="L3815" s="5">
        <f t="shared" si="989"/>
        <v>3</v>
      </c>
      <c r="M3815" s="5">
        <f t="shared" si="990"/>
        <v>2025</v>
      </c>
      <c r="N3815" s="135">
        <v>7725.6</v>
      </c>
      <c r="O3815" s="141"/>
      <c r="P3815" s="12">
        <f t="shared" si="996"/>
        <v>7725.6</v>
      </c>
      <c r="Q3815" s="7">
        <v>6299670.950000002</v>
      </c>
      <c r="R3815" s="44" t="str">
        <f>VLOOKUP(F3815,'Set up'!$A$2:$E$70,5,FALSE)</f>
        <v>Trsf</v>
      </c>
    </row>
    <row r="3816" spans="1:19" ht="16.25" customHeight="1" x14ac:dyDescent="0.35">
      <c r="A3816" s="140">
        <v>45744</v>
      </c>
      <c r="B3816" s="5">
        <f t="shared" si="987"/>
        <v>3</v>
      </c>
      <c r="C3816" s="5">
        <f t="shared" si="988"/>
        <v>2025</v>
      </c>
      <c r="D3816" s="105" t="s">
        <v>3551</v>
      </c>
      <c r="E3816" s="5" t="str">
        <f>VLOOKUP(F3816,'Set up'!$A$2:$C$70,2,FALSE)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up'!$A$2:$C$70,3,FALSE)</f>
        <v>Cash</v>
      </c>
      <c r="J3816" s="5">
        <f>VLOOKUP(F3816,'Set up'!$A$2:$D$70,4,FALSE)</f>
        <v>0</v>
      </c>
      <c r="K3816" s="4">
        <f t="shared" si="997"/>
        <v>45744</v>
      </c>
      <c r="L3816" s="5">
        <f t="shared" si="989"/>
        <v>3</v>
      </c>
      <c r="M3816" s="5">
        <f t="shared" si="990"/>
        <v>2025</v>
      </c>
      <c r="N3816" s="135">
        <v>2475</v>
      </c>
      <c r="O3816" s="141"/>
      <c r="P3816" s="12">
        <f t="shared" si="996"/>
        <v>2475</v>
      </c>
      <c r="Q3816" s="7">
        <v>6302145.950000002</v>
      </c>
      <c r="R3816" s="44" t="str">
        <f>VLOOKUP(F3816,'Set up'!$A$2:$E$70,5,FALSE)</f>
        <v>Trsf</v>
      </c>
    </row>
    <row r="3817" spans="1:19" ht="16.25" customHeight="1" x14ac:dyDescent="0.35">
      <c r="A3817" s="140">
        <v>45744</v>
      </c>
      <c r="B3817" s="5">
        <f t="shared" si="987"/>
        <v>3</v>
      </c>
      <c r="C3817" s="5">
        <f t="shared" si="988"/>
        <v>2025</v>
      </c>
      <c r="D3817" s="105" t="s">
        <v>3551</v>
      </c>
      <c r="E3817" s="5" t="str">
        <f>VLOOKUP(F3817,'Set up'!$A$2:$C$70,2,FALSE)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up'!$A$2:$C$70,3,FALSE)</f>
        <v>Cash</v>
      </c>
      <c r="J3817" s="5">
        <f>VLOOKUP(F3817,'Set up'!$A$2:$D$70,4,FALSE)</f>
        <v>0</v>
      </c>
      <c r="K3817" s="4">
        <f t="shared" si="997"/>
        <v>45744</v>
      </c>
      <c r="L3817" s="5">
        <f t="shared" si="989"/>
        <v>3</v>
      </c>
      <c r="M3817" s="5">
        <f t="shared" si="990"/>
        <v>2025</v>
      </c>
      <c r="N3817" s="135">
        <v>1760</v>
      </c>
      <c r="O3817" s="141"/>
      <c r="P3817" s="12">
        <f t="shared" si="996"/>
        <v>1760</v>
      </c>
      <c r="Q3817" s="7">
        <v>6303905.950000002</v>
      </c>
      <c r="R3817" s="44" t="str">
        <f>VLOOKUP(F3817,'Set up'!$A$2:$E$70,5,FALSE)</f>
        <v>Trsf</v>
      </c>
    </row>
    <row r="3818" spans="1:19" ht="16.25" customHeight="1" x14ac:dyDescent="0.35">
      <c r="A3818" s="140">
        <v>45744</v>
      </c>
      <c r="B3818" s="5">
        <f t="shared" si="987"/>
        <v>3</v>
      </c>
      <c r="C3818" s="5">
        <f t="shared" si="988"/>
        <v>2025</v>
      </c>
      <c r="D3818" s="105" t="s">
        <v>3551</v>
      </c>
      <c r="E3818" s="5" t="str">
        <f>VLOOKUP(F3818,'Set up'!$A$2:$C$70,2,FALSE)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up'!$A$2:$C$70,3,FALSE)</f>
        <v>Cash</v>
      </c>
      <c r="J3818" s="5">
        <f>VLOOKUP(F3818,'Set up'!$A$2:$D$70,4,FALSE)</f>
        <v>0</v>
      </c>
      <c r="K3818" s="4">
        <f t="shared" si="997"/>
        <v>45744</v>
      </c>
      <c r="L3818" s="5">
        <f t="shared" si="989"/>
        <v>3</v>
      </c>
      <c r="M3818" s="5">
        <f t="shared" si="990"/>
        <v>2025</v>
      </c>
      <c r="N3818" s="135">
        <v>920</v>
      </c>
      <c r="O3818" s="141"/>
      <c r="P3818" s="12">
        <f t="shared" si="996"/>
        <v>920</v>
      </c>
      <c r="Q3818" s="7">
        <v>6304825.950000002</v>
      </c>
      <c r="R3818" s="44" t="str">
        <f>VLOOKUP(F3818,'Set up'!$A$2:$E$70,5,FALSE)</f>
        <v>Trsf</v>
      </c>
    </row>
    <row r="3819" spans="1:19" ht="16.25" customHeight="1" x14ac:dyDescent="0.35">
      <c r="A3819" s="140">
        <v>45744</v>
      </c>
      <c r="B3819" s="5">
        <f t="shared" si="987"/>
        <v>3</v>
      </c>
      <c r="C3819" s="5">
        <f t="shared" si="988"/>
        <v>2025</v>
      </c>
      <c r="D3819" s="105" t="s">
        <v>3551</v>
      </c>
      <c r="E3819" s="5" t="str">
        <f>VLOOKUP(F3819,'Set up'!$A$2:$C$70,2,FALSE)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up'!$A$2:$C$70,3,FALSE)</f>
        <v>Cash</v>
      </c>
      <c r="J3819" s="5">
        <f>VLOOKUP(F3819,'Set up'!$A$2:$D$70,4,FALSE)</f>
        <v>0</v>
      </c>
      <c r="K3819" s="4">
        <f t="shared" si="997"/>
        <v>45744</v>
      </c>
      <c r="L3819" s="5">
        <f t="shared" si="989"/>
        <v>3</v>
      </c>
      <c r="M3819" s="5">
        <f t="shared" si="990"/>
        <v>2025</v>
      </c>
      <c r="N3819" s="135">
        <v>975</v>
      </c>
      <c r="O3819" s="141"/>
      <c r="P3819" s="12">
        <f t="shared" si="996"/>
        <v>975</v>
      </c>
      <c r="Q3819" s="7">
        <v>6305800.950000002</v>
      </c>
      <c r="R3819" s="44" t="str">
        <f>VLOOKUP(F3819,'Set up'!$A$2:$E$70,5,FALSE)</f>
        <v>Trsf</v>
      </c>
    </row>
    <row r="3820" spans="1:19" ht="16.25" customHeight="1" x14ac:dyDescent="0.35">
      <c r="A3820" s="140">
        <v>45744</v>
      </c>
      <c r="B3820" s="5">
        <f t="shared" si="987"/>
        <v>3</v>
      </c>
      <c r="C3820" s="5">
        <f t="shared" si="988"/>
        <v>2025</v>
      </c>
      <c r="D3820" s="105" t="s">
        <v>3551</v>
      </c>
      <c r="E3820" s="5" t="str">
        <f>VLOOKUP(F3820,'Set up'!$A$2:$C$70,2,FALSE)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up'!$A$2:$C$70,3,FALSE)</f>
        <v>Cash</v>
      </c>
      <c r="J3820" s="5">
        <f>VLOOKUP(F3820,'Set up'!$A$2:$D$70,4,FALSE)</f>
        <v>0</v>
      </c>
      <c r="K3820" s="4">
        <f t="shared" si="997"/>
        <v>45744</v>
      </c>
      <c r="L3820" s="5">
        <f t="shared" si="989"/>
        <v>3</v>
      </c>
      <c r="M3820" s="5">
        <f t="shared" si="990"/>
        <v>2025</v>
      </c>
      <c r="N3820" s="135">
        <v>1000</v>
      </c>
      <c r="O3820" s="141"/>
      <c r="P3820" s="12">
        <f t="shared" si="996"/>
        <v>1000</v>
      </c>
      <c r="Q3820" s="7">
        <v>6306800.950000002</v>
      </c>
      <c r="R3820" s="44" t="str">
        <f>VLOOKUP(F3820,'Set up'!$A$2:$E$70,5,FALSE)</f>
        <v>Trsf</v>
      </c>
    </row>
    <row r="3821" spans="1:19" ht="16.25" customHeight="1" x14ac:dyDescent="0.35">
      <c r="A3821" s="140">
        <v>45744</v>
      </c>
      <c r="B3821" s="5">
        <f t="shared" si="987"/>
        <v>3</v>
      </c>
      <c r="C3821" s="5">
        <f t="shared" si="988"/>
        <v>2025</v>
      </c>
      <c r="D3821" s="105" t="s">
        <v>3551</v>
      </c>
      <c r="E3821" s="5" t="str">
        <f>VLOOKUP(F3821,'Set up'!$A$2:$C$70,2,FALSE)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up'!$A$2:$C$70,3,FALSE)</f>
        <v>Cash</v>
      </c>
      <c r="J3821" s="5">
        <f>VLOOKUP(F3821,'Set up'!$A$2:$D$70,4,FALSE)</f>
        <v>0</v>
      </c>
      <c r="K3821" s="4">
        <f t="shared" si="997"/>
        <v>45744</v>
      </c>
      <c r="L3821" s="5">
        <f t="shared" si="989"/>
        <v>3</v>
      </c>
      <c r="M3821" s="5">
        <f t="shared" si="990"/>
        <v>2025</v>
      </c>
      <c r="N3821" s="135">
        <v>900</v>
      </c>
      <c r="O3821" s="141"/>
      <c r="P3821" s="12">
        <f t="shared" si="996"/>
        <v>900</v>
      </c>
      <c r="Q3821" s="7">
        <v>6307700.950000002</v>
      </c>
      <c r="R3821" s="44" t="str">
        <f>VLOOKUP(F3821,'Set up'!$A$2:$E$70,5,FALSE)</f>
        <v>Trsf</v>
      </c>
    </row>
    <row r="3822" spans="1:19" ht="16.25" customHeight="1" x14ac:dyDescent="0.35">
      <c r="A3822" s="140">
        <v>45745</v>
      </c>
      <c r="B3822" s="5">
        <f t="shared" si="987"/>
        <v>3</v>
      </c>
      <c r="C3822" s="5">
        <f t="shared" si="988"/>
        <v>2025</v>
      </c>
      <c r="D3822" s="105" t="s">
        <v>3552</v>
      </c>
      <c r="E3822" s="5" t="str">
        <f>VLOOKUP(F3822,'Set up'!$A$2:$C$70,2,FALSE)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up'!$A$2:$C$70,3,FALSE)</f>
        <v>Cash</v>
      </c>
      <c r="J3822" s="5">
        <f>VLOOKUP(F3822,'Set up'!$A$2:$D$70,4,FALSE)</f>
        <v>0</v>
      </c>
      <c r="K3822" s="4">
        <f t="shared" si="997"/>
        <v>45745</v>
      </c>
      <c r="L3822" s="5">
        <f t="shared" si="989"/>
        <v>3</v>
      </c>
      <c r="M3822" s="5">
        <f t="shared" si="990"/>
        <v>2025</v>
      </c>
      <c r="N3822" s="135">
        <v>1755</v>
      </c>
      <c r="O3822" s="141"/>
      <c r="P3822" s="12">
        <f t="shared" si="996"/>
        <v>1755</v>
      </c>
      <c r="Q3822" s="7">
        <v>6309455.950000002</v>
      </c>
      <c r="R3822" s="44" t="str">
        <f>VLOOKUP(F3822,'Set up'!$A$2:$E$70,5,FALSE)</f>
        <v>Trsf</v>
      </c>
    </row>
    <row r="3823" spans="1:19" ht="16.25" customHeight="1" x14ac:dyDescent="0.35">
      <c r="A3823" s="140">
        <v>45745</v>
      </c>
      <c r="B3823" s="5">
        <f t="shared" si="987"/>
        <v>3</v>
      </c>
      <c r="C3823" s="5">
        <f t="shared" si="988"/>
        <v>2025</v>
      </c>
      <c r="D3823" s="105" t="s">
        <v>3552</v>
      </c>
      <c r="E3823" s="5" t="str">
        <f>VLOOKUP(F3823,'Set up'!$A$2:$C$70,2,FALSE)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up'!$A$2:$C$70,3,FALSE)</f>
        <v>Cash</v>
      </c>
      <c r="J3823" s="5">
        <f>VLOOKUP(F3823,'Set up'!$A$2:$D$70,4,FALSE)</f>
        <v>0</v>
      </c>
      <c r="K3823" s="4">
        <f t="shared" si="997"/>
        <v>45745</v>
      </c>
      <c r="L3823" s="5">
        <f t="shared" si="989"/>
        <v>3</v>
      </c>
      <c r="M3823" s="5">
        <f t="shared" si="990"/>
        <v>2025</v>
      </c>
      <c r="N3823" s="135">
        <v>283.8</v>
      </c>
      <c r="O3823" s="141"/>
      <c r="P3823" s="12">
        <f t="shared" si="996"/>
        <v>283.8</v>
      </c>
      <c r="Q3823" s="7">
        <v>6309739.7500000019</v>
      </c>
      <c r="R3823" s="44" t="str">
        <f>VLOOKUP(F3823,'Set up'!$A$2:$E$70,5,FALSE)</f>
        <v>Trsf</v>
      </c>
    </row>
    <row r="3824" spans="1:19" ht="16.25" customHeight="1" x14ac:dyDescent="0.35">
      <c r="A3824" s="140">
        <v>45745</v>
      </c>
      <c r="B3824" s="5">
        <f t="shared" si="987"/>
        <v>3</v>
      </c>
      <c r="C3824" s="5">
        <f t="shared" si="988"/>
        <v>2025</v>
      </c>
      <c r="D3824" s="105" t="s">
        <v>3552</v>
      </c>
      <c r="E3824" s="5" t="str">
        <f>VLOOKUP(F3824,'Set up'!$A$2:$C$70,2,FALSE)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up'!$A$2:$C$70,3,FALSE)</f>
        <v>Cash</v>
      </c>
      <c r="J3824" s="5">
        <f>VLOOKUP(F3824,'Set up'!$A$2:$D$70,4,FALSE)</f>
        <v>0</v>
      </c>
      <c r="K3824" s="4">
        <f t="shared" si="997"/>
        <v>45745</v>
      </c>
      <c r="L3824" s="5">
        <f t="shared" si="989"/>
        <v>3</v>
      </c>
      <c r="M3824" s="5">
        <f t="shared" si="990"/>
        <v>2025</v>
      </c>
      <c r="N3824" s="135">
        <v>110</v>
      </c>
      <c r="O3824" s="141"/>
      <c r="P3824" s="12">
        <f t="shared" si="996"/>
        <v>110</v>
      </c>
      <c r="Q3824" s="7">
        <v>6309849.7500000019</v>
      </c>
      <c r="R3824" s="44" t="str">
        <f>VLOOKUP(F3824,'Set up'!$A$2:$E$70,5,FALSE)</f>
        <v>Trsf</v>
      </c>
    </row>
    <row r="3825" spans="1:19" ht="16.25" customHeight="1" x14ac:dyDescent="0.35">
      <c r="A3825" s="140">
        <v>45745</v>
      </c>
      <c r="B3825" s="5">
        <f t="shared" si="987"/>
        <v>3</v>
      </c>
      <c r="C3825" s="5">
        <f t="shared" si="988"/>
        <v>2025</v>
      </c>
      <c r="D3825" s="105" t="s">
        <v>3552</v>
      </c>
      <c r="E3825" s="5" t="str">
        <f>VLOOKUP(F3825,'Set up'!$A$2:$C$70,2,FALSE)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up'!$A$2:$C$70,3,FALSE)</f>
        <v>Cash</v>
      </c>
      <c r="J3825" s="5">
        <f>VLOOKUP(F3825,'Set up'!$A$2:$D$70,4,FALSE)</f>
        <v>0</v>
      </c>
      <c r="K3825" s="4">
        <f t="shared" si="997"/>
        <v>45745</v>
      </c>
      <c r="L3825" s="5">
        <f t="shared" si="989"/>
        <v>3</v>
      </c>
      <c r="M3825" s="5">
        <f t="shared" si="990"/>
        <v>2025</v>
      </c>
      <c r="N3825" s="135">
        <v>187.5</v>
      </c>
      <c r="O3825" s="141"/>
      <c r="P3825" s="12">
        <f t="shared" si="996"/>
        <v>187.5</v>
      </c>
      <c r="Q3825" s="7">
        <v>6310037.2500000019</v>
      </c>
      <c r="R3825" s="44" t="str">
        <f>VLOOKUP(F3825,'Set up'!$A$2:$E$70,5,FALSE)</f>
        <v>Trsf</v>
      </c>
    </row>
    <row r="3826" spans="1:19" ht="16.25" customHeight="1" x14ac:dyDescent="0.35">
      <c r="A3826" s="140">
        <v>45745</v>
      </c>
      <c r="B3826" s="5">
        <f t="shared" si="987"/>
        <v>3</v>
      </c>
      <c r="C3826" s="5">
        <f t="shared" si="988"/>
        <v>2025</v>
      </c>
      <c r="D3826" s="105" t="s">
        <v>3552</v>
      </c>
      <c r="E3826" s="5" t="str">
        <f>VLOOKUP(F3826,'Set up'!$A$2:$C$70,2,FALSE)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up'!$A$2:$C$70,3,FALSE)</f>
        <v>Cash</v>
      </c>
      <c r="J3826" s="5">
        <f>VLOOKUP(F3826,'Set up'!$A$2:$D$70,4,FALSE)</f>
        <v>0</v>
      </c>
      <c r="K3826" s="4">
        <f t="shared" si="997"/>
        <v>45745</v>
      </c>
      <c r="L3826" s="5">
        <f t="shared" si="989"/>
        <v>3</v>
      </c>
      <c r="M3826" s="5">
        <f t="shared" si="990"/>
        <v>2025</v>
      </c>
      <c r="N3826" s="135">
        <v>120</v>
      </c>
      <c r="O3826" s="141"/>
      <c r="P3826" s="12">
        <f t="shared" si="996"/>
        <v>120</v>
      </c>
      <c r="Q3826" s="7">
        <v>6310157.2500000019</v>
      </c>
      <c r="R3826" s="44" t="str">
        <f>VLOOKUP(F3826,'Set up'!$A$2:$E$70,5,FALSE)</f>
        <v>Trsf</v>
      </c>
    </row>
    <row r="3827" spans="1:19" ht="16.25" customHeight="1" x14ac:dyDescent="0.35">
      <c r="A3827" s="140">
        <v>45745</v>
      </c>
      <c r="B3827" s="5">
        <f t="shared" si="987"/>
        <v>3</v>
      </c>
      <c r="C3827" s="5">
        <f t="shared" si="988"/>
        <v>2025</v>
      </c>
      <c r="D3827" s="105" t="s">
        <v>3553</v>
      </c>
      <c r="E3827" s="5" t="str">
        <f>VLOOKUP(F3827,'Set up'!$A$2:$C$70,2,FALSE)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up'!$A$2:$C$70,3,FALSE)</f>
        <v>Cash</v>
      </c>
      <c r="J3827" s="5">
        <f>VLOOKUP(F3827,'Set up'!$A$2:$D$70,4,FALSE)</f>
        <v>0</v>
      </c>
      <c r="K3827" s="4">
        <f t="shared" si="997"/>
        <v>45745</v>
      </c>
      <c r="L3827" s="5">
        <f t="shared" si="989"/>
        <v>3</v>
      </c>
      <c r="M3827" s="5">
        <f t="shared" si="990"/>
        <v>2025</v>
      </c>
      <c r="N3827" s="135">
        <v>1597.5</v>
      </c>
      <c r="O3827" s="6">
        <f t="shared" ref="O3827:O3830" si="998">-N3827</f>
        <v>-1597.5</v>
      </c>
      <c r="P3827" s="12">
        <f t="shared" si="996"/>
        <v>0</v>
      </c>
      <c r="Q3827" s="7">
        <v>6311754.7500000019</v>
      </c>
      <c r="R3827" s="44" t="str">
        <f>VLOOKUP(F3827,'Set up'!$A$2:$E$70,5,FALSE)</f>
        <v>Cash</v>
      </c>
      <c r="S3827" s="1" t="s">
        <v>3679</v>
      </c>
    </row>
    <row r="3828" spans="1:19" ht="16.25" customHeight="1" x14ac:dyDescent="0.35">
      <c r="A3828" s="140">
        <v>45745</v>
      </c>
      <c r="B3828" s="5">
        <f t="shared" si="987"/>
        <v>3</v>
      </c>
      <c r="C3828" s="5">
        <f t="shared" si="988"/>
        <v>2025</v>
      </c>
      <c r="D3828" s="105" t="s">
        <v>3553</v>
      </c>
      <c r="E3828" s="5" t="str">
        <f>VLOOKUP(F3828,'Set up'!$A$2:$C$70,2,FALSE)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up'!$A$2:$C$70,3,FALSE)</f>
        <v>Cash</v>
      </c>
      <c r="J3828" s="5">
        <f>VLOOKUP(F3828,'Set up'!$A$2:$D$70,4,FALSE)</f>
        <v>0</v>
      </c>
      <c r="K3828" s="4">
        <f t="shared" si="997"/>
        <v>45745</v>
      </c>
      <c r="L3828" s="5">
        <f t="shared" si="989"/>
        <v>3</v>
      </c>
      <c r="M3828" s="5">
        <f t="shared" si="990"/>
        <v>2025</v>
      </c>
      <c r="N3828" s="135">
        <v>313.2</v>
      </c>
      <c r="O3828" s="6">
        <f t="shared" si="998"/>
        <v>-313.2</v>
      </c>
      <c r="P3828" s="12">
        <f t="shared" si="996"/>
        <v>0</v>
      </c>
      <c r="Q3828" s="7">
        <v>6312067.950000002</v>
      </c>
      <c r="R3828" s="44" t="str">
        <f>VLOOKUP(F3828,'Set up'!$A$2:$E$70,5,FALSE)</f>
        <v>Cash</v>
      </c>
      <c r="S3828" s="1" t="s">
        <v>3679</v>
      </c>
    </row>
    <row r="3829" spans="1:19" ht="16.25" customHeight="1" x14ac:dyDescent="0.35">
      <c r="A3829" s="140">
        <v>45745</v>
      </c>
      <c r="B3829" s="5">
        <f t="shared" si="987"/>
        <v>3</v>
      </c>
      <c r="C3829" s="5">
        <f t="shared" si="988"/>
        <v>2025</v>
      </c>
      <c r="D3829" s="105" t="s">
        <v>3553</v>
      </c>
      <c r="E3829" s="5" t="str">
        <f>VLOOKUP(F3829,'Set up'!$A$2:$C$70,2,FALSE)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up'!$A$2:$C$70,3,FALSE)</f>
        <v>Cash</v>
      </c>
      <c r="J3829" s="5">
        <f>VLOOKUP(F3829,'Set up'!$A$2:$D$70,4,FALSE)</f>
        <v>0</v>
      </c>
      <c r="K3829" s="4">
        <f t="shared" si="997"/>
        <v>45745</v>
      </c>
      <c r="L3829" s="5">
        <f t="shared" si="989"/>
        <v>3</v>
      </c>
      <c r="M3829" s="5">
        <f t="shared" si="990"/>
        <v>2025</v>
      </c>
      <c r="N3829" s="135">
        <v>115</v>
      </c>
      <c r="O3829" s="6">
        <f t="shared" si="998"/>
        <v>-115</v>
      </c>
      <c r="P3829" s="12">
        <f t="shared" si="996"/>
        <v>0</v>
      </c>
      <c r="Q3829" s="7">
        <v>6312182.950000002</v>
      </c>
      <c r="R3829" s="44" t="str">
        <f>VLOOKUP(F3829,'Set up'!$A$2:$E$70,5,FALSE)</f>
        <v>Cash</v>
      </c>
      <c r="S3829" s="1" t="s">
        <v>3679</v>
      </c>
    </row>
    <row r="3830" spans="1:19" ht="15" customHeight="1" x14ac:dyDescent="0.35">
      <c r="A3830" s="140">
        <v>45745</v>
      </c>
      <c r="B3830" s="5">
        <f t="shared" si="987"/>
        <v>3</v>
      </c>
      <c r="C3830" s="5">
        <f t="shared" si="988"/>
        <v>2025</v>
      </c>
      <c r="D3830" s="105" t="s">
        <v>3553</v>
      </c>
      <c r="E3830" s="5" t="str">
        <f>VLOOKUP(F3830,'Set up'!$A$2:$C$70,2,FALSE)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up'!$A$2:$C$70,3,FALSE)</f>
        <v>Cash</v>
      </c>
      <c r="J3830" s="5">
        <f>VLOOKUP(F3830,'Set up'!$A$2:$D$70,4,FALSE)</f>
        <v>0</v>
      </c>
      <c r="K3830" s="4">
        <f t="shared" si="997"/>
        <v>45745</v>
      </c>
      <c r="L3830" s="5">
        <f t="shared" si="989"/>
        <v>3</v>
      </c>
      <c r="M3830" s="5">
        <f t="shared" si="990"/>
        <v>2025</v>
      </c>
      <c r="N3830" s="135">
        <v>172.5</v>
      </c>
      <c r="O3830" s="6">
        <f t="shared" si="998"/>
        <v>-172.5</v>
      </c>
      <c r="P3830" s="12">
        <f t="shared" si="996"/>
        <v>0</v>
      </c>
      <c r="Q3830" s="7">
        <v>6312355.450000002</v>
      </c>
      <c r="R3830" s="44" t="str">
        <f>VLOOKUP(F3830,'Set up'!$A$2:$E$70,5,FALSE)</f>
        <v>Cash</v>
      </c>
      <c r="S3830" s="1" t="s">
        <v>3679</v>
      </c>
    </row>
    <row r="3831" spans="1:19" ht="16.25" customHeight="1" x14ac:dyDescent="0.35">
      <c r="A3831" s="140" t="s">
        <v>3613</v>
      </c>
      <c r="B3831" s="5">
        <f t="shared" si="987"/>
        <v>4</v>
      </c>
      <c r="C3831" s="5">
        <f t="shared" si="988"/>
        <v>2025</v>
      </c>
      <c r="D3831" s="105" t="s">
        <v>3614</v>
      </c>
      <c r="E3831" s="5" t="str">
        <f>VLOOKUP(F3831,'Set up'!$A$2:$C$70,2,FALSE)</f>
        <v>C00000050</v>
      </c>
      <c r="F3831" s="99" t="s">
        <v>2656</v>
      </c>
      <c r="G3831" s="99" t="s">
        <v>3615</v>
      </c>
      <c r="H3831" s="137">
        <v>1</v>
      </c>
      <c r="I3831" s="5" t="str">
        <f>VLOOKUP(F3831,'Set up'!$A$2:$C$70,3,FALSE)</f>
        <v>Cash</v>
      </c>
      <c r="J3831" s="5">
        <f>VLOOKUP(F3831,'Set up'!$A$2:$D$70,4,FALSE)</f>
        <v>0</v>
      </c>
      <c r="K3831" s="4">
        <f t="shared" si="997"/>
        <v>45750</v>
      </c>
      <c r="L3831" s="5">
        <f t="shared" si="989"/>
        <v>4</v>
      </c>
      <c r="M3831" s="5">
        <f t="shared" si="990"/>
        <v>2025</v>
      </c>
      <c r="N3831" s="135">
        <v>1710</v>
      </c>
      <c r="O3831" s="6">
        <f t="shared" ref="O3831:O3832" si="999">-N3831</f>
        <v>-1710</v>
      </c>
      <c r="P3831" s="12">
        <f t="shared" si="996"/>
        <v>0</v>
      </c>
      <c r="Q3831" s="7">
        <v>6316866.7500000019</v>
      </c>
      <c r="R3831" s="44" t="str">
        <f>VLOOKUP(F3831,'Set up'!$A$2:$E$70,5,FALSE)</f>
        <v>Cash</v>
      </c>
      <c r="S3831" s="1" t="s">
        <v>3675</v>
      </c>
    </row>
    <row r="3832" spans="1:19" ht="16.25" customHeight="1" x14ac:dyDescent="0.35">
      <c r="A3832" s="140" t="s">
        <v>3613</v>
      </c>
      <c r="B3832" s="5">
        <f t="shared" si="987"/>
        <v>4</v>
      </c>
      <c r="C3832" s="5">
        <f t="shared" si="988"/>
        <v>2025</v>
      </c>
      <c r="D3832" s="105" t="s">
        <v>3614</v>
      </c>
      <c r="E3832" s="5" t="str">
        <f>VLOOKUP(F3832,'Set up'!$A$2:$C$70,2,FALSE)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up'!$A$2:$C$70,3,FALSE)</f>
        <v>Cash</v>
      </c>
      <c r="J3832" s="5">
        <f>VLOOKUP(F3832,'Set up'!$A$2:$D$70,4,FALSE)</f>
        <v>0</v>
      </c>
      <c r="K3832" s="4">
        <f t="shared" si="997"/>
        <v>45750</v>
      </c>
      <c r="L3832" s="5">
        <f t="shared" si="989"/>
        <v>4</v>
      </c>
      <c r="M3832" s="5">
        <f t="shared" si="990"/>
        <v>2025</v>
      </c>
      <c r="N3832" s="135">
        <v>555</v>
      </c>
      <c r="O3832" s="6">
        <f t="shared" si="999"/>
        <v>-555</v>
      </c>
      <c r="P3832" s="12">
        <f t="shared" si="996"/>
        <v>0</v>
      </c>
      <c r="Q3832" s="7">
        <v>6317421.7500000019</v>
      </c>
      <c r="R3832" s="44" t="str">
        <f>VLOOKUP(F3832,'Set up'!$A$2:$E$70,5,FALSE)</f>
        <v>Cash</v>
      </c>
      <c r="S3832" s="1" t="s">
        <v>3675</v>
      </c>
    </row>
    <row r="3833" spans="1:19" ht="16.25" customHeight="1" x14ac:dyDescent="0.35">
      <c r="A3833" s="140" t="s">
        <v>3616</v>
      </c>
      <c r="B3833" s="5">
        <f t="shared" si="987"/>
        <v>4</v>
      </c>
      <c r="C3833" s="5">
        <f t="shared" si="988"/>
        <v>2025</v>
      </c>
      <c r="D3833" s="105" t="s">
        <v>3617</v>
      </c>
      <c r="E3833" s="5" t="str">
        <f>VLOOKUP(F3833,'Set up'!$A$2:$C$70,2,FALSE)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up'!$A$2:$C$70,3,FALSE)</f>
        <v>Cash</v>
      </c>
      <c r="J3833" s="5">
        <f>VLOOKUP(F3833,'Set up'!$A$2:$D$70,4,FALSE)</f>
        <v>0</v>
      </c>
      <c r="K3833" s="4">
        <f t="shared" si="997"/>
        <v>45752</v>
      </c>
      <c r="L3833" s="5">
        <f t="shared" si="989"/>
        <v>4</v>
      </c>
      <c r="M3833" s="5">
        <f t="shared" si="990"/>
        <v>2025</v>
      </c>
      <c r="N3833" s="135">
        <v>625</v>
      </c>
      <c r="O3833" s="141"/>
      <c r="P3833" s="12">
        <f t="shared" si="996"/>
        <v>625</v>
      </c>
      <c r="Q3833" s="7">
        <v>6318046.7500000019</v>
      </c>
      <c r="R3833" s="44" t="str">
        <f>VLOOKUP(F3833,'Set up'!$A$2:$E$70,5,FALSE)</f>
        <v>Trsf</v>
      </c>
    </row>
    <row r="3834" spans="1:19" ht="16.25" customHeight="1" x14ac:dyDescent="0.35">
      <c r="A3834" s="140" t="s">
        <v>3616</v>
      </c>
      <c r="B3834" s="5">
        <f t="shared" si="987"/>
        <v>4</v>
      </c>
      <c r="C3834" s="5">
        <f t="shared" si="988"/>
        <v>2025</v>
      </c>
      <c r="D3834" s="105" t="s">
        <v>3618</v>
      </c>
      <c r="E3834" s="5" t="str">
        <f>VLOOKUP(F3834,'Set up'!$A$2:$C$70,2,FALSE)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up'!$A$2:$C$70,3,FALSE)</f>
        <v>Cash</v>
      </c>
      <c r="J3834" s="5">
        <f>VLOOKUP(F3834,'Set up'!$A$2:$D$70,4,FALSE)</f>
        <v>0</v>
      </c>
      <c r="K3834" s="4">
        <f t="shared" si="997"/>
        <v>45752</v>
      </c>
      <c r="L3834" s="5">
        <f t="shared" si="989"/>
        <v>4</v>
      </c>
      <c r="M3834" s="5">
        <f t="shared" si="990"/>
        <v>2025</v>
      </c>
      <c r="N3834" s="135">
        <v>16200</v>
      </c>
      <c r="O3834" s="141"/>
      <c r="P3834" s="12">
        <f t="shared" si="996"/>
        <v>16200</v>
      </c>
      <c r="Q3834" s="7">
        <v>6334246.7500000019</v>
      </c>
      <c r="R3834" s="44" t="str">
        <f>VLOOKUP(F3834,'Set up'!$A$2:$E$70,5,FALSE)</f>
        <v>Trsf</v>
      </c>
    </row>
    <row r="3835" spans="1:19" ht="16.25" customHeight="1" x14ac:dyDescent="0.35">
      <c r="A3835" s="140" t="s">
        <v>3616</v>
      </c>
      <c r="B3835" s="5">
        <f t="shared" si="987"/>
        <v>4</v>
      </c>
      <c r="C3835" s="5">
        <f t="shared" si="988"/>
        <v>2025</v>
      </c>
      <c r="D3835" s="105" t="s">
        <v>3618</v>
      </c>
      <c r="E3835" s="5" t="str">
        <f>VLOOKUP(F3835,'Set up'!$A$2:$C$70,2,FALSE)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up'!$A$2:$C$70,3,FALSE)</f>
        <v>Cash</v>
      </c>
      <c r="J3835" s="5">
        <f>VLOOKUP(F3835,'Set up'!$A$2:$D$70,4,FALSE)</f>
        <v>0</v>
      </c>
      <c r="K3835" s="4">
        <f t="shared" si="997"/>
        <v>45752</v>
      </c>
      <c r="L3835" s="5">
        <f t="shared" si="989"/>
        <v>4</v>
      </c>
      <c r="M3835" s="5">
        <f t="shared" si="990"/>
        <v>2025</v>
      </c>
      <c r="N3835" s="135">
        <v>975</v>
      </c>
      <c r="O3835" s="141"/>
      <c r="P3835" s="12">
        <f t="shared" si="996"/>
        <v>975</v>
      </c>
      <c r="Q3835" s="7">
        <v>6335221.7500000019</v>
      </c>
      <c r="R3835" s="44" t="str">
        <f>VLOOKUP(F3835,'Set up'!$A$2:$E$70,5,FALSE)</f>
        <v>Trsf</v>
      </c>
    </row>
    <row r="3836" spans="1:19" ht="16.25" customHeight="1" x14ac:dyDescent="0.35">
      <c r="A3836" s="140" t="s">
        <v>3616</v>
      </c>
      <c r="B3836" s="5">
        <f t="shared" si="987"/>
        <v>4</v>
      </c>
      <c r="C3836" s="5">
        <f t="shared" si="988"/>
        <v>2025</v>
      </c>
      <c r="D3836" s="105" t="s">
        <v>3618</v>
      </c>
      <c r="E3836" s="5" t="str">
        <f>VLOOKUP(F3836,'Set up'!$A$2:$C$70,2,FALSE)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up'!$A$2:$C$70,3,FALSE)</f>
        <v>Cash</v>
      </c>
      <c r="J3836" s="5">
        <f>VLOOKUP(F3836,'Set up'!$A$2:$D$70,4,FALSE)</f>
        <v>0</v>
      </c>
      <c r="K3836" s="4">
        <f t="shared" si="997"/>
        <v>45752</v>
      </c>
      <c r="L3836" s="5">
        <f t="shared" si="989"/>
        <v>4</v>
      </c>
      <c r="M3836" s="5">
        <f t="shared" si="990"/>
        <v>2025</v>
      </c>
      <c r="N3836" s="135">
        <v>1000</v>
      </c>
      <c r="O3836" s="141"/>
      <c r="P3836" s="12">
        <f t="shared" si="996"/>
        <v>1000</v>
      </c>
      <c r="Q3836" s="7">
        <v>6336221.7500000019</v>
      </c>
      <c r="R3836" s="44" t="str">
        <f>VLOOKUP(F3836,'Set up'!$A$2:$E$70,5,FALSE)</f>
        <v>Trsf</v>
      </c>
    </row>
    <row r="3837" spans="1:19" ht="16.25" customHeight="1" x14ac:dyDescent="0.35">
      <c r="A3837" s="140" t="s">
        <v>3616</v>
      </c>
      <c r="B3837" s="5">
        <f t="shared" si="987"/>
        <v>4</v>
      </c>
      <c r="C3837" s="5">
        <f t="shared" si="988"/>
        <v>2025</v>
      </c>
      <c r="D3837" s="105" t="s">
        <v>3618</v>
      </c>
      <c r="E3837" s="5" t="str">
        <f>VLOOKUP(F3837,'Set up'!$A$2:$C$70,2,FALSE)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up'!$A$2:$C$70,3,FALSE)</f>
        <v>Cash</v>
      </c>
      <c r="J3837" s="5">
        <f>VLOOKUP(F3837,'Set up'!$A$2:$D$70,4,FALSE)</f>
        <v>0</v>
      </c>
      <c r="K3837" s="4">
        <f t="shared" si="997"/>
        <v>45752</v>
      </c>
      <c r="L3837" s="5">
        <f t="shared" si="989"/>
        <v>4</v>
      </c>
      <c r="M3837" s="5">
        <f t="shared" si="990"/>
        <v>2025</v>
      </c>
      <c r="N3837" s="135">
        <v>1760</v>
      </c>
      <c r="O3837" s="141"/>
      <c r="P3837" s="12">
        <f t="shared" si="996"/>
        <v>1760</v>
      </c>
      <c r="Q3837" s="7">
        <v>6337981.7500000019</v>
      </c>
      <c r="R3837" s="44" t="str">
        <f>VLOOKUP(F3837,'Set up'!$A$2:$E$70,5,FALSE)</f>
        <v>Trsf</v>
      </c>
    </row>
    <row r="3838" spans="1:19" ht="16.25" customHeight="1" x14ac:dyDescent="0.35">
      <c r="A3838" s="140" t="s">
        <v>3616</v>
      </c>
      <c r="B3838" s="5">
        <f t="shared" si="987"/>
        <v>4</v>
      </c>
      <c r="C3838" s="5">
        <f t="shared" si="988"/>
        <v>2025</v>
      </c>
      <c r="D3838" s="105" t="s">
        <v>3618</v>
      </c>
      <c r="E3838" s="5" t="str">
        <f>VLOOKUP(F3838,'Set up'!$A$2:$C$70,2,FALSE)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up'!$A$2:$C$70,3,FALSE)</f>
        <v>Cash</v>
      </c>
      <c r="J3838" s="5">
        <f>VLOOKUP(F3838,'Set up'!$A$2:$D$70,4,FALSE)</f>
        <v>0</v>
      </c>
      <c r="K3838" s="4">
        <f t="shared" si="997"/>
        <v>45752</v>
      </c>
      <c r="L3838" s="5">
        <f t="shared" si="989"/>
        <v>4</v>
      </c>
      <c r="M3838" s="5">
        <f t="shared" si="990"/>
        <v>2025</v>
      </c>
      <c r="N3838" s="135">
        <v>920</v>
      </c>
      <c r="O3838" s="141"/>
      <c r="P3838" s="12">
        <f t="shared" si="996"/>
        <v>920</v>
      </c>
      <c r="Q3838" s="7">
        <v>6338901.7500000019</v>
      </c>
      <c r="R3838" s="44" t="str">
        <f>VLOOKUP(F3838,'Set up'!$A$2:$E$70,5,FALSE)</f>
        <v>Trsf</v>
      </c>
    </row>
    <row r="3839" spans="1:19" ht="16.25" customHeight="1" x14ac:dyDescent="0.35">
      <c r="A3839" s="140" t="s">
        <v>3619</v>
      </c>
      <c r="B3839" s="5">
        <f t="shared" si="987"/>
        <v>4</v>
      </c>
      <c r="C3839" s="5">
        <f t="shared" si="988"/>
        <v>2025</v>
      </c>
      <c r="D3839" s="105" t="s">
        <v>3620</v>
      </c>
      <c r="E3839" s="5" t="str">
        <f>VLOOKUP(F3839,'Set up'!$A$2:$C$70,2,FALSE)</f>
        <v>C00000044</v>
      </c>
      <c r="F3839" s="99" t="s">
        <v>2929</v>
      </c>
      <c r="G3839" s="99" t="s">
        <v>3621</v>
      </c>
      <c r="H3839" s="137">
        <v>2</v>
      </c>
      <c r="I3839" s="5" t="str">
        <f>VLOOKUP(F3839,'Set up'!$A$2:$C$70,3,FALSE)</f>
        <v>Cash</v>
      </c>
      <c r="J3839" s="5">
        <f>VLOOKUP(F3839,'Set up'!$A$2:$D$70,4,FALSE)</f>
        <v>0</v>
      </c>
      <c r="K3839" s="4">
        <f t="shared" si="997"/>
        <v>45754</v>
      </c>
      <c r="L3839" s="5">
        <f t="shared" si="989"/>
        <v>4</v>
      </c>
      <c r="M3839" s="5">
        <f t="shared" si="990"/>
        <v>2025</v>
      </c>
      <c r="N3839" s="135">
        <v>500</v>
      </c>
      <c r="O3839" s="6">
        <f t="shared" ref="O3839:O3849" si="1000">-N3839</f>
        <v>-500</v>
      </c>
      <c r="P3839" s="12">
        <f t="shared" si="996"/>
        <v>0</v>
      </c>
      <c r="Q3839" s="7">
        <v>6339401.7500000019</v>
      </c>
      <c r="R3839" s="44" t="str">
        <f>VLOOKUP(F3839,'Set up'!$A$2:$E$70,5,FALSE)</f>
        <v>Cash</v>
      </c>
      <c r="S3839" s="1" t="s">
        <v>3682</v>
      </c>
    </row>
    <row r="3840" spans="1:19" ht="16.25" customHeight="1" x14ac:dyDescent="0.35">
      <c r="A3840" s="140" t="s">
        <v>3619</v>
      </c>
      <c r="B3840" s="5">
        <f t="shared" si="987"/>
        <v>4</v>
      </c>
      <c r="C3840" s="5">
        <f t="shared" si="988"/>
        <v>2025</v>
      </c>
      <c r="D3840" s="105" t="s">
        <v>3620</v>
      </c>
      <c r="E3840" s="5" t="str">
        <f>VLOOKUP(F3840,'Set up'!$A$2:$C$70,2,FALSE)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up'!$A$2:$C$70,3,FALSE)</f>
        <v>Cash</v>
      </c>
      <c r="J3840" s="5">
        <f>VLOOKUP(F3840,'Set up'!$A$2:$D$70,4,FALSE)</f>
        <v>0</v>
      </c>
      <c r="K3840" s="4">
        <f t="shared" si="997"/>
        <v>45754</v>
      </c>
      <c r="L3840" s="5">
        <f t="shared" si="989"/>
        <v>4</v>
      </c>
      <c r="M3840" s="5">
        <f t="shared" si="990"/>
        <v>2025</v>
      </c>
      <c r="N3840" s="135">
        <v>432</v>
      </c>
      <c r="O3840" s="6">
        <f t="shared" si="1000"/>
        <v>-432</v>
      </c>
      <c r="P3840" s="12">
        <f t="shared" si="996"/>
        <v>0</v>
      </c>
      <c r="Q3840" s="7">
        <v>6339833.7500000019</v>
      </c>
      <c r="R3840" s="44" t="str">
        <f>VLOOKUP(F3840,'Set up'!$A$2:$E$70,5,FALSE)</f>
        <v>Cash</v>
      </c>
      <c r="S3840" s="1" t="s">
        <v>3682</v>
      </c>
    </row>
    <row r="3841" spans="1:19" ht="16.25" customHeight="1" x14ac:dyDescent="0.35">
      <c r="A3841" s="140" t="s">
        <v>3619</v>
      </c>
      <c r="B3841" s="5">
        <f t="shared" si="987"/>
        <v>4</v>
      </c>
      <c r="C3841" s="5">
        <f t="shared" si="988"/>
        <v>2025</v>
      </c>
      <c r="D3841" s="105" t="s">
        <v>3620</v>
      </c>
      <c r="E3841" s="5" t="str">
        <f>VLOOKUP(F3841,'Set up'!$A$2:$C$70,2,FALSE)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up'!$A$2:$C$70,3,FALSE)</f>
        <v>Cash</v>
      </c>
      <c r="J3841" s="5">
        <f>VLOOKUP(F3841,'Set up'!$A$2:$D$70,4,FALSE)</f>
        <v>0</v>
      </c>
      <c r="K3841" s="4">
        <f t="shared" si="997"/>
        <v>45754</v>
      </c>
      <c r="L3841" s="5">
        <f t="shared" si="989"/>
        <v>4</v>
      </c>
      <c r="M3841" s="5">
        <f t="shared" si="990"/>
        <v>2025</v>
      </c>
      <c r="N3841" s="135">
        <v>110</v>
      </c>
      <c r="O3841" s="6">
        <f t="shared" si="1000"/>
        <v>-110</v>
      </c>
      <c r="P3841" s="12">
        <f t="shared" si="996"/>
        <v>0</v>
      </c>
      <c r="Q3841" s="7">
        <v>6339943.7500000019</v>
      </c>
      <c r="R3841" s="44" t="str">
        <f>VLOOKUP(F3841,'Set up'!$A$2:$E$70,5,FALSE)</f>
        <v>Cash</v>
      </c>
      <c r="S3841" s="1" t="s">
        <v>3682</v>
      </c>
    </row>
    <row r="3842" spans="1:19" ht="16.25" customHeight="1" x14ac:dyDescent="0.35">
      <c r="A3842" s="140" t="s">
        <v>3619</v>
      </c>
      <c r="B3842" s="5">
        <f t="shared" si="987"/>
        <v>4</v>
      </c>
      <c r="C3842" s="5">
        <f t="shared" si="988"/>
        <v>2025</v>
      </c>
      <c r="D3842" s="105" t="s">
        <v>3620</v>
      </c>
      <c r="E3842" s="5" t="str">
        <f>VLOOKUP(F3842,'Set up'!$A$2:$C$70,2,FALSE)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up'!$A$2:$C$70,3,FALSE)</f>
        <v>Cash</v>
      </c>
      <c r="J3842" s="5">
        <f>VLOOKUP(F3842,'Set up'!$A$2:$D$70,4,FALSE)</f>
        <v>0</v>
      </c>
      <c r="K3842" s="4">
        <f t="shared" si="997"/>
        <v>45754</v>
      </c>
      <c r="L3842" s="5">
        <f t="shared" si="989"/>
        <v>4</v>
      </c>
      <c r="M3842" s="5">
        <f t="shared" si="990"/>
        <v>2025</v>
      </c>
      <c r="N3842" s="135">
        <v>165</v>
      </c>
      <c r="O3842" s="6">
        <f t="shared" si="1000"/>
        <v>-165</v>
      </c>
      <c r="P3842" s="12">
        <f t="shared" si="996"/>
        <v>0</v>
      </c>
      <c r="Q3842" s="7">
        <v>6340108.7500000019</v>
      </c>
      <c r="R3842" s="44" t="str">
        <f>VLOOKUP(F3842,'Set up'!$A$2:$E$70,5,FALSE)</f>
        <v>Cash</v>
      </c>
      <c r="S3842" s="1" t="s">
        <v>3682</v>
      </c>
    </row>
    <row r="3843" spans="1:19" ht="16.25" customHeight="1" x14ac:dyDescent="0.35">
      <c r="A3843" s="140" t="s">
        <v>3619</v>
      </c>
      <c r="B3843" s="5">
        <f t="shared" ref="B3843:B3906" si="1001">MONTH(A3843)</f>
        <v>4</v>
      </c>
      <c r="C3843" s="5">
        <f t="shared" ref="C3843:C3906" si="1002">YEAR(A3843)</f>
        <v>2025</v>
      </c>
      <c r="D3843" s="105" t="s">
        <v>3620</v>
      </c>
      <c r="E3843" s="5" t="str">
        <f>VLOOKUP(F3843,'Set up'!$A$2:$C$70,2,FALSE)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up'!$A$2:$C$70,3,FALSE)</f>
        <v>Cash</v>
      </c>
      <c r="J3843" s="5">
        <f>VLOOKUP(F3843,'Set up'!$A$2:$D$70,4,FALSE)</f>
        <v>0</v>
      </c>
      <c r="K3843" s="4">
        <f t="shared" si="997"/>
        <v>45754</v>
      </c>
      <c r="L3843" s="5">
        <f t="shared" ref="L3843:L3906" si="1003">MONTH(K3843)</f>
        <v>4</v>
      </c>
      <c r="M3843" s="5">
        <f t="shared" ref="M3843:M3906" si="1004">YEAR(K3843)</f>
        <v>2025</v>
      </c>
      <c r="N3843" s="135">
        <v>175</v>
      </c>
      <c r="O3843" s="6">
        <f t="shared" si="1000"/>
        <v>-175</v>
      </c>
      <c r="P3843" s="12">
        <f t="shared" si="996"/>
        <v>0</v>
      </c>
      <c r="Q3843" s="7">
        <v>6340283.7500000019</v>
      </c>
      <c r="R3843" s="44" t="str">
        <f>VLOOKUP(F3843,'Set up'!$A$2:$E$70,5,FALSE)</f>
        <v>Cash</v>
      </c>
      <c r="S3843" s="1" t="s">
        <v>3682</v>
      </c>
    </row>
    <row r="3844" spans="1:19" ht="16.25" customHeight="1" x14ac:dyDescent="0.35">
      <c r="A3844" s="140" t="s">
        <v>3619</v>
      </c>
      <c r="B3844" s="5">
        <f t="shared" si="1001"/>
        <v>4</v>
      </c>
      <c r="C3844" s="5">
        <f t="shared" si="1002"/>
        <v>2025</v>
      </c>
      <c r="D3844" s="105" t="s">
        <v>3620</v>
      </c>
      <c r="E3844" s="5" t="str">
        <f>VLOOKUP(F3844,'Set up'!$A$2:$C$70,2,FALSE)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up'!$A$2:$C$70,3,FALSE)</f>
        <v>Cash</v>
      </c>
      <c r="J3844" s="5">
        <f>VLOOKUP(F3844,'Set up'!$A$2:$D$70,4,FALSE)</f>
        <v>0</v>
      </c>
      <c r="K3844" s="4">
        <f t="shared" si="997"/>
        <v>45754</v>
      </c>
      <c r="L3844" s="5">
        <f t="shared" si="1003"/>
        <v>4</v>
      </c>
      <c r="M3844" s="5">
        <f t="shared" si="1004"/>
        <v>2025</v>
      </c>
      <c r="N3844" s="135">
        <v>140</v>
      </c>
      <c r="O3844" s="6">
        <f t="shared" si="1000"/>
        <v>-140</v>
      </c>
      <c r="P3844" s="12">
        <f t="shared" si="996"/>
        <v>0</v>
      </c>
      <c r="Q3844" s="7">
        <v>6340423.7500000019</v>
      </c>
      <c r="R3844" s="44" t="str">
        <f>VLOOKUP(F3844,'Set up'!$A$2:$E$70,5,FALSE)</f>
        <v>Cash</v>
      </c>
      <c r="S3844" s="1" t="s">
        <v>3682</v>
      </c>
    </row>
    <row r="3845" spans="1:19" ht="16.25" customHeight="1" x14ac:dyDescent="0.35">
      <c r="A3845" s="140" t="s">
        <v>3622</v>
      </c>
      <c r="B3845" s="5">
        <f t="shared" si="1001"/>
        <v>4</v>
      </c>
      <c r="C3845" s="5">
        <f t="shared" si="1002"/>
        <v>2025</v>
      </c>
      <c r="D3845" s="105" t="s">
        <v>3623</v>
      </c>
      <c r="E3845" s="5" t="str">
        <f>VLOOKUP(F3845,'Set up'!$A$2:$C$70,2,FALSE)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up'!$A$2:$C$70,3,FALSE)</f>
        <v>Cash</v>
      </c>
      <c r="J3845" s="5">
        <f>VLOOKUP(F3845,'Set up'!$A$2:$D$70,4,FALSE)</f>
        <v>0</v>
      </c>
      <c r="K3845" s="4">
        <f t="shared" si="997"/>
        <v>45755</v>
      </c>
      <c r="L3845" s="5">
        <f t="shared" si="1003"/>
        <v>4</v>
      </c>
      <c r="M3845" s="5">
        <f t="shared" si="1004"/>
        <v>2025</v>
      </c>
      <c r="N3845" s="135">
        <v>12127.5</v>
      </c>
      <c r="O3845" s="6">
        <f t="shared" si="1000"/>
        <v>-12127.5</v>
      </c>
      <c r="P3845" s="12">
        <f t="shared" si="996"/>
        <v>0</v>
      </c>
      <c r="Q3845" s="7">
        <v>6352551.2500000019</v>
      </c>
      <c r="R3845" s="44" t="str">
        <f>VLOOKUP(F3845,'Set up'!$A$2:$E$70,5,FALSE)</f>
        <v>Chq</v>
      </c>
      <c r="S3845" s="1" t="s">
        <v>3693</v>
      </c>
    </row>
    <row r="3846" spans="1:19" ht="16.25" customHeight="1" x14ac:dyDescent="0.35">
      <c r="A3846" s="140" t="s">
        <v>3622</v>
      </c>
      <c r="B3846" s="5">
        <f t="shared" si="1001"/>
        <v>4</v>
      </c>
      <c r="C3846" s="5">
        <f t="shared" si="1002"/>
        <v>2025</v>
      </c>
      <c r="D3846" s="105" t="s">
        <v>3623</v>
      </c>
      <c r="E3846" s="5" t="str">
        <f>VLOOKUP(F3846,'Set up'!$A$2:$C$70,2,FALSE)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up'!$A$2:$C$70,3,FALSE)</f>
        <v>Cash</v>
      </c>
      <c r="J3846" s="5">
        <f>VLOOKUP(F3846,'Set up'!$A$2:$D$70,4,FALSE)</f>
        <v>0</v>
      </c>
      <c r="K3846" s="4">
        <f t="shared" si="997"/>
        <v>45755</v>
      </c>
      <c r="L3846" s="5">
        <f t="shared" si="1003"/>
        <v>4</v>
      </c>
      <c r="M3846" s="5">
        <f t="shared" si="1004"/>
        <v>2025</v>
      </c>
      <c r="N3846" s="135">
        <v>1215</v>
      </c>
      <c r="O3846" s="6">
        <f t="shared" si="1000"/>
        <v>-1215</v>
      </c>
      <c r="P3846" s="12">
        <f t="shared" si="996"/>
        <v>0</v>
      </c>
      <c r="Q3846" s="7">
        <v>6353766.2500000019</v>
      </c>
      <c r="R3846" s="44" t="str">
        <f>VLOOKUP(F3846,'Set up'!$A$2:$E$70,5,FALSE)</f>
        <v>Chq</v>
      </c>
      <c r="S3846" s="1" t="s">
        <v>3693</v>
      </c>
    </row>
    <row r="3847" spans="1:19" ht="16.25" customHeight="1" x14ac:dyDescent="0.35">
      <c r="A3847" s="140" t="s">
        <v>3622</v>
      </c>
      <c r="B3847" s="5">
        <f t="shared" si="1001"/>
        <v>4</v>
      </c>
      <c r="C3847" s="5">
        <f t="shared" si="1002"/>
        <v>2025</v>
      </c>
      <c r="D3847" s="105" t="s">
        <v>3623</v>
      </c>
      <c r="E3847" s="5" t="str">
        <f>VLOOKUP(F3847,'Set up'!$A$2:$C$70,2,FALSE)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up'!$A$2:$C$70,3,FALSE)</f>
        <v>Cash</v>
      </c>
      <c r="J3847" s="5">
        <f>VLOOKUP(F3847,'Set up'!$A$2:$D$70,4,FALSE)</f>
        <v>0</v>
      </c>
      <c r="K3847" s="4">
        <f t="shared" si="997"/>
        <v>45755</v>
      </c>
      <c r="L3847" s="5">
        <f t="shared" si="1003"/>
        <v>4</v>
      </c>
      <c r="M3847" s="5">
        <f t="shared" si="1004"/>
        <v>2025</v>
      </c>
      <c r="N3847" s="135">
        <v>2430</v>
      </c>
      <c r="O3847" s="6">
        <f t="shared" si="1000"/>
        <v>-2430</v>
      </c>
      <c r="P3847" s="12">
        <f t="shared" si="996"/>
        <v>0</v>
      </c>
      <c r="Q3847" s="7">
        <v>6356196.2500000019</v>
      </c>
      <c r="R3847" s="44" t="str">
        <f>VLOOKUP(F3847,'Set up'!$A$2:$E$70,5,FALSE)</f>
        <v>Chq</v>
      </c>
      <c r="S3847" s="1" t="s">
        <v>3693</v>
      </c>
    </row>
    <row r="3848" spans="1:19" ht="16.25" customHeight="1" x14ac:dyDescent="0.35">
      <c r="A3848" s="140" t="s">
        <v>3622</v>
      </c>
      <c r="B3848" s="5">
        <f t="shared" si="1001"/>
        <v>4</v>
      </c>
      <c r="C3848" s="5">
        <f t="shared" si="1002"/>
        <v>2025</v>
      </c>
      <c r="D3848" s="105" t="s">
        <v>3623</v>
      </c>
      <c r="E3848" s="5" t="str">
        <f>VLOOKUP(F3848,'Set up'!$A$2:$C$70,2,FALSE)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up'!$A$2:$C$70,3,FALSE)</f>
        <v>Cash</v>
      </c>
      <c r="J3848" s="5">
        <f>VLOOKUP(F3848,'Set up'!$A$2:$D$70,4,FALSE)</f>
        <v>0</v>
      </c>
      <c r="K3848" s="4">
        <f t="shared" si="997"/>
        <v>45755</v>
      </c>
      <c r="L3848" s="5">
        <f t="shared" si="1003"/>
        <v>4</v>
      </c>
      <c r="M3848" s="5">
        <f t="shared" si="1004"/>
        <v>2025</v>
      </c>
      <c r="N3848" s="135">
        <v>2838</v>
      </c>
      <c r="O3848" s="6">
        <f t="shared" si="1000"/>
        <v>-2838</v>
      </c>
      <c r="P3848" s="12">
        <f t="shared" si="996"/>
        <v>0</v>
      </c>
      <c r="Q3848" s="7">
        <v>6359034.2500000019</v>
      </c>
      <c r="R3848" s="44" t="str">
        <f>VLOOKUP(F3848,'Set up'!$A$2:$E$70,5,FALSE)</f>
        <v>Chq</v>
      </c>
      <c r="S3848" s="1" t="s">
        <v>3693</v>
      </c>
    </row>
    <row r="3849" spans="1:19" ht="16.25" customHeight="1" x14ac:dyDescent="0.35">
      <c r="A3849" s="140" t="s">
        <v>3622</v>
      </c>
      <c r="B3849" s="5">
        <f t="shared" si="1001"/>
        <v>4</v>
      </c>
      <c r="C3849" s="5">
        <f t="shared" si="1002"/>
        <v>2025</v>
      </c>
      <c r="D3849" s="105" t="s">
        <v>3623</v>
      </c>
      <c r="E3849" s="5" t="str">
        <f>VLOOKUP(F3849,'Set up'!$A$2:$C$70,2,FALSE)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up'!$A$2:$C$70,3,FALSE)</f>
        <v>Cash</v>
      </c>
      <c r="J3849" s="5">
        <f>VLOOKUP(F3849,'Set up'!$A$2:$D$70,4,FALSE)</f>
        <v>0</v>
      </c>
      <c r="K3849" s="4">
        <f t="shared" si="997"/>
        <v>45755</v>
      </c>
      <c r="L3849" s="5">
        <f t="shared" si="1003"/>
        <v>4</v>
      </c>
      <c r="M3849" s="5">
        <f t="shared" si="1004"/>
        <v>2025</v>
      </c>
      <c r="N3849" s="135">
        <v>260</v>
      </c>
      <c r="O3849" s="6">
        <f t="shared" si="1000"/>
        <v>-260</v>
      </c>
      <c r="P3849" s="12">
        <f t="shared" si="996"/>
        <v>0</v>
      </c>
      <c r="Q3849" s="7">
        <v>6359294.2500000019</v>
      </c>
      <c r="R3849" s="44" t="str">
        <f>VLOOKUP(F3849,'Set up'!$A$2:$E$70,5,FALSE)</f>
        <v>Chq</v>
      </c>
      <c r="S3849" s="1" t="s">
        <v>3693</v>
      </c>
    </row>
    <row r="3850" spans="1:19" ht="16.25" customHeight="1" x14ac:dyDescent="0.35">
      <c r="A3850" s="140" t="s">
        <v>3622</v>
      </c>
      <c r="B3850" s="5">
        <f t="shared" si="1001"/>
        <v>4</v>
      </c>
      <c r="C3850" s="5">
        <f t="shared" si="1002"/>
        <v>2025</v>
      </c>
      <c r="D3850" s="105" t="s">
        <v>3623</v>
      </c>
      <c r="E3850" s="5" t="str">
        <f>VLOOKUP(F3850,'Set up'!$A$2:$C$70,2,FALSE)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up'!$A$2:$C$70,3,FALSE)</f>
        <v>Cash</v>
      </c>
      <c r="J3850" s="5">
        <f>VLOOKUP(F3850,'Set up'!$A$2:$D$70,4,FALSE)</f>
        <v>0</v>
      </c>
      <c r="K3850" s="4">
        <f t="shared" si="997"/>
        <v>45755</v>
      </c>
      <c r="L3850" s="5">
        <f t="shared" si="1003"/>
        <v>4</v>
      </c>
      <c r="M3850" s="5">
        <f t="shared" si="1004"/>
        <v>2025</v>
      </c>
      <c r="N3850" s="135">
        <v>805</v>
      </c>
      <c r="O3850" s="141">
        <f>-804.5</f>
        <v>-804.5</v>
      </c>
      <c r="P3850" s="12">
        <f t="shared" si="996"/>
        <v>0.5</v>
      </c>
      <c r="Q3850" s="7">
        <v>6360099.2500000019</v>
      </c>
      <c r="R3850" s="44" t="str">
        <f>VLOOKUP(F3850,'Set up'!$A$2:$E$70,5,FALSE)</f>
        <v>Chq</v>
      </c>
      <c r="S3850" s="1" t="s">
        <v>3693</v>
      </c>
    </row>
    <row r="3851" spans="1:19" ht="16.25" customHeight="1" x14ac:dyDescent="0.35">
      <c r="A3851" s="140" t="s">
        <v>3622</v>
      </c>
      <c r="B3851" s="5">
        <f t="shared" si="1001"/>
        <v>4</v>
      </c>
      <c r="C3851" s="5">
        <f t="shared" si="1002"/>
        <v>2025</v>
      </c>
      <c r="D3851" s="105" t="s">
        <v>3624</v>
      </c>
      <c r="E3851" s="5" t="str">
        <f>VLOOKUP(F3851,'Set up'!$A$2:$C$70,2,FALSE)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up'!$A$2:$C$70,3,FALSE)</f>
        <v>30</v>
      </c>
      <c r="J3851" s="5">
        <f>VLOOKUP(F3851,'Set up'!$A$2:$D$70,4,FALSE)</f>
        <v>30</v>
      </c>
      <c r="K3851" s="4">
        <f t="shared" si="997"/>
        <v>45785</v>
      </c>
      <c r="L3851" s="5">
        <f t="shared" si="1003"/>
        <v>5</v>
      </c>
      <c r="M3851" s="5">
        <f t="shared" si="1004"/>
        <v>2025</v>
      </c>
      <c r="N3851" s="135">
        <v>96</v>
      </c>
      <c r="O3851" s="141"/>
      <c r="P3851" s="12">
        <f t="shared" si="996"/>
        <v>96</v>
      </c>
      <c r="Q3851" s="7">
        <v>6360195.2500000019</v>
      </c>
      <c r="R3851" s="44" t="str">
        <f>VLOOKUP(F3851,'Set up'!$A$2:$E$70,5,FALSE)</f>
        <v>Chq</v>
      </c>
    </row>
    <row r="3852" spans="1:19" ht="16.25" customHeight="1" x14ac:dyDescent="0.35">
      <c r="A3852" s="140" t="s">
        <v>3625</v>
      </c>
      <c r="B3852" s="5">
        <f t="shared" si="1001"/>
        <v>4</v>
      </c>
      <c r="C3852" s="5">
        <f t="shared" si="1002"/>
        <v>2025</v>
      </c>
      <c r="D3852" s="105" t="s">
        <v>3626</v>
      </c>
      <c r="E3852" s="5" t="str">
        <f>VLOOKUP(F3852,'Set up'!$A$2:$C$70,2,FALSE)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up'!$A$2:$C$70,3,FALSE)</f>
        <v>Cash</v>
      </c>
      <c r="J3852" s="5">
        <f>VLOOKUP(F3852,'Set up'!$A$2:$D$70,4,FALSE)</f>
        <v>0</v>
      </c>
      <c r="K3852" s="4">
        <f t="shared" si="997"/>
        <v>45756</v>
      </c>
      <c r="L3852" s="5">
        <f t="shared" si="1003"/>
        <v>4</v>
      </c>
      <c r="M3852" s="5">
        <f t="shared" si="1004"/>
        <v>2025</v>
      </c>
      <c r="N3852" s="135">
        <v>14580</v>
      </c>
      <c r="O3852" s="141"/>
      <c r="P3852" s="12">
        <f t="shared" si="996"/>
        <v>14580</v>
      </c>
      <c r="Q3852" s="7">
        <v>6374775.2500000019</v>
      </c>
      <c r="R3852" s="44" t="str">
        <f>VLOOKUP(F3852,'Set up'!$A$2:$E$70,5,FALSE)</f>
        <v>Trsf</v>
      </c>
    </row>
    <row r="3853" spans="1:19" ht="16.25" customHeight="1" x14ac:dyDescent="0.35">
      <c r="A3853" s="140" t="s">
        <v>3625</v>
      </c>
      <c r="B3853" s="5">
        <f t="shared" si="1001"/>
        <v>4</v>
      </c>
      <c r="C3853" s="5">
        <f t="shared" si="1002"/>
        <v>2025</v>
      </c>
      <c r="D3853" s="105" t="s">
        <v>3626</v>
      </c>
      <c r="E3853" s="5" t="str">
        <f>VLOOKUP(F3853,'Set up'!$A$2:$C$70,2,FALSE)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up'!$A$2:$C$70,3,FALSE)</f>
        <v>Cash</v>
      </c>
      <c r="J3853" s="5">
        <f>VLOOKUP(F3853,'Set up'!$A$2:$D$70,4,FALSE)</f>
        <v>0</v>
      </c>
      <c r="K3853" s="4">
        <f t="shared" si="997"/>
        <v>45756</v>
      </c>
      <c r="L3853" s="5">
        <f t="shared" si="1003"/>
        <v>4</v>
      </c>
      <c r="M3853" s="5">
        <f t="shared" si="1004"/>
        <v>2025</v>
      </c>
      <c r="N3853" s="135">
        <v>4366</v>
      </c>
      <c r="O3853" s="141"/>
      <c r="P3853" s="12">
        <f t="shared" si="996"/>
        <v>4366</v>
      </c>
      <c r="Q3853" s="7">
        <v>6379141.2500000019</v>
      </c>
      <c r="R3853" s="44" t="str">
        <f>VLOOKUP(F3853,'Set up'!$A$2:$E$70,5,FALSE)</f>
        <v>Trsf</v>
      </c>
    </row>
    <row r="3854" spans="1:19" ht="16.25" customHeight="1" x14ac:dyDescent="0.35">
      <c r="A3854" s="140" t="s">
        <v>3625</v>
      </c>
      <c r="B3854" s="5">
        <f t="shared" si="1001"/>
        <v>4</v>
      </c>
      <c r="C3854" s="5">
        <f t="shared" si="1002"/>
        <v>2025</v>
      </c>
      <c r="D3854" s="105" t="s">
        <v>3626</v>
      </c>
      <c r="E3854" s="5" t="str">
        <f>VLOOKUP(F3854,'Set up'!$A$2:$C$70,2,FALSE)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up'!$A$2:$C$70,3,FALSE)</f>
        <v>Cash</v>
      </c>
      <c r="J3854" s="5">
        <f>VLOOKUP(F3854,'Set up'!$A$2:$D$70,4,FALSE)</f>
        <v>0</v>
      </c>
      <c r="K3854" s="4">
        <f t="shared" si="997"/>
        <v>45756</v>
      </c>
      <c r="L3854" s="5">
        <f t="shared" si="1003"/>
        <v>4</v>
      </c>
      <c r="M3854" s="5">
        <f t="shared" si="1004"/>
        <v>2025</v>
      </c>
      <c r="N3854" s="135">
        <v>3712.5</v>
      </c>
      <c r="O3854" s="141"/>
      <c r="P3854" s="12">
        <f t="shared" si="996"/>
        <v>3712.5</v>
      </c>
      <c r="Q3854" s="7">
        <v>6382853.7500000019</v>
      </c>
      <c r="R3854" s="44" t="str">
        <f>VLOOKUP(F3854,'Set up'!$A$2:$E$70,5,FALSE)</f>
        <v>Trsf</v>
      </c>
    </row>
    <row r="3855" spans="1:19" ht="16.25" customHeight="1" x14ac:dyDescent="0.35">
      <c r="A3855" s="140" t="s">
        <v>3625</v>
      </c>
      <c r="B3855" s="5">
        <f t="shared" si="1001"/>
        <v>4</v>
      </c>
      <c r="C3855" s="5">
        <f t="shared" si="1002"/>
        <v>2025</v>
      </c>
      <c r="D3855" s="105" t="s">
        <v>3626</v>
      </c>
      <c r="E3855" s="5" t="str">
        <f>VLOOKUP(F3855,'Set up'!$A$2:$C$70,2,FALSE)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up'!$A$2:$C$70,3,FALSE)</f>
        <v>Cash</v>
      </c>
      <c r="J3855" s="5">
        <f>VLOOKUP(F3855,'Set up'!$A$2:$D$70,4,FALSE)</f>
        <v>0</v>
      </c>
      <c r="K3855" s="4">
        <f t="shared" si="997"/>
        <v>45756</v>
      </c>
      <c r="L3855" s="5">
        <f t="shared" si="1003"/>
        <v>4</v>
      </c>
      <c r="M3855" s="5">
        <f t="shared" si="1004"/>
        <v>2025</v>
      </c>
      <c r="N3855" s="135">
        <v>460</v>
      </c>
      <c r="O3855" s="141"/>
      <c r="P3855" s="12">
        <f t="shared" si="996"/>
        <v>460</v>
      </c>
      <c r="Q3855" s="7">
        <v>6383313.7500000019</v>
      </c>
      <c r="R3855" s="44" t="str">
        <f>VLOOKUP(F3855,'Set up'!$A$2:$E$70,5,FALSE)</f>
        <v>Trsf</v>
      </c>
    </row>
    <row r="3856" spans="1:19" ht="16.25" customHeight="1" x14ac:dyDescent="0.35">
      <c r="A3856" s="140" t="s">
        <v>3625</v>
      </c>
      <c r="B3856" s="5">
        <f t="shared" si="1001"/>
        <v>4</v>
      </c>
      <c r="C3856" s="5">
        <f t="shared" si="1002"/>
        <v>2025</v>
      </c>
      <c r="D3856" s="105" t="s">
        <v>3627</v>
      </c>
      <c r="E3856" s="5" t="str">
        <f>VLOOKUP(F3856,'Set up'!$A$2:$C$70,2,FALSE)</f>
        <v>C00000044</v>
      </c>
      <c r="F3856" s="99" t="s">
        <v>2929</v>
      </c>
      <c r="G3856" s="99" t="s">
        <v>3621</v>
      </c>
      <c r="H3856" s="137">
        <v>2</v>
      </c>
      <c r="I3856" s="5" t="str">
        <f>VLOOKUP(F3856,'Set up'!$A$2:$C$70,3,FALSE)</f>
        <v>Cash</v>
      </c>
      <c r="J3856" s="5">
        <f>VLOOKUP(F3856,'Set up'!$A$2:$D$70,4,FALSE)</f>
        <v>0</v>
      </c>
      <c r="K3856" s="4">
        <f t="shared" si="997"/>
        <v>45756</v>
      </c>
      <c r="L3856" s="5">
        <f t="shared" si="1003"/>
        <v>4</v>
      </c>
      <c r="M3856" s="5">
        <f t="shared" si="1004"/>
        <v>2025</v>
      </c>
      <c r="N3856" s="135">
        <v>500</v>
      </c>
      <c r="O3856" s="6">
        <f>-N3856</f>
        <v>-500</v>
      </c>
      <c r="P3856" s="12">
        <f t="shared" si="996"/>
        <v>0</v>
      </c>
      <c r="Q3856" s="7">
        <v>6383813.7500000019</v>
      </c>
      <c r="R3856" s="44" t="str">
        <f>VLOOKUP(F3856,'Set up'!$A$2:$E$70,5,FALSE)</f>
        <v>Cash</v>
      </c>
      <c r="S3856" s="1" t="s">
        <v>3683</v>
      </c>
    </row>
    <row r="3857" spans="1:19" ht="16.25" customHeight="1" x14ac:dyDescent="0.35">
      <c r="A3857" s="140" t="s">
        <v>3625</v>
      </c>
      <c r="B3857" s="5">
        <f t="shared" si="1001"/>
        <v>4</v>
      </c>
      <c r="C3857" s="5">
        <f t="shared" si="1002"/>
        <v>2025</v>
      </c>
      <c r="D3857" s="105" t="s">
        <v>3627</v>
      </c>
      <c r="E3857" s="5" t="str">
        <f>VLOOKUP(F3857,'Set up'!$A$2:$C$70,2,FALSE)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up'!$A$2:$C$70,3,FALSE)</f>
        <v>Cash</v>
      </c>
      <c r="J3857" s="5">
        <f>VLOOKUP(F3857,'Set up'!$A$2:$D$70,4,FALSE)</f>
        <v>0</v>
      </c>
      <c r="K3857" s="4">
        <f t="shared" si="997"/>
        <v>45756</v>
      </c>
      <c r="L3857" s="5">
        <f t="shared" si="1003"/>
        <v>4</v>
      </c>
      <c r="M3857" s="5">
        <f t="shared" si="1004"/>
        <v>2025</v>
      </c>
      <c r="N3857" s="135">
        <v>216</v>
      </c>
      <c r="O3857" s="6">
        <f>-N3857</f>
        <v>-216</v>
      </c>
      <c r="P3857" s="12">
        <f t="shared" si="996"/>
        <v>0</v>
      </c>
      <c r="Q3857" s="7">
        <v>6384029.7500000019</v>
      </c>
      <c r="R3857" s="44" t="str">
        <f>VLOOKUP(F3857,'Set up'!$A$2:$E$70,5,FALSE)</f>
        <v>Cash</v>
      </c>
      <c r="S3857" s="1" t="s">
        <v>3683</v>
      </c>
    </row>
    <row r="3858" spans="1:19" ht="16.25" customHeight="1" x14ac:dyDescent="0.35">
      <c r="A3858" s="140" t="s">
        <v>3628</v>
      </c>
      <c r="B3858" s="5">
        <f t="shared" si="1001"/>
        <v>4</v>
      </c>
      <c r="C3858" s="5">
        <f t="shared" si="1002"/>
        <v>2025</v>
      </c>
      <c r="D3858" s="105" t="s">
        <v>3629</v>
      </c>
      <c r="E3858" s="5" t="str">
        <f>VLOOKUP(F3858,'Set up'!$A$2:$C$70,2,FALSE)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up'!$A$2:$C$70,3,FALSE)</f>
        <v>Cash</v>
      </c>
      <c r="J3858" s="5">
        <f>VLOOKUP(F3858,'Set up'!$A$2:$D$70,4,FALSE)</f>
        <v>0</v>
      </c>
      <c r="K3858" s="4">
        <f t="shared" si="997"/>
        <v>45757</v>
      </c>
      <c r="L3858" s="5">
        <f t="shared" si="1003"/>
        <v>4</v>
      </c>
      <c r="M3858" s="5">
        <f t="shared" si="1004"/>
        <v>2025</v>
      </c>
      <c r="N3858" s="135">
        <v>1642.5</v>
      </c>
      <c r="O3858" s="6">
        <f t="shared" ref="O3858:O3863" si="1005">-N3858</f>
        <v>-1642.5</v>
      </c>
      <c r="P3858" s="12">
        <f t="shared" si="996"/>
        <v>0</v>
      </c>
      <c r="Q3858" s="7">
        <v>6385672.2500000019</v>
      </c>
      <c r="R3858" s="44" t="str">
        <f>VLOOKUP(F3858,'Set up'!$A$2:$E$70,5,FALSE)</f>
        <v>Cash</v>
      </c>
      <c r="S3858" s="1" t="s">
        <v>3680</v>
      </c>
    </row>
    <row r="3859" spans="1:19" ht="16.25" customHeight="1" x14ac:dyDescent="0.35">
      <c r="A3859" s="140" t="s">
        <v>3628</v>
      </c>
      <c r="B3859" s="5">
        <f t="shared" si="1001"/>
        <v>4</v>
      </c>
      <c r="C3859" s="5">
        <f t="shared" si="1002"/>
        <v>2025</v>
      </c>
      <c r="D3859" s="105" t="s">
        <v>3629</v>
      </c>
      <c r="E3859" s="5" t="str">
        <f>VLOOKUP(F3859,'Set up'!$A$2:$C$70,2,FALSE)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up'!$A$2:$C$70,3,FALSE)</f>
        <v>Cash</v>
      </c>
      <c r="J3859" s="5">
        <f>VLOOKUP(F3859,'Set up'!$A$2:$D$70,4,FALSE)</f>
        <v>0</v>
      </c>
      <c r="K3859" s="4">
        <f t="shared" si="997"/>
        <v>45757</v>
      </c>
      <c r="L3859" s="5">
        <f t="shared" si="1003"/>
        <v>4</v>
      </c>
      <c r="M3859" s="5">
        <f t="shared" si="1004"/>
        <v>2025</v>
      </c>
      <c r="N3859" s="135">
        <v>313.2</v>
      </c>
      <c r="O3859" s="6">
        <f t="shared" si="1005"/>
        <v>-313.2</v>
      </c>
      <c r="P3859" s="12">
        <f t="shared" si="996"/>
        <v>0</v>
      </c>
      <c r="Q3859" s="7">
        <v>6385985.450000002</v>
      </c>
      <c r="R3859" s="44" t="str">
        <f>VLOOKUP(F3859,'Set up'!$A$2:$E$70,5,FALSE)</f>
        <v>Cash</v>
      </c>
      <c r="S3859" s="1" t="s">
        <v>3680</v>
      </c>
    </row>
    <row r="3860" spans="1:19" ht="16.25" customHeight="1" x14ac:dyDescent="0.35">
      <c r="A3860" s="140" t="s">
        <v>3628</v>
      </c>
      <c r="B3860" s="5">
        <f t="shared" si="1001"/>
        <v>4</v>
      </c>
      <c r="C3860" s="5">
        <f t="shared" si="1002"/>
        <v>2025</v>
      </c>
      <c r="D3860" s="105" t="s">
        <v>3629</v>
      </c>
      <c r="E3860" s="5" t="str">
        <f>VLOOKUP(F3860,'Set up'!$A$2:$C$70,2,FALSE)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up'!$A$2:$C$70,3,FALSE)</f>
        <v>Cash</v>
      </c>
      <c r="J3860" s="5">
        <f>VLOOKUP(F3860,'Set up'!$A$2:$D$70,4,FALSE)</f>
        <v>0</v>
      </c>
      <c r="K3860" s="4">
        <f t="shared" si="997"/>
        <v>45757</v>
      </c>
      <c r="L3860" s="5">
        <f t="shared" si="1003"/>
        <v>4</v>
      </c>
      <c r="M3860" s="5">
        <f t="shared" si="1004"/>
        <v>2025</v>
      </c>
      <c r="N3860" s="135">
        <v>230</v>
      </c>
      <c r="O3860" s="6">
        <f t="shared" si="1005"/>
        <v>-230</v>
      </c>
      <c r="P3860" s="12">
        <f t="shared" si="996"/>
        <v>0</v>
      </c>
      <c r="Q3860" s="7">
        <v>6386215.450000002</v>
      </c>
      <c r="R3860" s="44" t="str">
        <f>VLOOKUP(F3860,'Set up'!$A$2:$E$70,5,FALSE)</f>
        <v>Cash</v>
      </c>
      <c r="S3860" s="1" t="s">
        <v>3680</v>
      </c>
    </row>
    <row r="3861" spans="1:19" ht="16.25" customHeight="1" x14ac:dyDescent="0.35">
      <c r="A3861" s="140" t="s">
        <v>3630</v>
      </c>
      <c r="B3861" s="5">
        <f t="shared" si="1001"/>
        <v>4</v>
      </c>
      <c r="C3861" s="5">
        <f t="shared" si="1002"/>
        <v>2025</v>
      </c>
      <c r="D3861" s="105" t="s">
        <v>3631</v>
      </c>
      <c r="E3861" s="5" t="str">
        <f>VLOOKUP(F3861,'Set up'!$A$2:$C$70,2,FALSE)</f>
        <v>C00000050</v>
      </c>
      <c r="F3861" s="99" t="s">
        <v>2656</v>
      </c>
      <c r="G3861" s="99" t="s">
        <v>3615</v>
      </c>
      <c r="H3861" s="137">
        <v>1</v>
      </c>
      <c r="I3861" s="5" t="str">
        <f>VLOOKUP(F3861,'Set up'!$A$2:$C$70,3,FALSE)</f>
        <v>Cash</v>
      </c>
      <c r="J3861" s="5">
        <f>VLOOKUP(F3861,'Set up'!$A$2:$D$70,4,FALSE)</f>
        <v>0</v>
      </c>
      <c r="K3861" s="4">
        <f t="shared" si="997"/>
        <v>45758</v>
      </c>
      <c r="L3861" s="5">
        <f t="shared" si="1003"/>
        <v>4</v>
      </c>
      <c r="M3861" s="5">
        <f t="shared" si="1004"/>
        <v>2025</v>
      </c>
      <c r="N3861" s="135">
        <v>1710</v>
      </c>
      <c r="O3861" s="6">
        <f t="shared" si="1005"/>
        <v>-1710</v>
      </c>
      <c r="P3861" s="12">
        <f t="shared" si="996"/>
        <v>0</v>
      </c>
      <c r="Q3861" s="7">
        <v>6387925.450000002</v>
      </c>
      <c r="R3861" s="44" t="str">
        <f>VLOOKUP(F3861,'Set up'!$A$2:$E$70,5,FALSE)</f>
        <v>Cash</v>
      </c>
      <c r="S3861" s="1" t="s">
        <v>3831</v>
      </c>
    </row>
    <row r="3862" spans="1:19" ht="16.25" customHeight="1" x14ac:dyDescent="0.35">
      <c r="A3862" s="140" t="s">
        <v>3630</v>
      </c>
      <c r="B3862" s="5">
        <f t="shared" si="1001"/>
        <v>4</v>
      </c>
      <c r="C3862" s="5">
        <f t="shared" si="1002"/>
        <v>2025</v>
      </c>
      <c r="D3862" s="105" t="s">
        <v>3631</v>
      </c>
      <c r="E3862" s="5" t="str">
        <f>VLOOKUP(F3862,'Set up'!$A$2:$C$70,2,FALSE)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up'!$A$2:$C$70,3,FALSE)</f>
        <v>Cash</v>
      </c>
      <c r="J3862" s="5">
        <f>VLOOKUP(F3862,'Set up'!$A$2:$D$70,4,FALSE)</f>
        <v>0</v>
      </c>
      <c r="K3862" s="4">
        <f t="shared" si="997"/>
        <v>45758</v>
      </c>
      <c r="L3862" s="5">
        <f t="shared" si="1003"/>
        <v>4</v>
      </c>
      <c r="M3862" s="5">
        <f t="shared" si="1004"/>
        <v>2025</v>
      </c>
      <c r="N3862" s="135">
        <v>555</v>
      </c>
      <c r="O3862" s="6">
        <f t="shared" si="1005"/>
        <v>-555</v>
      </c>
      <c r="P3862" s="12">
        <f t="shared" si="996"/>
        <v>0</v>
      </c>
      <c r="Q3862" s="7">
        <v>6388480.450000002</v>
      </c>
      <c r="R3862" s="44" t="str">
        <f>VLOOKUP(F3862,'Set up'!$A$2:$E$70,5,FALSE)</f>
        <v>Cash</v>
      </c>
      <c r="S3862" s="1" t="s">
        <v>3831</v>
      </c>
    </row>
    <row r="3863" spans="1:19" ht="16.25" customHeight="1" x14ac:dyDescent="0.35">
      <c r="A3863" s="140" t="s">
        <v>3630</v>
      </c>
      <c r="B3863" s="5">
        <f t="shared" si="1001"/>
        <v>4</v>
      </c>
      <c r="C3863" s="5">
        <f t="shared" si="1002"/>
        <v>2025</v>
      </c>
      <c r="D3863" s="105" t="s">
        <v>3631</v>
      </c>
      <c r="E3863" s="5" t="str">
        <f>VLOOKUP(F3863,'Set up'!$A$2:$C$70,2,FALSE)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up'!$A$2:$C$70,3,FALSE)</f>
        <v>Cash</v>
      </c>
      <c r="J3863" s="5">
        <f>VLOOKUP(F3863,'Set up'!$A$2:$D$70,4,FALSE)</f>
        <v>0</v>
      </c>
      <c r="K3863" s="4">
        <f t="shared" si="997"/>
        <v>45758</v>
      </c>
      <c r="L3863" s="5">
        <f t="shared" si="1003"/>
        <v>4</v>
      </c>
      <c r="M3863" s="5">
        <f t="shared" si="1004"/>
        <v>2025</v>
      </c>
      <c r="N3863" s="135">
        <v>95</v>
      </c>
      <c r="O3863" s="6">
        <f t="shared" si="1005"/>
        <v>-95</v>
      </c>
      <c r="P3863" s="12">
        <f t="shared" si="996"/>
        <v>0</v>
      </c>
      <c r="Q3863" s="7">
        <v>6388575.450000002</v>
      </c>
      <c r="R3863" s="44" t="str">
        <f>VLOOKUP(F3863,'Set up'!$A$2:$E$70,5,FALSE)</f>
        <v>Cash</v>
      </c>
      <c r="S3863" s="1" t="s">
        <v>3831</v>
      </c>
    </row>
    <row r="3864" spans="1:19" ht="16.25" customHeight="1" x14ac:dyDescent="0.35">
      <c r="A3864" s="140" t="s">
        <v>3630</v>
      </c>
      <c r="B3864" s="5">
        <f t="shared" si="1001"/>
        <v>4</v>
      </c>
      <c r="C3864" s="5">
        <f t="shared" si="1002"/>
        <v>2025</v>
      </c>
      <c r="D3864" s="105" t="s">
        <v>3632</v>
      </c>
      <c r="E3864" s="5" t="str">
        <f>VLOOKUP(F3864,'Set up'!$A$2:$C$70,2,FALSE)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up'!$A$2:$C$70,3,FALSE)</f>
        <v>Cash</v>
      </c>
      <c r="J3864" s="5">
        <f>VLOOKUP(F3864,'Set up'!$A$2:$D$70,4,FALSE)</f>
        <v>0</v>
      </c>
      <c r="K3864" s="4">
        <f t="shared" si="997"/>
        <v>45758</v>
      </c>
      <c r="L3864" s="5">
        <f t="shared" si="1003"/>
        <v>4</v>
      </c>
      <c r="M3864" s="5">
        <f t="shared" si="1004"/>
        <v>2025</v>
      </c>
      <c r="N3864" s="135">
        <v>1755</v>
      </c>
      <c r="O3864" s="141"/>
      <c r="P3864" s="12">
        <f t="shared" si="996"/>
        <v>1755</v>
      </c>
      <c r="Q3864" s="7">
        <v>6390330.450000002</v>
      </c>
      <c r="R3864" s="44" t="str">
        <f>VLOOKUP(F3864,'Set up'!$A$2:$E$70,5,FALSE)</f>
        <v>Trsf</v>
      </c>
    </row>
    <row r="3865" spans="1:19" ht="16.25" customHeight="1" x14ac:dyDescent="0.35">
      <c r="A3865" s="140" t="s">
        <v>3630</v>
      </c>
      <c r="B3865" s="5">
        <f t="shared" si="1001"/>
        <v>4</v>
      </c>
      <c r="C3865" s="5">
        <f t="shared" si="1002"/>
        <v>2025</v>
      </c>
      <c r="D3865" s="105" t="s">
        <v>3632</v>
      </c>
      <c r="E3865" s="5" t="str">
        <f>VLOOKUP(F3865,'Set up'!$A$2:$C$70,2,FALSE)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up'!$A$2:$C$70,3,FALSE)</f>
        <v>Cash</v>
      </c>
      <c r="J3865" s="5">
        <f>VLOOKUP(F3865,'Set up'!$A$2:$D$70,4,FALSE)</f>
        <v>0</v>
      </c>
      <c r="K3865" s="4">
        <f t="shared" si="997"/>
        <v>45758</v>
      </c>
      <c r="L3865" s="5">
        <f t="shared" si="1003"/>
        <v>4</v>
      </c>
      <c r="M3865" s="5">
        <f t="shared" si="1004"/>
        <v>2025</v>
      </c>
      <c r="N3865" s="135">
        <v>405</v>
      </c>
      <c r="O3865" s="141"/>
      <c r="P3865" s="12">
        <f t="shared" si="996"/>
        <v>405</v>
      </c>
      <c r="Q3865" s="7">
        <v>6390735.450000002</v>
      </c>
      <c r="R3865" s="44" t="str">
        <f>VLOOKUP(F3865,'Set up'!$A$2:$E$70,5,FALSE)</f>
        <v>Trsf</v>
      </c>
    </row>
    <row r="3866" spans="1:19" ht="16.25" customHeight="1" x14ac:dyDescent="0.35">
      <c r="A3866" s="140" t="s">
        <v>3630</v>
      </c>
      <c r="B3866" s="5">
        <f t="shared" si="1001"/>
        <v>4</v>
      </c>
      <c r="C3866" s="5">
        <f t="shared" si="1002"/>
        <v>2025</v>
      </c>
      <c r="D3866" s="105" t="s">
        <v>3632</v>
      </c>
      <c r="E3866" s="5" t="str">
        <f>VLOOKUP(F3866,'Set up'!$A$2:$C$70,2,FALSE)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up'!$A$2:$C$70,3,FALSE)</f>
        <v>Cash</v>
      </c>
      <c r="J3866" s="5">
        <f>VLOOKUP(F3866,'Set up'!$A$2:$D$70,4,FALSE)</f>
        <v>0</v>
      </c>
      <c r="K3866" s="4">
        <f t="shared" si="997"/>
        <v>45758</v>
      </c>
      <c r="L3866" s="5">
        <f t="shared" si="1003"/>
        <v>4</v>
      </c>
      <c r="M3866" s="5">
        <f t="shared" si="1004"/>
        <v>2025</v>
      </c>
      <c r="N3866" s="135">
        <v>110</v>
      </c>
      <c r="O3866" s="141"/>
      <c r="P3866" s="12">
        <f t="shared" si="996"/>
        <v>110</v>
      </c>
      <c r="Q3866" s="7">
        <v>6390845.450000002</v>
      </c>
      <c r="R3866" s="44" t="str">
        <f>VLOOKUP(F3866,'Set up'!$A$2:$E$70,5,FALSE)</f>
        <v>Trsf</v>
      </c>
    </row>
    <row r="3867" spans="1:19" ht="16.25" customHeight="1" x14ac:dyDescent="0.35">
      <c r="A3867" s="140" t="s">
        <v>3633</v>
      </c>
      <c r="B3867" s="5">
        <f t="shared" si="1001"/>
        <v>4</v>
      </c>
      <c r="C3867" s="5">
        <f t="shared" si="1002"/>
        <v>2025</v>
      </c>
      <c r="D3867" s="105" t="s">
        <v>3634</v>
      </c>
      <c r="E3867" s="5" t="str">
        <f>VLOOKUP(F3867,'Set up'!$A$2:$C$70,2,FALSE)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up'!$A$2:$C$70,3,FALSE)</f>
        <v>Cash</v>
      </c>
      <c r="J3867" s="5">
        <f>VLOOKUP(F3867,'Set up'!$A$2:$D$70,4,FALSE)</f>
        <v>0</v>
      </c>
      <c r="K3867" s="4">
        <f t="shared" si="997"/>
        <v>45759</v>
      </c>
      <c r="L3867" s="5">
        <f t="shared" si="1003"/>
        <v>4</v>
      </c>
      <c r="M3867" s="5">
        <f t="shared" si="1004"/>
        <v>2025</v>
      </c>
      <c r="N3867" s="135">
        <v>3285</v>
      </c>
      <c r="O3867" s="6">
        <f t="shared" ref="O3867:O3876" si="1006">-N3867</f>
        <v>-3285</v>
      </c>
      <c r="P3867" s="12">
        <f t="shared" si="996"/>
        <v>0</v>
      </c>
      <c r="Q3867" s="7">
        <v>6394130.450000002</v>
      </c>
      <c r="R3867" s="44" t="str">
        <f>VLOOKUP(F3867,'Set up'!$A$2:$E$70,5,FALSE)</f>
        <v>Cash</v>
      </c>
      <c r="S3867" s="1" t="s">
        <v>3681</v>
      </c>
    </row>
    <row r="3868" spans="1:19" ht="16.25" customHeight="1" x14ac:dyDescent="0.35">
      <c r="A3868" s="140" t="s">
        <v>3633</v>
      </c>
      <c r="B3868" s="5">
        <f t="shared" si="1001"/>
        <v>4</v>
      </c>
      <c r="C3868" s="5">
        <f t="shared" si="1002"/>
        <v>2025</v>
      </c>
      <c r="D3868" s="105" t="s">
        <v>3634</v>
      </c>
      <c r="E3868" s="5" t="str">
        <f>VLOOKUP(F3868,'Set up'!$A$2:$C$70,2,FALSE)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up'!$A$2:$C$70,3,FALSE)</f>
        <v>Cash</v>
      </c>
      <c r="J3868" s="5">
        <f>VLOOKUP(F3868,'Set up'!$A$2:$D$70,4,FALSE)</f>
        <v>0</v>
      </c>
      <c r="K3868" s="4">
        <f t="shared" si="997"/>
        <v>45759</v>
      </c>
      <c r="L3868" s="5">
        <f t="shared" si="1003"/>
        <v>4</v>
      </c>
      <c r="M3868" s="5">
        <f t="shared" si="1004"/>
        <v>2025</v>
      </c>
      <c r="N3868" s="135">
        <v>626.4</v>
      </c>
      <c r="O3868" s="6">
        <f t="shared" si="1006"/>
        <v>-626.4</v>
      </c>
      <c r="P3868" s="12">
        <f t="shared" si="996"/>
        <v>0</v>
      </c>
      <c r="Q3868" s="7">
        <v>6394756.8500000024</v>
      </c>
      <c r="R3868" s="44" t="str">
        <f>VLOOKUP(F3868,'Set up'!$A$2:$E$70,5,FALSE)</f>
        <v>Cash</v>
      </c>
      <c r="S3868" s="1" t="s">
        <v>3681</v>
      </c>
    </row>
    <row r="3869" spans="1:19" ht="16.25" customHeight="1" x14ac:dyDescent="0.35">
      <c r="A3869" s="140" t="s">
        <v>3633</v>
      </c>
      <c r="B3869" s="5">
        <f t="shared" si="1001"/>
        <v>4</v>
      </c>
      <c r="C3869" s="5">
        <f t="shared" si="1002"/>
        <v>2025</v>
      </c>
      <c r="D3869" s="105" t="s">
        <v>3634</v>
      </c>
      <c r="E3869" s="5" t="str">
        <f>VLOOKUP(F3869,'Set up'!$A$2:$C$70,2,FALSE)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up'!$A$2:$C$70,3,FALSE)</f>
        <v>Cash</v>
      </c>
      <c r="J3869" s="5">
        <f>VLOOKUP(F3869,'Set up'!$A$2:$D$70,4,FALSE)</f>
        <v>0</v>
      </c>
      <c r="K3869" s="4">
        <f t="shared" si="997"/>
        <v>45759</v>
      </c>
      <c r="L3869" s="5">
        <f t="shared" si="1003"/>
        <v>4</v>
      </c>
      <c r="M3869" s="5">
        <f t="shared" si="1004"/>
        <v>2025</v>
      </c>
      <c r="N3869" s="135">
        <v>115</v>
      </c>
      <c r="O3869" s="6">
        <f t="shared" si="1006"/>
        <v>-115</v>
      </c>
      <c r="P3869" s="12">
        <f t="shared" si="996"/>
        <v>0</v>
      </c>
      <c r="Q3869" s="7">
        <v>6394871.8500000024</v>
      </c>
      <c r="R3869" s="44" t="str">
        <f>VLOOKUP(F3869,'Set up'!$A$2:$E$70,5,FALSE)</f>
        <v>Cash</v>
      </c>
      <c r="S3869" s="1" t="s">
        <v>3681</v>
      </c>
    </row>
    <row r="3870" spans="1:19" ht="16.25" customHeight="1" x14ac:dyDescent="0.35">
      <c r="A3870" s="140" t="s">
        <v>3633</v>
      </c>
      <c r="B3870" s="5">
        <f t="shared" si="1001"/>
        <v>4</v>
      </c>
      <c r="C3870" s="5">
        <f t="shared" si="1002"/>
        <v>2025</v>
      </c>
      <c r="D3870" s="105" t="s">
        <v>3634</v>
      </c>
      <c r="E3870" s="5" t="str">
        <f>VLOOKUP(F3870,'Set up'!$A$2:$C$70,2,FALSE)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up'!$A$2:$C$70,3,FALSE)</f>
        <v>Cash</v>
      </c>
      <c r="J3870" s="5">
        <f>VLOOKUP(F3870,'Set up'!$A$2:$D$70,4,FALSE)</f>
        <v>0</v>
      </c>
      <c r="K3870" s="4">
        <f t="shared" si="997"/>
        <v>45759</v>
      </c>
      <c r="L3870" s="5">
        <f t="shared" si="1003"/>
        <v>4</v>
      </c>
      <c r="M3870" s="5">
        <f t="shared" si="1004"/>
        <v>2025</v>
      </c>
      <c r="N3870" s="135">
        <v>345</v>
      </c>
      <c r="O3870" s="6">
        <f t="shared" si="1006"/>
        <v>-345</v>
      </c>
      <c r="P3870" s="12">
        <f t="shared" si="996"/>
        <v>0</v>
      </c>
      <c r="Q3870" s="7">
        <v>6395216.8500000024</v>
      </c>
      <c r="R3870" s="44" t="str">
        <f>VLOOKUP(F3870,'Set up'!$A$2:$E$70,5,FALSE)</f>
        <v>Cash</v>
      </c>
      <c r="S3870" s="1" t="s">
        <v>3681</v>
      </c>
    </row>
    <row r="3871" spans="1:19" ht="16.25" customHeight="1" x14ac:dyDescent="0.35">
      <c r="A3871" s="140" t="s">
        <v>3635</v>
      </c>
      <c r="B3871" s="5">
        <f t="shared" si="1001"/>
        <v>4</v>
      </c>
      <c r="C3871" s="5">
        <f t="shared" si="1002"/>
        <v>2025</v>
      </c>
      <c r="D3871" s="105" t="s">
        <v>3636</v>
      </c>
      <c r="E3871" s="5" t="str">
        <f>VLOOKUP(F3871,'Set up'!$A$2:$C$70,2,FALSE)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up'!$A$2:$C$70,3,FALSE)</f>
        <v>Cash</v>
      </c>
      <c r="J3871" s="5">
        <f>VLOOKUP(F3871,'Set up'!$A$2:$D$70,4,FALSE)</f>
        <v>0</v>
      </c>
      <c r="K3871" s="4">
        <f t="shared" si="997"/>
        <v>45761</v>
      </c>
      <c r="L3871" s="5">
        <f t="shared" si="1003"/>
        <v>4</v>
      </c>
      <c r="M3871" s="5">
        <f t="shared" si="1004"/>
        <v>2025</v>
      </c>
      <c r="N3871" s="135">
        <v>460</v>
      </c>
      <c r="O3871" s="141"/>
      <c r="P3871" s="12">
        <f t="shared" si="996"/>
        <v>460</v>
      </c>
      <c r="Q3871" s="7">
        <v>6395676.8500000024</v>
      </c>
      <c r="R3871" s="44" t="str">
        <f>VLOOKUP(F3871,'Set up'!$A$2:$E$70,5,FALSE)</f>
        <v>Trsf</v>
      </c>
    </row>
    <row r="3872" spans="1:19" ht="16.25" customHeight="1" x14ac:dyDescent="0.35">
      <c r="A3872" s="140" t="s">
        <v>3637</v>
      </c>
      <c r="B3872" s="5">
        <f t="shared" si="1001"/>
        <v>4</v>
      </c>
      <c r="C3872" s="5">
        <f t="shared" si="1002"/>
        <v>2025</v>
      </c>
      <c r="D3872" s="105" t="s">
        <v>3638</v>
      </c>
      <c r="E3872" s="5" t="str">
        <f>VLOOKUP(F3872,'Set up'!$A$2:$C$70,2,FALSE)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up'!$A$2:$C$70,3,FALSE)</f>
        <v>Cash</v>
      </c>
      <c r="J3872" s="5">
        <f>VLOOKUP(F3872,'Set up'!$A$2:$D$70,4,FALSE)</f>
        <v>0</v>
      </c>
      <c r="K3872" s="4">
        <f t="shared" si="997"/>
        <v>45762</v>
      </c>
      <c r="L3872" s="5">
        <f t="shared" si="1003"/>
        <v>4</v>
      </c>
      <c r="M3872" s="5">
        <f t="shared" si="1004"/>
        <v>2025</v>
      </c>
      <c r="N3872" s="135">
        <v>3285</v>
      </c>
      <c r="O3872" s="6">
        <f t="shared" si="1006"/>
        <v>-3285</v>
      </c>
      <c r="P3872" s="12">
        <f t="shared" ref="P3872:P3935" si="1007">SUM(N3872+O3872)</f>
        <v>0</v>
      </c>
      <c r="Q3872" s="7">
        <v>6398961.8500000024</v>
      </c>
      <c r="R3872" s="44" t="str">
        <f>VLOOKUP(F3872,'Set up'!$A$2:$E$70,5,FALSE)</f>
        <v>Cash</v>
      </c>
      <c r="S3872" s="1" t="s">
        <v>3822</v>
      </c>
    </row>
    <row r="3873" spans="1:19" ht="16.25" customHeight="1" x14ac:dyDescent="0.35">
      <c r="A3873" s="140" t="s">
        <v>3637</v>
      </c>
      <c r="B3873" s="5">
        <f t="shared" si="1001"/>
        <v>4</v>
      </c>
      <c r="C3873" s="5">
        <f t="shared" si="1002"/>
        <v>2025</v>
      </c>
      <c r="D3873" s="105" t="s">
        <v>3638</v>
      </c>
      <c r="E3873" s="5" t="str">
        <f>VLOOKUP(F3873,'Set up'!$A$2:$C$70,2,FALSE)</f>
        <v>C00000061</v>
      </c>
      <c r="F3873" s="99" t="s">
        <v>3532</v>
      </c>
      <c r="G3873" s="99" t="s">
        <v>3639</v>
      </c>
      <c r="H3873" s="137">
        <v>2</v>
      </c>
      <c r="I3873" s="5" t="str">
        <f>VLOOKUP(F3873,'Set up'!$A$2:$C$70,3,FALSE)</f>
        <v>Cash</v>
      </c>
      <c r="J3873" s="5">
        <f>VLOOKUP(F3873,'Set up'!$A$2:$D$70,4,FALSE)</f>
        <v>0</v>
      </c>
      <c r="K3873" s="4">
        <f t="shared" si="997"/>
        <v>45762</v>
      </c>
      <c r="L3873" s="5">
        <f t="shared" si="1003"/>
        <v>4</v>
      </c>
      <c r="M3873" s="5">
        <f t="shared" si="1004"/>
        <v>2025</v>
      </c>
      <c r="N3873" s="135">
        <v>817.4</v>
      </c>
      <c r="O3873" s="6">
        <f t="shared" si="1006"/>
        <v>-817.4</v>
      </c>
      <c r="P3873" s="12">
        <f t="shared" si="1007"/>
        <v>0</v>
      </c>
      <c r="Q3873" s="7">
        <v>6399779.2500000028</v>
      </c>
      <c r="R3873" s="44" t="str">
        <f>VLOOKUP(F3873,'Set up'!$A$2:$E$70,5,FALSE)</f>
        <v>Cash</v>
      </c>
      <c r="S3873" s="1" t="s">
        <v>3822</v>
      </c>
    </row>
    <row r="3874" spans="1:19" ht="16.25" customHeight="1" x14ac:dyDescent="0.35">
      <c r="A3874" s="140" t="s">
        <v>3637</v>
      </c>
      <c r="B3874" s="5">
        <f t="shared" si="1001"/>
        <v>4</v>
      </c>
      <c r="C3874" s="5">
        <f t="shared" si="1002"/>
        <v>2025</v>
      </c>
      <c r="D3874" s="105" t="s">
        <v>3638</v>
      </c>
      <c r="E3874" s="5" t="str">
        <f>VLOOKUP(F3874,'Set up'!$A$2:$C$70,2,FALSE)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up'!$A$2:$C$70,3,FALSE)</f>
        <v>Cash</v>
      </c>
      <c r="J3874" s="5">
        <f>VLOOKUP(F3874,'Set up'!$A$2:$D$70,4,FALSE)</f>
        <v>0</v>
      </c>
      <c r="K3874" s="4">
        <f t="shared" si="997"/>
        <v>45762</v>
      </c>
      <c r="L3874" s="5">
        <f t="shared" si="1003"/>
        <v>4</v>
      </c>
      <c r="M3874" s="5">
        <f t="shared" si="1004"/>
        <v>2025</v>
      </c>
      <c r="N3874" s="135">
        <v>115</v>
      </c>
      <c r="O3874" s="6">
        <f t="shared" si="1006"/>
        <v>-115</v>
      </c>
      <c r="P3874" s="12">
        <f t="shared" si="1007"/>
        <v>0</v>
      </c>
      <c r="Q3874" s="7">
        <v>6399894.2500000028</v>
      </c>
      <c r="R3874" s="44" t="str">
        <f>VLOOKUP(F3874,'Set up'!$A$2:$E$70,5,FALSE)</f>
        <v>Cash</v>
      </c>
      <c r="S3874" s="1" t="s">
        <v>3822</v>
      </c>
    </row>
    <row r="3875" spans="1:19" ht="16.25" customHeight="1" x14ac:dyDescent="0.35">
      <c r="A3875" s="140" t="s">
        <v>3637</v>
      </c>
      <c r="B3875" s="5">
        <f t="shared" si="1001"/>
        <v>4</v>
      </c>
      <c r="C3875" s="5">
        <f t="shared" si="1002"/>
        <v>2025</v>
      </c>
      <c r="D3875" s="105" t="s">
        <v>3638</v>
      </c>
      <c r="E3875" s="5" t="str">
        <f>VLOOKUP(F3875,'Set up'!$A$2:$C$70,2,FALSE)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up'!$A$2:$C$70,3,FALSE)</f>
        <v>Cash</v>
      </c>
      <c r="J3875" s="5">
        <f>VLOOKUP(F3875,'Set up'!$A$2:$D$70,4,FALSE)</f>
        <v>0</v>
      </c>
      <c r="K3875" s="4">
        <f t="shared" si="997"/>
        <v>45762</v>
      </c>
      <c r="L3875" s="5">
        <f t="shared" si="1003"/>
        <v>4</v>
      </c>
      <c r="M3875" s="5">
        <f t="shared" si="1004"/>
        <v>2025</v>
      </c>
      <c r="N3875" s="135">
        <v>345</v>
      </c>
      <c r="O3875" s="6">
        <f t="shared" si="1006"/>
        <v>-345</v>
      </c>
      <c r="P3875" s="12">
        <f t="shared" si="1007"/>
        <v>0</v>
      </c>
      <c r="Q3875" s="7">
        <v>6400239.2500000028</v>
      </c>
      <c r="R3875" s="44" t="str">
        <f>VLOOKUP(F3875,'Set up'!$A$2:$E$70,5,FALSE)</f>
        <v>Cash</v>
      </c>
      <c r="S3875" s="1" t="s">
        <v>3822</v>
      </c>
    </row>
    <row r="3876" spans="1:19" ht="16.25" customHeight="1" x14ac:dyDescent="0.35">
      <c r="A3876" s="140" t="s">
        <v>3637</v>
      </c>
      <c r="B3876" s="5">
        <f t="shared" si="1001"/>
        <v>4</v>
      </c>
      <c r="C3876" s="5">
        <f t="shared" si="1002"/>
        <v>2025</v>
      </c>
      <c r="D3876" s="105" t="s">
        <v>3638</v>
      </c>
      <c r="E3876" s="5" t="str">
        <f>VLOOKUP(F3876,'Set up'!$A$2:$C$70,2,FALSE)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up'!$A$2:$C$70,3,FALSE)</f>
        <v>Cash</v>
      </c>
      <c r="J3876" s="5">
        <f>VLOOKUP(F3876,'Set up'!$A$2:$D$70,4,FALSE)</f>
        <v>0</v>
      </c>
      <c r="K3876" s="4">
        <f t="shared" ref="K3876:K3939" si="1008">A3876+J3876</f>
        <v>45762</v>
      </c>
      <c r="L3876" s="5">
        <f t="shared" si="1003"/>
        <v>4</v>
      </c>
      <c r="M3876" s="5">
        <f t="shared" si="1004"/>
        <v>2025</v>
      </c>
      <c r="N3876" s="135">
        <v>60</v>
      </c>
      <c r="O3876" s="6">
        <f t="shared" si="1006"/>
        <v>-60</v>
      </c>
      <c r="P3876" s="12">
        <f t="shared" si="1007"/>
        <v>0</v>
      </c>
      <c r="Q3876" s="7">
        <v>6400299.2500000028</v>
      </c>
      <c r="R3876" s="44" t="str">
        <f>VLOOKUP(F3876,'Set up'!$A$2:$E$70,5,FALSE)</f>
        <v>Cash</v>
      </c>
      <c r="S3876" s="1" t="s">
        <v>3822</v>
      </c>
    </row>
    <row r="3877" spans="1:19" ht="16.25" customHeight="1" x14ac:dyDescent="0.35">
      <c r="A3877" s="140" t="s">
        <v>3640</v>
      </c>
      <c r="B3877" s="5">
        <f t="shared" si="1001"/>
        <v>4</v>
      </c>
      <c r="C3877" s="5">
        <f t="shared" si="1002"/>
        <v>2025</v>
      </c>
      <c r="D3877" s="105" t="s">
        <v>3641</v>
      </c>
      <c r="E3877" s="5" t="str">
        <f>VLOOKUP(F3877,'Set up'!$A$2:$C$70,2,FALSE)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up'!$A$2:$C$70,3,FALSE)</f>
        <v>Cash</v>
      </c>
      <c r="J3877" s="5">
        <f>VLOOKUP(F3877,'Set up'!$A$2:$D$70,4,FALSE)</f>
        <v>0</v>
      </c>
      <c r="K3877" s="4">
        <f t="shared" si="1008"/>
        <v>45764</v>
      </c>
      <c r="L3877" s="5">
        <f t="shared" si="1003"/>
        <v>4</v>
      </c>
      <c r="M3877" s="5">
        <f t="shared" si="1004"/>
        <v>2025</v>
      </c>
      <c r="N3877" s="135">
        <v>62.5</v>
      </c>
      <c r="O3877" s="141"/>
      <c r="P3877" s="12">
        <f t="shared" si="1007"/>
        <v>62.5</v>
      </c>
      <c r="Q3877" s="7">
        <v>6400361.7500000028</v>
      </c>
      <c r="R3877" s="44" t="str">
        <f>VLOOKUP(F3877,'Set up'!$A$2:$E$70,5,FALSE)</f>
        <v>Trsf</v>
      </c>
    </row>
    <row r="3878" spans="1:19" ht="16.25" customHeight="1" x14ac:dyDescent="0.35">
      <c r="A3878" s="140" t="s">
        <v>3640</v>
      </c>
      <c r="B3878" s="5">
        <f t="shared" si="1001"/>
        <v>4</v>
      </c>
      <c r="C3878" s="5">
        <f t="shared" si="1002"/>
        <v>2025</v>
      </c>
      <c r="D3878" s="105" t="s">
        <v>3642</v>
      </c>
      <c r="E3878" s="5" t="str">
        <f>VLOOKUP(F3878,'Set up'!$A$2:$C$70,2,FALSE)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up'!$A$2:$C$70,3,FALSE)</f>
        <v>Cash</v>
      </c>
      <c r="J3878" s="5">
        <f>VLOOKUP(F3878,'Set up'!$A$2:$D$70,4,FALSE)</f>
        <v>0</v>
      </c>
      <c r="K3878" s="4">
        <f t="shared" si="1008"/>
        <v>45764</v>
      </c>
      <c r="L3878" s="5">
        <f t="shared" si="1003"/>
        <v>4</v>
      </c>
      <c r="M3878" s="5">
        <f t="shared" si="1004"/>
        <v>2025</v>
      </c>
      <c r="N3878" s="135">
        <v>4860</v>
      </c>
      <c r="O3878" s="141"/>
      <c r="P3878" s="12">
        <f t="shared" si="1007"/>
        <v>4860</v>
      </c>
      <c r="Q3878" s="7">
        <v>6405221.7500000028</v>
      </c>
      <c r="R3878" s="44" t="str">
        <f>VLOOKUP(F3878,'Set up'!$A$2:$E$70,5,FALSE)</f>
        <v>Trsf</v>
      </c>
    </row>
    <row r="3879" spans="1:19" ht="16.25" customHeight="1" x14ac:dyDescent="0.35">
      <c r="A3879" s="140" t="s">
        <v>3640</v>
      </c>
      <c r="B3879" s="5">
        <f t="shared" si="1001"/>
        <v>4</v>
      </c>
      <c r="C3879" s="5">
        <f t="shared" si="1002"/>
        <v>2025</v>
      </c>
      <c r="D3879" s="105" t="s">
        <v>3642</v>
      </c>
      <c r="E3879" s="5" t="str">
        <f>VLOOKUP(F3879,'Set up'!$A$2:$C$70,2,FALSE)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up'!$A$2:$C$70,3,FALSE)</f>
        <v>Cash</v>
      </c>
      <c r="J3879" s="5">
        <f>VLOOKUP(F3879,'Set up'!$A$2:$D$70,4,FALSE)</f>
        <v>0</v>
      </c>
      <c r="K3879" s="4">
        <f t="shared" si="1008"/>
        <v>45764</v>
      </c>
      <c r="L3879" s="5">
        <f t="shared" si="1003"/>
        <v>4</v>
      </c>
      <c r="M3879" s="5">
        <f t="shared" si="1004"/>
        <v>2025</v>
      </c>
      <c r="N3879" s="135">
        <v>436.6</v>
      </c>
      <c r="O3879" s="141"/>
      <c r="P3879" s="12">
        <f t="shared" si="1007"/>
        <v>436.6</v>
      </c>
      <c r="Q3879" s="7">
        <v>6405658.3500000024</v>
      </c>
      <c r="R3879" s="44" t="str">
        <f>VLOOKUP(F3879,'Set up'!$A$2:$E$70,5,FALSE)</f>
        <v>Trsf</v>
      </c>
    </row>
    <row r="3880" spans="1:19" ht="16.25" customHeight="1" x14ac:dyDescent="0.35">
      <c r="A3880" s="140" t="s">
        <v>3640</v>
      </c>
      <c r="B3880" s="5">
        <f t="shared" si="1001"/>
        <v>4</v>
      </c>
      <c r="C3880" s="5">
        <f t="shared" si="1002"/>
        <v>2025</v>
      </c>
      <c r="D3880" s="105" t="s">
        <v>3642</v>
      </c>
      <c r="E3880" s="5" t="str">
        <f>VLOOKUP(F3880,'Set up'!$A$2:$C$70,2,FALSE)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up'!$A$2:$C$70,3,FALSE)</f>
        <v>Cash</v>
      </c>
      <c r="J3880" s="5">
        <f>VLOOKUP(F3880,'Set up'!$A$2:$D$70,4,FALSE)</f>
        <v>0</v>
      </c>
      <c r="K3880" s="4">
        <f t="shared" si="1008"/>
        <v>45764</v>
      </c>
      <c r="L3880" s="5">
        <f t="shared" si="1003"/>
        <v>4</v>
      </c>
      <c r="M3880" s="5">
        <f t="shared" si="1004"/>
        <v>2025</v>
      </c>
      <c r="N3880" s="135">
        <v>1485</v>
      </c>
      <c r="O3880" s="141"/>
      <c r="P3880" s="12">
        <f t="shared" si="1007"/>
        <v>1485</v>
      </c>
      <c r="Q3880" s="7">
        <v>6407143.3500000024</v>
      </c>
      <c r="R3880" s="44" t="str">
        <f>VLOOKUP(F3880,'Set up'!$A$2:$E$70,5,FALSE)</f>
        <v>Trsf</v>
      </c>
    </row>
    <row r="3881" spans="1:19" ht="16.25" customHeight="1" x14ac:dyDescent="0.35">
      <c r="A3881" s="140" t="s">
        <v>3643</v>
      </c>
      <c r="B3881" s="5">
        <f t="shared" si="1001"/>
        <v>4</v>
      </c>
      <c r="C3881" s="5">
        <f t="shared" si="1002"/>
        <v>2025</v>
      </c>
      <c r="D3881" s="105" t="s">
        <v>3644</v>
      </c>
      <c r="E3881" s="5" t="str">
        <f>VLOOKUP(F3881,'Set up'!$A$2:$C$70,2,FALSE)</f>
        <v>C00000010</v>
      </c>
      <c r="F3881" s="99" t="s">
        <v>62</v>
      </c>
      <c r="G3881" s="99" t="s">
        <v>3645</v>
      </c>
      <c r="H3881" s="137">
        <v>2</v>
      </c>
      <c r="I3881" s="5">
        <f>VLOOKUP(F3881,'Set up'!$A$2:$C$70,3,FALSE)</f>
        <v>120</v>
      </c>
      <c r="J3881" s="5">
        <f>VLOOKUP(F3881,'Set up'!$A$2:$D$70,4,FALSE)</f>
        <v>120</v>
      </c>
      <c r="K3881" s="4">
        <f t="shared" si="1008"/>
        <v>45885</v>
      </c>
      <c r="L3881" s="5">
        <f t="shared" si="1003"/>
        <v>8</v>
      </c>
      <c r="M3881" s="5">
        <f t="shared" si="1004"/>
        <v>2025</v>
      </c>
      <c r="N3881" s="135">
        <v>3195</v>
      </c>
      <c r="O3881" s="6">
        <f t="shared" ref="O3881" si="1009">-N3881</f>
        <v>-3195</v>
      </c>
      <c r="P3881" s="12">
        <f t="shared" si="1007"/>
        <v>0</v>
      </c>
      <c r="Q3881" s="7">
        <v>6410338.3500000024</v>
      </c>
      <c r="R3881" s="44" t="str">
        <f>VLOOKUP(F3881,'Set up'!$A$2:$E$70,5,FALSE)</f>
        <v>Trsf</v>
      </c>
      <c r="S3881" s="1" t="s">
        <v>4076</v>
      </c>
    </row>
    <row r="3882" spans="1:19" ht="16.25" customHeight="1" x14ac:dyDescent="0.35">
      <c r="A3882" s="140" t="s">
        <v>3646</v>
      </c>
      <c r="B3882" s="5">
        <f t="shared" si="1001"/>
        <v>4</v>
      </c>
      <c r="C3882" s="5">
        <f t="shared" si="1002"/>
        <v>2025</v>
      </c>
      <c r="D3882" s="105" t="s">
        <v>3647</v>
      </c>
      <c r="E3882" s="5" t="str">
        <f>VLOOKUP(F3882,'Set up'!$A$2:$C$70,2,FALSE)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up'!$A$2:$C$70,3,FALSE)</f>
        <v>Cash</v>
      </c>
      <c r="J3882" s="5">
        <f>VLOOKUP(F3882,'Set up'!$A$2:$D$70,4,FALSE)</f>
        <v>0</v>
      </c>
      <c r="K3882" s="4">
        <f t="shared" si="1008"/>
        <v>45766</v>
      </c>
      <c r="L3882" s="5">
        <f t="shared" si="1003"/>
        <v>4</v>
      </c>
      <c r="M3882" s="5">
        <f t="shared" si="1004"/>
        <v>2025</v>
      </c>
      <c r="N3882" s="135">
        <v>312.5</v>
      </c>
      <c r="O3882" s="141"/>
      <c r="P3882" s="12">
        <f t="shared" si="1007"/>
        <v>312.5</v>
      </c>
      <c r="Q3882" s="7">
        <v>6410650.8500000024</v>
      </c>
      <c r="R3882" s="44" t="str">
        <f>VLOOKUP(F3882,'Set up'!$A$2:$E$70,5,FALSE)</f>
        <v>Trsf</v>
      </c>
    </row>
    <row r="3883" spans="1:19" ht="16.25" customHeight="1" x14ac:dyDescent="0.35">
      <c r="A3883" s="140" t="s">
        <v>3646</v>
      </c>
      <c r="B3883" s="5">
        <f t="shared" si="1001"/>
        <v>4</v>
      </c>
      <c r="C3883" s="5">
        <f t="shared" si="1002"/>
        <v>2025</v>
      </c>
      <c r="D3883" s="105" t="s">
        <v>3648</v>
      </c>
      <c r="E3883" s="5" t="str">
        <f>VLOOKUP(F3883,'Set up'!$A$2:$C$70,2,FALSE)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up'!$A$2:$C$70,3,FALSE)</f>
        <v>Cash</v>
      </c>
      <c r="J3883" s="5">
        <f>VLOOKUP(F3883,'Set up'!$A$2:$D$70,4,FALSE)</f>
        <v>0</v>
      </c>
      <c r="K3883" s="4">
        <f t="shared" si="1008"/>
        <v>45766</v>
      </c>
      <c r="L3883" s="5">
        <f t="shared" si="1003"/>
        <v>4</v>
      </c>
      <c r="M3883" s="5">
        <f t="shared" si="1004"/>
        <v>2025</v>
      </c>
      <c r="N3883" s="135">
        <v>9720</v>
      </c>
      <c r="O3883" s="141"/>
      <c r="P3883" s="12">
        <f t="shared" si="1007"/>
        <v>9720</v>
      </c>
      <c r="Q3883" s="7">
        <v>6420370.8500000024</v>
      </c>
      <c r="R3883" s="44" t="str">
        <f>VLOOKUP(F3883,'Set up'!$A$2:$E$70,5,FALSE)</f>
        <v>Trsf</v>
      </c>
    </row>
    <row r="3884" spans="1:19" ht="16.25" customHeight="1" x14ac:dyDescent="0.35">
      <c r="A3884" s="140" t="s">
        <v>3646</v>
      </c>
      <c r="B3884" s="5">
        <f t="shared" si="1001"/>
        <v>4</v>
      </c>
      <c r="C3884" s="5">
        <f t="shared" si="1002"/>
        <v>2025</v>
      </c>
      <c r="D3884" s="105" t="s">
        <v>3648</v>
      </c>
      <c r="E3884" s="5" t="str">
        <f>VLOOKUP(F3884,'Set up'!$A$2:$C$70,2,FALSE)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up'!$A$2:$C$70,3,FALSE)</f>
        <v>Cash</v>
      </c>
      <c r="J3884" s="5">
        <f>VLOOKUP(F3884,'Set up'!$A$2:$D$70,4,FALSE)</f>
        <v>0</v>
      </c>
      <c r="K3884" s="4">
        <f t="shared" si="1008"/>
        <v>45766</v>
      </c>
      <c r="L3884" s="5">
        <f t="shared" si="1003"/>
        <v>4</v>
      </c>
      <c r="M3884" s="5">
        <f t="shared" si="1004"/>
        <v>2025</v>
      </c>
      <c r="N3884" s="135">
        <v>4366</v>
      </c>
      <c r="O3884" s="141"/>
      <c r="P3884" s="12">
        <f t="shared" si="1007"/>
        <v>4366</v>
      </c>
      <c r="Q3884" s="7">
        <v>6424736.8500000024</v>
      </c>
      <c r="R3884" s="44" t="str">
        <f>VLOOKUP(F3884,'Set up'!$A$2:$E$70,5,FALSE)</f>
        <v>Trsf</v>
      </c>
    </row>
    <row r="3885" spans="1:19" ht="16.25" customHeight="1" x14ac:dyDescent="0.35">
      <c r="A3885" s="140" t="s">
        <v>3646</v>
      </c>
      <c r="B3885" s="5">
        <f t="shared" si="1001"/>
        <v>4</v>
      </c>
      <c r="C3885" s="5">
        <f t="shared" si="1002"/>
        <v>2025</v>
      </c>
      <c r="D3885" s="105" t="s">
        <v>3648</v>
      </c>
      <c r="E3885" s="5" t="str">
        <f>VLOOKUP(F3885,'Set up'!$A$2:$C$70,2,FALSE)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up'!$A$2:$C$70,3,FALSE)</f>
        <v>Cash</v>
      </c>
      <c r="J3885" s="5">
        <f>VLOOKUP(F3885,'Set up'!$A$2:$D$70,4,FALSE)</f>
        <v>0</v>
      </c>
      <c r="K3885" s="4">
        <f t="shared" si="1008"/>
        <v>45766</v>
      </c>
      <c r="L3885" s="5">
        <f t="shared" si="1003"/>
        <v>4</v>
      </c>
      <c r="M3885" s="5">
        <f t="shared" si="1004"/>
        <v>2025</v>
      </c>
      <c r="N3885" s="135">
        <v>2475</v>
      </c>
      <c r="O3885" s="141"/>
      <c r="P3885" s="12">
        <f t="shared" si="1007"/>
        <v>2475</v>
      </c>
      <c r="Q3885" s="7">
        <v>6427211.8500000024</v>
      </c>
      <c r="R3885" s="44" t="str">
        <f>VLOOKUP(F3885,'Set up'!$A$2:$E$70,5,FALSE)</f>
        <v>Trsf</v>
      </c>
    </row>
    <row r="3886" spans="1:19" ht="16.25" customHeight="1" x14ac:dyDescent="0.35">
      <c r="A3886" s="140" t="s">
        <v>3646</v>
      </c>
      <c r="B3886" s="5">
        <f t="shared" si="1001"/>
        <v>4</v>
      </c>
      <c r="C3886" s="5">
        <f t="shared" si="1002"/>
        <v>2025</v>
      </c>
      <c r="D3886" s="105" t="s">
        <v>3648</v>
      </c>
      <c r="E3886" s="5" t="str">
        <f>VLOOKUP(F3886,'Set up'!$A$2:$C$70,2,FALSE)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up'!$A$2:$C$70,3,FALSE)</f>
        <v>Cash</v>
      </c>
      <c r="J3886" s="5">
        <f>VLOOKUP(F3886,'Set up'!$A$2:$D$70,4,FALSE)</f>
        <v>0</v>
      </c>
      <c r="K3886" s="4">
        <f t="shared" si="1008"/>
        <v>45766</v>
      </c>
      <c r="L3886" s="5">
        <f t="shared" si="1003"/>
        <v>4</v>
      </c>
      <c r="M3886" s="5">
        <f t="shared" si="1004"/>
        <v>2025</v>
      </c>
      <c r="N3886" s="135">
        <v>460</v>
      </c>
      <c r="O3886" s="141"/>
      <c r="P3886" s="12">
        <f t="shared" si="1007"/>
        <v>460</v>
      </c>
      <c r="Q3886" s="7">
        <v>6427671.8500000024</v>
      </c>
      <c r="R3886" s="44" t="str">
        <f>VLOOKUP(F3886,'Set up'!$A$2:$E$70,5,FALSE)</f>
        <v>Trsf</v>
      </c>
    </row>
    <row r="3887" spans="1:19" ht="16.25" customHeight="1" x14ac:dyDescent="0.35">
      <c r="A3887" s="140" t="s">
        <v>3646</v>
      </c>
      <c r="B3887" s="5">
        <f t="shared" si="1001"/>
        <v>4</v>
      </c>
      <c r="C3887" s="5">
        <f t="shared" si="1002"/>
        <v>2025</v>
      </c>
      <c r="D3887" s="105" t="s">
        <v>3648</v>
      </c>
      <c r="E3887" s="5" t="str">
        <f>VLOOKUP(F3887,'Set up'!$A$2:$C$70,2,FALSE)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up'!$A$2:$C$70,3,FALSE)</f>
        <v>Cash</v>
      </c>
      <c r="J3887" s="5">
        <f>VLOOKUP(F3887,'Set up'!$A$2:$D$70,4,FALSE)</f>
        <v>0</v>
      </c>
      <c r="K3887" s="4">
        <f t="shared" si="1008"/>
        <v>45766</v>
      </c>
      <c r="L3887" s="5">
        <f t="shared" si="1003"/>
        <v>4</v>
      </c>
      <c r="M3887" s="5">
        <f t="shared" si="1004"/>
        <v>2025</v>
      </c>
      <c r="N3887" s="135">
        <v>975</v>
      </c>
      <c r="O3887" s="141"/>
      <c r="P3887" s="12">
        <f t="shared" si="1007"/>
        <v>975</v>
      </c>
      <c r="Q3887" s="7">
        <v>6428646.8500000024</v>
      </c>
      <c r="R3887" s="44" t="str">
        <f>VLOOKUP(F3887,'Set up'!$A$2:$E$70,5,FALSE)</f>
        <v>Trsf</v>
      </c>
    </row>
    <row r="3888" spans="1:19" ht="16.25" customHeight="1" x14ac:dyDescent="0.35">
      <c r="A3888" s="140" t="s">
        <v>3646</v>
      </c>
      <c r="B3888" s="5">
        <f t="shared" si="1001"/>
        <v>4</v>
      </c>
      <c r="C3888" s="5">
        <f t="shared" si="1002"/>
        <v>2025</v>
      </c>
      <c r="D3888" s="105" t="s">
        <v>3648</v>
      </c>
      <c r="E3888" s="5" t="str">
        <f>VLOOKUP(F3888,'Set up'!$A$2:$C$70,2,FALSE)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up'!$A$2:$C$70,3,FALSE)</f>
        <v>Cash</v>
      </c>
      <c r="J3888" s="5">
        <f>VLOOKUP(F3888,'Set up'!$A$2:$D$70,4,FALSE)</f>
        <v>0</v>
      </c>
      <c r="K3888" s="4">
        <f t="shared" si="1008"/>
        <v>45766</v>
      </c>
      <c r="L3888" s="5">
        <f t="shared" si="1003"/>
        <v>4</v>
      </c>
      <c r="M3888" s="5">
        <f t="shared" si="1004"/>
        <v>2025</v>
      </c>
      <c r="N3888" s="135">
        <v>1000</v>
      </c>
      <c r="O3888" s="141"/>
      <c r="P3888" s="12">
        <f t="shared" si="1007"/>
        <v>1000</v>
      </c>
      <c r="Q3888" s="7">
        <v>6429646.8500000024</v>
      </c>
      <c r="R3888" s="44" t="str">
        <f>VLOOKUP(F3888,'Set up'!$A$2:$E$70,5,FALSE)</f>
        <v>Trsf</v>
      </c>
    </row>
    <row r="3889" spans="1:19" ht="16.25" customHeight="1" x14ac:dyDescent="0.35">
      <c r="A3889" s="140" t="s">
        <v>3649</v>
      </c>
      <c r="B3889" s="5">
        <f t="shared" si="1001"/>
        <v>4</v>
      </c>
      <c r="C3889" s="5">
        <f t="shared" si="1002"/>
        <v>2025</v>
      </c>
      <c r="D3889" s="105" t="s">
        <v>3650</v>
      </c>
      <c r="E3889" s="5" t="str">
        <f>VLOOKUP(F3889,'Set up'!$A$2:$C$70,2,FALSE)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up'!$A$2:$C$70,3,FALSE)</f>
        <v>Cash</v>
      </c>
      <c r="J3889" s="5">
        <f>VLOOKUP(F3889,'Set up'!$A$2:$D$70,4,FALSE)</f>
        <v>0</v>
      </c>
      <c r="K3889" s="4">
        <f t="shared" si="1008"/>
        <v>45770</v>
      </c>
      <c r="L3889" s="5">
        <f t="shared" si="1003"/>
        <v>4</v>
      </c>
      <c r="M3889" s="5">
        <f t="shared" si="1004"/>
        <v>2025</v>
      </c>
      <c r="N3889" s="135">
        <v>4860</v>
      </c>
      <c r="O3889" s="141"/>
      <c r="P3889" s="12">
        <f t="shared" si="1007"/>
        <v>4860</v>
      </c>
      <c r="Q3889" s="7">
        <v>6434506.8500000024</v>
      </c>
      <c r="R3889" s="44" t="str">
        <f>VLOOKUP(F3889,'Set up'!$A$2:$E$70,5,FALSE)</f>
        <v>Trsf</v>
      </c>
    </row>
    <row r="3890" spans="1:19" ht="16.25" customHeight="1" x14ac:dyDescent="0.35">
      <c r="A3890" s="140" t="s">
        <v>3649</v>
      </c>
      <c r="B3890" s="5">
        <f t="shared" si="1001"/>
        <v>4</v>
      </c>
      <c r="C3890" s="5">
        <f t="shared" si="1002"/>
        <v>2025</v>
      </c>
      <c r="D3890" s="105" t="s">
        <v>3650</v>
      </c>
      <c r="E3890" s="5" t="str">
        <f>VLOOKUP(F3890,'Set up'!$A$2:$C$70,2,FALSE)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up'!$A$2:$C$70,3,FALSE)</f>
        <v>Cash</v>
      </c>
      <c r="J3890" s="5">
        <f>VLOOKUP(F3890,'Set up'!$A$2:$D$70,4,FALSE)</f>
        <v>0</v>
      </c>
      <c r="K3890" s="4">
        <f t="shared" si="1008"/>
        <v>45770</v>
      </c>
      <c r="L3890" s="5">
        <f t="shared" si="1003"/>
        <v>4</v>
      </c>
      <c r="M3890" s="5">
        <f t="shared" si="1004"/>
        <v>2025</v>
      </c>
      <c r="N3890" s="135">
        <v>218.3</v>
      </c>
      <c r="O3890" s="141"/>
      <c r="P3890" s="12">
        <f t="shared" si="1007"/>
        <v>218.3</v>
      </c>
      <c r="Q3890" s="7">
        <v>6434725.1500000022</v>
      </c>
      <c r="R3890" s="44" t="str">
        <f>VLOOKUP(F3890,'Set up'!$A$2:$E$70,5,FALSE)</f>
        <v>Trsf</v>
      </c>
    </row>
    <row r="3891" spans="1:19" ht="16.25" customHeight="1" x14ac:dyDescent="0.35">
      <c r="A3891" s="140" t="s">
        <v>3649</v>
      </c>
      <c r="B3891" s="5">
        <f t="shared" si="1001"/>
        <v>4</v>
      </c>
      <c r="C3891" s="5">
        <f t="shared" si="1002"/>
        <v>2025</v>
      </c>
      <c r="D3891" s="105" t="s">
        <v>3650</v>
      </c>
      <c r="E3891" s="5" t="str">
        <f>VLOOKUP(F3891,'Set up'!$A$2:$C$70,2,FALSE)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up'!$A$2:$C$70,3,FALSE)</f>
        <v>Cash</v>
      </c>
      <c r="J3891" s="5">
        <f>VLOOKUP(F3891,'Set up'!$A$2:$D$70,4,FALSE)</f>
        <v>0</v>
      </c>
      <c r="K3891" s="4">
        <f t="shared" si="1008"/>
        <v>45770</v>
      </c>
      <c r="L3891" s="5">
        <f t="shared" si="1003"/>
        <v>4</v>
      </c>
      <c r="M3891" s="5">
        <f t="shared" si="1004"/>
        <v>2025</v>
      </c>
      <c r="N3891" s="135">
        <v>742.5</v>
      </c>
      <c r="O3891" s="141"/>
      <c r="P3891" s="12">
        <f t="shared" si="1007"/>
        <v>742.5</v>
      </c>
      <c r="Q3891" s="7">
        <v>6435467.6500000022</v>
      </c>
      <c r="R3891" s="44" t="str">
        <f>VLOOKUP(F3891,'Set up'!$A$2:$E$70,5,FALSE)</f>
        <v>Trsf</v>
      </c>
    </row>
    <row r="3892" spans="1:19" ht="16.25" customHeight="1" x14ac:dyDescent="0.35">
      <c r="A3892" s="140" t="s">
        <v>3649</v>
      </c>
      <c r="B3892" s="5">
        <f t="shared" si="1001"/>
        <v>4</v>
      </c>
      <c r="C3892" s="5">
        <f t="shared" si="1002"/>
        <v>2025</v>
      </c>
      <c r="D3892" s="105" t="s">
        <v>3650</v>
      </c>
      <c r="E3892" s="5" t="str">
        <f>VLOOKUP(F3892,'Set up'!$A$2:$C$70,2,FALSE)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up'!$A$2:$C$70,3,FALSE)</f>
        <v>Cash</v>
      </c>
      <c r="J3892" s="5">
        <f>VLOOKUP(F3892,'Set up'!$A$2:$D$70,4,FALSE)</f>
        <v>0</v>
      </c>
      <c r="K3892" s="4">
        <f t="shared" si="1008"/>
        <v>45770</v>
      </c>
      <c r="L3892" s="5">
        <f t="shared" si="1003"/>
        <v>4</v>
      </c>
      <c r="M3892" s="5">
        <f t="shared" si="1004"/>
        <v>2025</v>
      </c>
      <c r="N3892" s="135">
        <v>460</v>
      </c>
      <c r="O3892" s="141"/>
      <c r="P3892" s="12">
        <f t="shared" si="1007"/>
        <v>460</v>
      </c>
      <c r="Q3892" s="7">
        <v>6435927.6500000022</v>
      </c>
      <c r="R3892" s="44" t="str">
        <f>VLOOKUP(F3892,'Set up'!$A$2:$E$70,5,FALSE)</f>
        <v>Trsf</v>
      </c>
    </row>
    <row r="3893" spans="1:19" ht="16.25" customHeight="1" x14ac:dyDescent="0.35">
      <c r="A3893" s="140" t="s">
        <v>3649</v>
      </c>
      <c r="B3893" s="5">
        <f t="shared" si="1001"/>
        <v>4</v>
      </c>
      <c r="C3893" s="5">
        <f t="shared" si="1002"/>
        <v>2025</v>
      </c>
      <c r="D3893" s="105" t="s">
        <v>3650</v>
      </c>
      <c r="E3893" s="5" t="str">
        <f>VLOOKUP(F3893,'Set up'!$A$2:$C$70,2,FALSE)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up'!$A$2:$C$70,3,FALSE)</f>
        <v>Cash</v>
      </c>
      <c r="J3893" s="5">
        <f>VLOOKUP(F3893,'Set up'!$A$2:$D$70,4,FALSE)</f>
        <v>0</v>
      </c>
      <c r="K3893" s="4">
        <f t="shared" si="1008"/>
        <v>45770</v>
      </c>
      <c r="L3893" s="5">
        <f t="shared" si="1003"/>
        <v>4</v>
      </c>
      <c r="M3893" s="5">
        <f t="shared" si="1004"/>
        <v>2025</v>
      </c>
      <c r="N3893" s="135">
        <v>975</v>
      </c>
      <c r="O3893" s="141"/>
      <c r="P3893" s="12">
        <f t="shared" si="1007"/>
        <v>975</v>
      </c>
      <c r="Q3893" s="7">
        <v>6436902.6500000022</v>
      </c>
      <c r="R3893" s="44" t="str">
        <f>VLOOKUP(F3893,'Set up'!$A$2:$E$70,5,FALSE)</f>
        <v>Trsf</v>
      </c>
    </row>
    <row r="3894" spans="1:19" ht="16.25" customHeight="1" x14ac:dyDescent="0.35">
      <c r="A3894" s="140" t="s">
        <v>3649</v>
      </c>
      <c r="B3894" s="5">
        <f t="shared" si="1001"/>
        <v>4</v>
      </c>
      <c r="C3894" s="5">
        <f t="shared" si="1002"/>
        <v>2025</v>
      </c>
      <c r="D3894" s="105" t="s">
        <v>3651</v>
      </c>
      <c r="E3894" s="5" t="str">
        <f>VLOOKUP(F3894,'Set up'!$A$2:$C$70,2,FALSE)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up'!$A$2:$C$70,3,FALSE)</f>
        <v>Cash</v>
      </c>
      <c r="J3894" s="5">
        <f>VLOOKUP(F3894,'Set up'!$A$2:$D$70,4,FALSE)</f>
        <v>0</v>
      </c>
      <c r="K3894" s="4">
        <f t="shared" si="1008"/>
        <v>45770</v>
      </c>
      <c r="L3894" s="5">
        <f t="shared" si="1003"/>
        <v>4</v>
      </c>
      <c r="M3894" s="5">
        <f t="shared" si="1004"/>
        <v>2025</v>
      </c>
      <c r="N3894" s="135">
        <v>1755</v>
      </c>
      <c r="O3894" s="141"/>
      <c r="P3894" s="12">
        <f t="shared" si="1007"/>
        <v>1755</v>
      </c>
      <c r="Q3894" s="7">
        <v>6438657.6500000022</v>
      </c>
      <c r="R3894" s="44" t="str">
        <f>VLOOKUP(F3894,'Set up'!$A$2:$E$70,5,FALSE)</f>
        <v>Trsf</v>
      </c>
    </row>
    <row r="3895" spans="1:19" ht="16.25" customHeight="1" x14ac:dyDescent="0.35">
      <c r="A3895" s="140" t="s">
        <v>3649</v>
      </c>
      <c r="B3895" s="5">
        <f t="shared" si="1001"/>
        <v>4</v>
      </c>
      <c r="C3895" s="5">
        <f t="shared" si="1002"/>
        <v>2025</v>
      </c>
      <c r="D3895" s="105" t="s">
        <v>3651</v>
      </c>
      <c r="E3895" s="5" t="str">
        <f>VLOOKUP(F3895,'Set up'!$A$2:$C$70,2,FALSE)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up'!$A$2:$C$70,3,FALSE)</f>
        <v>Cash</v>
      </c>
      <c r="J3895" s="5">
        <f>VLOOKUP(F3895,'Set up'!$A$2:$D$70,4,FALSE)</f>
        <v>0</v>
      </c>
      <c r="K3895" s="4">
        <f t="shared" si="1008"/>
        <v>45770</v>
      </c>
      <c r="L3895" s="5">
        <f t="shared" si="1003"/>
        <v>4</v>
      </c>
      <c r="M3895" s="5">
        <f t="shared" si="1004"/>
        <v>2025</v>
      </c>
      <c r="N3895" s="135">
        <v>405</v>
      </c>
      <c r="O3895" s="141"/>
      <c r="P3895" s="12">
        <f t="shared" si="1007"/>
        <v>405</v>
      </c>
      <c r="Q3895" s="7">
        <v>6439062.6500000022</v>
      </c>
      <c r="R3895" s="44" t="str">
        <f>VLOOKUP(F3895,'Set up'!$A$2:$E$70,5,FALSE)</f>
        <v>Trsf</v>
      </c>
    </row>
    <row r="3896" spans="1:19" ht="16.25" customHeight="1" x14ac:dyDescent="0.35">
      <c r="A3896" s="140" t="s">
        <v>3649</v>
      </c>
      <c r="B3896" s="5">
        <f t="shared" si="1001"/>
        <v>4</v>
      </c>
      <c r="C3896" s="5">
        <f t="shared" si="1002"/>
        <v>2025</v>
      </c>
      <c r="D3896" s="105" t="s">
        <v>3651</v>
      </c>
      <c r="E3896" s="5" t="str">
        <f>VLOOKUP(F3896,'Set up'!$A$2:$C$70,2,FALSE)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up'!$A$2:$C$70,3,FALSE)</f>
        <v>Cash</v>
      </c>
      <c r="J3896" s="5">
        <f>VLOOKUP(F3896,'Set up'!$A$2:$D$70,4,FALSE)</f>
        <v>0</v>
      </c>
      <c r="K3896" s="4">
        <f t="shared" si="1008"/>
        <v>45770</v>
      </c>
      <c r="L3896" s="5">
        <f t="shared" si="1003"/>
        <v>4</v>
      </c>
      <c r="M3896" s="5">
        <f t="shared" si="1004"/>
        <v>2025</v>
      </c>
      <c r="N3896" s="135">
        <v>110</v>
      </c>
      <c r="O3896" s="141"/>
      <c r="P3896" s="12">
        <f t="shared" si="1007"/>
        <v>110</v>
      </c>
      <c r="Q3896" s="7">
        <v>6439172.6500000022</v>
      </c>
      <c r="R3896" s="44" t="str">
        <f>VLOOKUP(F3896,'Set up'!$A$2:$E$70,5,FALSE)</f>
        <v>Trsf</v>
      </c>
    </row>
    <row r="3897" spans="1:19" ht="16.25" customHeight="1" x14ac:dyDescent="0.35">
      <c r="A3897" s="140" t="s">
        <v>3649</v>
      </c>
      <c r="B3897" s="5">
        <f t="shared" si="1001"/>
        <v>4</v>
      </c>
      <c r="C3897" s="5">
        <f t="shared" si="1002"/>
        <v>2025</v>
      </c>
      <c r="D3897" s="105" t="s">
        <v>3651</v>
      </c>
      <c r="E3897" s="5" t="str">
        <f>VLOOKUP(F3897,'Set up'!$A$2:$C$70,2,FALSE)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up'!$A$2:$C$70,3,FALSE)</f>
        <v>Cash</v>
      </c>
      <c r="J3897" s="5">
        <f>VLOOKUP(F3897,'Set up'!$A$2:$D$70,4,FALSE)</f>
        <v>0</v>
      </c>
      <c r="K3897" s="4">
        <f t="shared" si="1008"/>
        <v>45770</v>
      </c>
      <c r="L3897" s="5">
        <f t="shared" si="1003"/>
        <v>4</v>
      </c>
      <c r="M3897" s="5">
        <f t="shared" si="1004"/>
        <v>2025</v>
      </c>
      <c r="N3897" s="135">
        <v>390</v>
      </c>
      <c r="O3897" s="141"/>
      <c r="P3897" s="12">
        <f t="shared" si="1007"/>
        <v>390</v>
      </c>
      <c r="Q3897" s="7">
        <v>6439562.6500000022</v>
      </c>
      <c r="R3897" s="44" t="str">
        <f>VLOOKUP(F3897,'Set up'!$A$2:$E$70,5,FALSE)</f>
        <v>Trsf</v>
      </c>
    </row>
    <row r="3898" spans="1:19" ht="16.25" customHeight="1" x14ac:dyDescent="0.35">
      <c r="A3898" s="140" t="s">
        <v>3649</v>
      </c>
      <c r="B3898" s="5">
        <f t="shared" si="1001"/>
        <v>4</v>
      </c>
      <c r="C3898" s="5">
        <f t="shared" si="1002"/>
        <v>2025</v>
      </c>
      <c r="D3898" s="105" t="s">
        <v>3651</v>
      </c>
      <c r="E3898" s="5" t="str">
        <f>VLOOKUP(F3898,'Set up'!$A$2:$C$70,2,FALSE)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up'!$A$2:$C$70,3,FALSE)</f>
        <v>Cash</v>
      </c>
      <c r="J3898" s="5">
        <f>VLOOKUP(F3898,'Set up'!$A$2:$D$70,4,FALSE)</f>
        <v>0</v>
      </c>
      <c r="K3898" s="4">
        <f t="shared" si="1008"/>
        <v>45770</v>
      </c>
      <c r="L3898" s="5">
        <f t="shared" si="1003"/>
        <v>4</v>
      </c>
      <c r="M3898" s="5">
        <f t="shared" si="1004"/>
        <v>2025</v>
      </c>
      <c r="N3898" s="135">
        <v>187.5</v>
      </c>
      <c r="O3898" s="141"/>
      <c r="P3898" s="12">
        <f t="shared" si="1007"/>
        <v>187.5</v>
      </c>
      <c r="Q3898" s="7">
        <v>6439750.1500000022</v>
      </c>
      <c r="R3898" s="44" t="str">
        <f>VLOOKUP(F3898,'Set up'!$A$2:$E$70,5,FALSE)</f>
        <v>Trsf</v>
      </c>
    </row>
    <row r="3899" spans="1:19" ht="16.25" customHeight="1" x14ac:dyDescent="0.35">
      <c r="A3899" s="140" t="s">
        <v>3652</v>
      </c>
      <c r="B3899" s="5">
        <f t="shared" si="1001"/>
        <v>4</v>
      </c>
      <c r="C3899" s="5">
        <f t="shared" si="1002"/>
        <v>2025</v>
      </c>
      <c r="D3899" s="105" t="s">
        <v>3653</v>
      </c>
      <c r="E3899" s="5" t="str">
        <f>VLOOKUP(F3899,'Set up'!$A$2:$C$70,2,FALSE)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up'!$A$2:$C$70,3,FALSE)</f>
        <v>Cash</v>
      </c>
      <c r="J3899" s="5">
        <f>VLOOKUP(F3899,'Set up'!$A$2:$D$70,4,FALSE)</f>
        <v>0</v>
      </c>
      <c r="K3899" s="4">
        <f t="shared" si="1008"/>
        <v>45771</v>
      </c>
      <c r="L3899" s="5">
        <f t="shared" si="1003"/>
        <v>4</v>
      </c>
      <c r="M3899" s="5">
        <f t="shared" si="1004"/>
        <v>2025</v>
      </c>
      <c r="N3899" s="135">
        <v>230</v>
      </c>
      <c r="O3899" s="6">
        <f t="shared" ref="O3899:O3900" si="1010">-N3899</f>
        <v>-230</v>
      </c>
      <c r="P3899" s="12">
        <f t="shared" si="1007"/>
        <v>0</v>
      </c>
      <c r="Q3899" s="7">
        <v>6439980.1500000022</v>
      </c>
      <c r="R3899" s="44" t="str">
        <f>VLOOKUP(F3899,'Set up'!$A$2:$E$70,5,FALSE)</f>
        <v>Cash</v>
      </c>
      <c r="S3899" s="1" t="s">
        <v>3822</v>
      </c>
    </row>
    <row r="3900" spans="1:19" ht="16.25" customHeight="1" x14ac:dyDescent="0.35">
      <c r="A3900" s="140" t="s">
        <v>3652</v>
      </c>
      <c r="B3900" s="5">
        <f t="shared" si="1001"/>
        <v>4</v>
      </c>
      <c r="C3900" s="5">
        <f t="shared" si="1002"/>
        <v>2025</v>
      </c>
      <c r="D3900" s="105" t="s">
        <v>3653</v>
      </c>
      <c r="E3900" s="5" t="str">
        <f>VLOOKUP(F3900,'Set up'!$A$2:$C$70,2,FALSE)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up'!$A$2:$C$70,3,FALSE)</f>
        <v>Cash</v>
      </c>
      <c r="J3900" s="5">
        <f>VLOOKUP(F3900,'Set up'!$A$2:$D$70,4,FALSE)</f>
        <v>0</v>
      </c>
      <c r="K3900" s="4">
        <f t="shared" si="1008"/>
        <v>45771</v>
      </c>
      <c r="L3900" s="5">
        <f t="shared" si="1003"/>
        <v>4</v>
      </c>
      <c r="M3900" s="5">
        <f t="shared" si="1004"/>
        <v>2025</v>
      </c>
      <c r="N3900" s="135">
        <v>115</v>
      </c>
      <c r="O3900" s="6">
        <f t="shared" si="1010"/>
        <v>-115</v>
      </c>
      <c r="P3900" s="12">
        <f t="shared" si="1007"/>
        <v>0</v>
      </c>
      <c r="Q3900" s="7">
        <v>6440095.1500000022</v>
      </c>
      <c r="R3900" s="44" t="str">
        <f>VLOOKUP(F3900,'Set up'!$A$2:$E$70,5,FALSE)</f>
        <v>Cash</v>
      </c>
      <c r="S3900" s="1" t="s">
        <v>3822</v>
      </c>
    </row>
    <row r="3901" spans="1:19" ht="16.25" customHeight="1" x14ac:dyDescent="0.35">
      <c r="A3901" s="140" t="s">
        <v>3654</v>
      </c>
      <c r="B3901" s="5">
        <f t="shared" si="1001"/>
        <v>4</v>
      </c>
      <c r="C3901" s="5">
        <f t="shared" si="1002"/>
        <v>2025</v>
      </c>
      <c r="D3901" s="105" t="s">
        <v>3655</v>
      </c>
      <c r="E3901" s="5" t="str">
        <f>VLOOKUP(F3901,'Set up'!$A$2:$C$70,2,FALSE)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up'!$A$2:$C$70,3,FALSE)</f>
        <v>Cash</v>
      </c>
      <c r="J3901" s="5">
        <f>VLOOKUP(F3901,'Set up'!$A$2:$D$70,4,FALSE)</f>
        <v>0</v>
      </c>
      <c r="K3901" s="4">
        <f t="shared" si="1008"/>
        <v>45772</v>
      </c>
      <c r="L3901" s="5">
        <f t="shared" si="1003"/>
        <v>4</v>
      </c>
      <c r="M3901" s="5">
        <f t="shared" si="1004"/>
        <v>2025</v>
      </c>
      <c r="N3901" s="135">
        <v>312.5</v>
      </c>
      <c r="O3901" s="141"/>
      <c r="P3901" s="12">
        <f t="shared" si="1007"/>
        <v>312.5</v>
      </c>
      <c r="Q3901" s="7">
        <v>6440407.6500000022</v>
      </c>
      <c r="R3901" s="44" t="str">
        <f>VLOOKUP(F3901,'Set up'!$A$2:$E$70,5,FALSE)</f>
        <v>Trsf</v>
      </c>
    </row>
    <row r="3902" spans="1:19" ht="16.25" customHeight="1" x14ac:dyDescent="0.35">
      <c r="A3902" s="140" t="s">
        <v>3654</v>
      </c>
      <c r="B3902" s="5">
        <f t="shared" si="1001"/>
        <v>4</v>
      </c>
      <c r="C3902" s="5">
        <f t="shared" si="1002"/>
        <v>2025</v>
      </c>
      <c r="D3902" s="105" t="s">
        <v>3656</v>
      </c>
      <c r="E3902" s="5" t="str">
        <f>VLOOKUP(F3902,'Set up'!$A$2:$C$70,2,FALSE)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up'!$A$2:$C$70,3,FALSE)</f>
        <v>Cash</v>
      </c>
      <c r="J3902" s="5">
        <f>VLOOKUP(F3902,'Set up'!$A$2:$D$70,4,FALSE)</f>
        <v>0</v>
      </c>
      <c r="K3902" s="4">
        <f t="shared" si="1008"/>
        <v>45772</v>
      </c>
      <c r="L3902" s="5">
        <f t="shared" si="1003"/>
        <v>4</v>
      </c>
      <c r="M3902" s="5">
        <f t="shared" si="1004"/>
        <v>2025</v>
      </c>
      <c r="N3902" s="135">
        <v>14580</v>
      </c>
      <c r="O3902" s="141"/>
      <c r="P3902" s="12">
        <f t="shared" si="1007"/>
        <v>14580</v>
      </c>
      <c r="Q3902" s="7">
        <v>6454987.6500000022</v>
      </c>
      <c r="R3902" s="44" t="str">
        <f>VLOOKUP(F3902,'Set up'!$A$2:$E$70,5,FALSE)</f>
        <v>Trsf</v>
      </c>
    </row>
    <row r="3903" spans="1:19" ht="16.25" customHeight="1" x14ac:dyDescent="0.35">
      <c r="A3903" s="140" t="s">
        <v>3654</v>
      </c>
      <c r="B3903" s="5">
        <f t="shared" si="1001"/>
        <v>4</v>
      </c>
      <c r="C3903" s="5">
        <f t="shared" si="1002"/>
        <v>2025</v>
      </c>
      <c r="D3903" s="105" t="s">
        <v>3656</v>
      </c>
      <c r="E3903" s="5" t="str">
        <f>VLOOKUP(F3903,'Set up'!$A$2:$C$70,2,FALSE)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up'!$A$2:$C$70,3,FALSE)</f>
        <v>Cash</v>
      </c>
      <c r="J3903" s="5">
        <f>VLOOKUP(F3903,'Set up'!$A$2:$D$70,4,FALSE)</f>
        <v>0</v>
      </c>
      <c r="K3903" s="4">
        <f t="shared" si="1008"/>
        <v>45772</v>
      </c>
      <c r="L3903" s="5">
        <f t="shared" si="1003"/>
        <v>4</v>
      </c>
      <c r="M3903" s="5">
        <f t="shared" si="1004"/>
        <v>2025</v>
      </c>
      <c r="N3903" s="135">
        <v>5894.1</v>
      </c>
      <c r="O3903" s="141"/>
      <c r="P3903" s="12">
        <f t="shared" si="1007"/>
        <v>5894.1</v>
      </c>
      <c r="Q3903" s="7">
        <v>6460881.7500000019</v>
      </c>
      <c r="R3903" s="44" t="str">
        <f>VLOOKUP(F3903,'Set up'!$A$2:$E$70,5,FALSE)</f>
        <v>Trsf</v>
      </c>
    </row>
    <row r="3904" spans="1:19" ht="16.25" customHeight="1" x14ac:dyDescent="0.35">
      <c r="A3904" s="140" t="s">
        <v>3654</v>
      </c>
      <c r="B3904" s="5">
        <f t="shared" si="1001"/>
        <v>4</v>
      </c>
      <c r="C3904" s="5">
        <f t="shared" si="1002"/>
        <v>2025</v>
      </c>
      <c r="D3904" s="105" t="s">
        <v>3656</v>
      </c>
      <c r="E3904" s="5" t="str">
        <f>VLOOKUP(F3904,'Set up'!$A$2:$C$70,2,FALSE)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up'!$A$2:$C$70,3,FALSE)</f>
        <v>Cash</v>
      </c>
      <c r="J3904" s="5">
        <f>VLOOKUP(F3904,'Set up'!$A$2:$D$70,4,FALSE)</f>
        <v>0</v>
      </c>
      <c r="K3904" s="4">
        <f t="shared" si="1008"/>
        <v>45772</v>
      </c>
      <c r="L3904" s="5">
        <f t="shared" si="1003"/>
        <v>4</v>
      </c>
      <c r="M3904" s="5">
        <f t="shared" si="1004"/>
        <v>2025</v>
      </c>
      <c r="N3904" s="135">
        <v>3465</v>
      </c>
      <c r="O3904" s="141"/>
      <c r="P3904" s="12">
        <f t="shared" si="1007"/>
        <v>3465</v>
      </c>
      <c r="Q3904" s="7">
        <v>6464346.7500000019</v>
      </c>
      <c r="R3904" s="44" t="str">
        <f>VLOOKUP(F3904,'Set up'!$A$2:$E$70,5,FALSE)</f>
        <v>Trsf</v>
      </c>
    </row>
    <row r="3905" spans="1:19" ht="16.25" customHeight="1" x14ac:dyDescent="0.35">
      <c r="A3905" s="140" t="s">
        <v>3654</v>
      </c>
      <c r="B3905" s="5">
        <f t="shared" si="1001"/>
        <v>4</v>
      </c>
      <c r="C3905" s="5">
        <f t="shared" si="1002"/>
        <v>2025</v>
      </c>
      <c r="D3905" s="105" t="s">
        <v>3656</v>
      </c>
      <c r="E3905" s="5" t="str">
        <f>VLOOKUP(F3905,'Set up'!$A$2:$C$70,2,FALSE)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up'!$A$2:$C$70,3,FALSE)</f>
        <v>Cash</v>
      </c>
      <c r="J3905" s="5">
        <f>VLOOKUP(F3905,'Set up'!$A$2:$D$70,4,FALSE)</f>
        <v>0</v>
      </c>
      <c r="K3905" s="4">
        <f t="shared" si="1008"/>
        <v>45772</v>
      </c>
      <c r="L3905" s="5">
        <f t="shared" si="1003"/>
        <v>4</v>
      </c>
      <c r="M3905" s="5">
        <f t="shared" si="1004"/>
        <v>2025</v>
      </c>
      <c r="N3905" s="135">
        <v>460</v>
      </c>
      <c r="O3905" s="141"/>
      <c r="P3905" s="12">
        <f t="shared" si="1007"/>
        <v>460</v>
      </c>
      <c r="Q3905" s="7">
        <v>6464806.7500000019</v>
      </c>
      <c r="R3905" s="44" t="str">
        <f>VLOOKUP(F3905,'Set up'!$A$2:$E$70,5,FALSE)</f>
        <v>Trsf</v>
      </c>
    </row>
    <row r="3906" spans="1:19" ht="16.25" customHeight="1" x14ac:dyDescent="0.35">
      <c r="A3906" s="140" t="s">
        <v>3654</v>
      </c>
      <c r="B3906" s="5">
        <f t="shared" si="1001"/>
        <v>4</v>
      </c>
      <c r="C3906" s="5">
        <f t="shared" si="1002"/>
        <v>2025</v>
      </c>
      <c r="D3906" s="105" t="s">
        <v>3656</v>
      </c>
      <c r="E3906" s="5" t="str">
        <f>VLOOKUP(F3906,'Set up'!$A$2:$C$70,2,FALSE)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up'!$A$2:$C$70,3,FALSE)</f>
        <v>Cash</v>
      </c>
      <c r="J3906" s="5">
        <f>VLOOKUP(F3906,'Set up'!$A$2:$D$70,4,FALSE)</f>
        <v>0</v>
      </c>
      <c r="K3906" s="4">
        <f t="shared" si="1008"/>
        <v>45772</v>
      </c>
      <c r="L3906" s="5">
        <f t="shared" si="1003"/>
        <v>4</v>
      </c>
      <c r="M3906" s="5">
        <f t="shared" si="1004"/>
        <v>2025</v>
      </c>
      <c r="N3906" s="135">
        <v>975</v>
      </c>
      <c r="O3906" s="141"/>
      <c r="P3906" s="12">
        <f t="shared" si="1007"/>
        <v>975</v>
      </c>
      <c r="Q3906" s="7">
        <v>6465781.7500000019</v>
      </c>
      <c r="R3906" s="44" t="str">
        <f>VLOOKUP(F3906,'Set up'!$A$2:$E$70,5,FALSE)</f>
        <v>Trsf</v>
      </c>
    </row>
    <row r="3907" spans="1:19" ht="16.25" customHeight="1" x14ac:dyDescent="0.35">
      <c r="A3907" s="140" t="s">
        <v>3657</v>
      </c>
      <c r="B3907" s="5">
        <f t="shared" ref="B3907:B3970" si="1011">MONTH(A3907)</f>
        <v>4</v>
      </c>
      <c r="C3907" s="5">
        <f t="shared" ref="C3907:C3970" si="1012">YEAR(A3907)</f>
        <v>2025</v>
      </c>
      <c r="D3907" s="105" t="s">
        <v>3658</v>
      </c>
      <c r="E3907" s="5" t="str">
        <f>VLOOKUP(F3907,'Set up'!$A$2:$C$70,2,FALSE)</f>
        <v>C00000044</v>
      </c>
      <c r="F3907" s="99" t="s">
        <v>2929</v>
      </c>
      <c r="G3907" s="99" t="s">
        <v>3621</v>
      </c>
      <c r="H3907" s="137">
        <v>2</v>
      </c>
      <c r="I3907" s="5" t="str">
        <f>VLOOKUP(F3907,'Set up'!$A$2:$C$70,3,FALSE)</f>
        <v>Cash</v>
      </c>
      <c r="J3907" s="5">
        <f>VLOOKUP(F3907,'Set up'!$A$2:$D$70,4,FALSE)</f>
        <v>0</v>
      </c>
      <c r="K3907" s="4">
        <f t="shared" si="1008"/>
        <v>45776</v>
      </c>
      <c r="L3907" s="5">
        <f t="shared" ref="L3907:L3909" si="1013">MONTH(K3907)</f>
        <v>4</v>
      </c>
      <c r="M3907" s="5">
        <f t="shared" ref="M3907:M3909" si="1014">YEAR(K3907)</f>
        <v>2025</v>
      </c>
      <c r="N3907" s="135">
        <v>500</v>
      </c>
      <c r="O3907" s="6">
        <f>-N3907</f>
        <v>-500</v>
      </c>
      <c r="P3907" s="12">
        <f t="shared" si="1007"/>
        <v>0</v>
      </c>
      <c r="Q3907" s="7">
        <v>6466281.7500000019</v>
      </c>
      <c r="R3907" s="44" t="str">
        <f>VLOOKUP(F3907,'Set up'!$A$2:$E$70,5,FALSE)</f>
        <v>Cash</v>
      </c>
      <c r="S3907" s="1" t="s">
        <v>3819</v>
      </c>
    </row>
    <row r="3908" spans="1:19" ht="16.25" customHeight="1" x14ac:dyDescent="0.35">
      <c r="A3908" s="140" t="s">
        <v>3657</v>
      </c>
      <c r="B3908" s="5">
        <f t="shared" si="1011"/>
        <v>4</v>
      </c>
      <c r="C3908" s="5">
        <f t="shared" si="1012"/>
        <v>2025</v>
      </c>
      <c r="D3908" s="105" t="s">
        <v>3658</v>
      </c>
      <c r="E3908" s="5" t="str">
        <f>VLOOKUP(F3908,'Set up'!$A$2:$C$70,2,FALSE)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up'!$A$2:$C$70,3,FALSE)</f>
        <v>Cash</v>
      </c>
      <c r="J3908" s="5">
        <f>VLOOKUP(F3908,'Set up'!$A$2:$D$70,4,FALSE)</f>
        <v>0</v>
      </c>
      <c r="K3908" s="4">
        <f t="shared" si="1008"/>
        <v>45776</v>
      </c>
      <c r="L3908" s="5">
        <f t="shared" si="1013"/>
        <v>4</v>
      </c>
      <c r="M3908" s="5">
        <f t="shared" si="1014"/>
        <v>2025</v>
      </c>
      <c r="N3908" s="135">
        <v>216</v>
      </c>
      <c r="O3908" s="6">
        <f>-N3908</f>
        <v>-216</v>
      </c>
      <c r="P3908" s="12">
        <f t="shared" si="1007"/>
        <v>0</v>
      </c>
      <c r="Q3908" s="7">
        <v>6466497.7500000019</v>
      </c>
      <c r="R3908" s="44" t="str">
        <f>VLOOKUP(F3908,'Set up'!$A$2:$E$70,5,FALSE)</f>
        <v>Cash</v>
      </c>
      <c r="S3908" s="1" t="s">
        <v>3819</v>
      </c>
    </row>
    <row r="3909" spans="1:19" ht="16.25" customHeight="1" x14ac:dyDescent="0.35">
      <c r="A3909" s="140" t="s">
        <v>3657</v>
      </c>
      <c r="B3909" s="5">
        <f t="shared" si="1011"/>
        <v>4</v>
      </c>
      <c r="C3909" s="5">
        <f t="shared" si="1012"/>
        <v>2025</v>
      </c>
      <c r="D3909" s="105" t="s">
        <v>3659</v>
      </c>
      <c r="E3909" s="5" t="str">
        <f>VLOOKUP(F3909,'Set up'!$A$2:$C$70,2,FALSE)</f>
        <v>C00000039</v>
      </c>
      <c r="F3909" s="99" t="s">
        <v>1620</v>
      </c>
      <c r="G3909" s="99" t="s">
        <v>3621</v>
      </c>
      <c r="H3909" s="137">
        <v>1</v>
      </c>
      <c r="I3909" s="5" t="str">
        <f>VLOOKUP(F3909,'Set up'!$A$2:$C$70,3,FALSE)</f>
        <v>Cash</v>
      </c>
      <c r="J3909" s="5">
        <f>VLOOKUP(F3909,'Set up'!$A$2:$D$70,4,FALSE)</f>
        <v>0</v>
      </c>
      <c r="K3909" s="4">
        <f t="shared" si="1008"/>
        <v>45776</v>
      </c>
      <c r="L3909" s="5">
        <f t="shared" si="1013"/>
        <v>4</v>
      </c>
      <c r="M3909" s="5">
        <f t="shared" si="1014"/>
        <v>2025</v>
      </c>
      <c r="N3909" s="135">
        <v>250</v>
      </c>
      <c r="O3909" s="6">
        <f t="shared" ref="O3909:O3913" si="1015">-N3909</f>
        <v>-250</v>
      </c>
      <c r="P3909" s="12">
        <f t="shared" si="1007"/>
        <v>0</v>
      </c>
      <c r="Q3909" s="7">
        <v>6466747.7500000019</v>
      </c>
      <c r="R3909" s="44" t="str">
        <f>VLOOKUP(F3909,'Set up'!$A$2:$E$70,5,FALSE)</f>
        <v>Trsf</v>
      </c>
      <c r="S3909" s="1" t="s">
        <v>3691</v>
      </c>
    </row>
    <row r="3910" spans="1:19" ht="16.25" customHeight="1" x14ac:dyDescent="0.35">
      <c r="A3910" s="105" t="s">
        <v>3700</v>
      </c>
      <c r="B3910" s="5">
        <f t="shared" si="1011"/>
        <v>5</v>
      </c>
      <c r="C3910" s="5">
        <f t="shared" si="1012"/>
        <v>2025</v>
      </c>
      <c r="D3910" s="105" t="s">
        <v>3701</v>
      </c>
      <c r="E3910" s="5" t="str">
        <f>VLOOKUP(F3910,'Set up'!$A$2:$C$70,2,FALSE)</f>
        <v>C00000050</v>
      </c>
      <c r="F3910" s="99" t="s">
        <v>2656</v>
      </c>
      <c r="G3910" s="99" t="s">
        <v>3615</v>
      </c>
      <c r="H3910" s="105">
        <v>1</v>
      </c>
      <c r="I3910" s="5" t="str">
        <f>VLOOKUP(F3910,'Set up'!$A$2:$C$70,3,FALSE)</f>
        <v>Cash</v>
      </c>
      <c r="J3910" s="5">
        <f>VLOOKUP(F3910,'Set up'!$A$2:$D$70,4,FALSE)</f>
        <v>0</v>
      </c>
      <c r="K3910" s="4">
        <f t="shared" si="1008"/>
        <v>45779</v>
      </c>
      <c r="L3910" s="5">
        <f>MONTH(K3910)</f>
        <v>5</v>
      </c>
      <c r="M3910" s="5">
        <f>YEAR(K3910)</f>
        <v>2025</v>
      </c>
      <c r="N3910" s="135">
        <v>1710</v>
      </c>
      <c r="O3910" s="6">
        <f t="shared" si="1015"/>
        <v>-1710</v>
      </c>
      <c r="P3910" s="12">
        <f t="shared" si="1007"/>
        <v>0</v>
      </c>
      <c r="Q3910" s="7">
        <f t="shared" ref="Q3910:Q3973" si="1016">SUM(Q3909+N3910)</f>
        <v>6468457.7500000019</v>
      </c>
      <c r="R3910" s="44" t="str">
        <f>VLOOKUP(F3910,'Set up'!$A$2:$E$70,5,FALSE)</f>
        <v>Cash</v>
      </c>
      <c r="S3910" s="1" t="s">
        <v>3829</v>
      </c>
    </row>
    <row r="3911" spans="1:19" ht="16.25" customHeight="1" x14ac:dyDescent="0.35">
      <c r="A3911" s="105" t="s">
        <v>3700</v>
      </c>
      <c r="B3911" s="5">
        <f t="shared" si="1011"/>
        <v>5</v>
      </c>
      <c r="C3911" s="5">
        <f t="shared" si="1012"/>
        <v>2025</v>
      </c>
      <c r="D3911" s="105" t="s">
        <v>3701</v>
      </c>
      <c r="E3911" s="5" t="str">
        <f>VLOOKUP(F3911,'Set up'!$A$2:$C$70,2,FALSE)</f>
        <v>C00000050</v>
      </c>
      <c r="F3911" s="99" t="s">
        <v>2656</v>
      </c>
      <c r="G3911" s="99" t="s">
        <v>2434</v>
      </c>
      <c r="H3911" s="105">
        <v>1</v>
      </c>
      <c r="I3911" s="5" t="str">
        <f>VLOOKUP(F3911,'Set up'!$A$2:$C$70,3,FALSE)</f>
        <v>Cash</v>
      </c>
      <c r="J3911" s="5">
        <f>VLOOKUP(F3911,'Set up'!$A$2:$D$70,4,FALSE)</f>
        <v>0</v>
      </c>
      <c r="K3911" s="4">
        <f t="shared" si="1008"/>
        <v>45779</v>
      </c>
      <c r="L3911" s="5">
        <f t="shared" ref="L3911:L3974" si="1017">MONTH(K3911)</f>
        <v>5</v>
      </c>
      <c r="M3911" s="5">
        <f t="shared" ref="M3911:M3974" si="1018">YEAR(K3911)</f>
        <v>2025</v>
      </c>
      <c r="N3911" s="135">
        <v>277.5</v>
      </c>
      <c r="O3911" s="6">
        <f t="shared" si="1015"/>
        <v>-277.5</v>
      </c>
      <c r="P3911" s="12">
        <f t="shared" si="1007"/>
        <v>0</v>
      </c>
      <c r="Q3911" s="7">
        <f t="shared" si="1016"/>
        <v>6468735.2500000019</v>
      </c>
      <c r="R3911" s="44" t="str">
        <f>VLOOKUP(F3911,'Set up'!$A$2:$E$70,5,FALSE)</f>
        <v>Cash</v>
      </c>
      <c r="S3911" s="1" t="s">
        <v>3829</v>
      </c>
    </row>
    <row r="3912" spans="1:19" ht="16.25" customHeight="1" x14ac:dyDescent="0.35">
      <c r="A3912" s="105" t="s">
        <v>3700</v>
      </c>
      <c r="B3912" s="5">
        <f t="shared" si="1011"/>
        <v>5</v>
      </c>
      <c r="C3912" s="5">
        <f t="shared" si="1012"/>
        <v>2025</v>
      </c>
      <c r="D3912" s="105" t="s">
        <v>3701</v>
      </c>
      <c r="E3912" s="5" t="str">
        <f>VLOOKUP(F3912,'Set up'!$A$2:$C$70,2,FALSE)</f>
        <v>C00000050</v>
      </c>
      <c r="F3912" s="99" t="s">
        <v>2656</v>
      </c>
      <c r="G3912" s="99" t="s">
        <v>1061</v>
      </c>
      <c r="H3912" s="105">
        <v>1</v>
      </c>
      <c r="I3912" s="5" t="str">
        <f>VLOOKUP(F3912,'Set up'!$A$2:$C$70,3,FALSE)</f>
        <v>Cash</v>
      </c>
      <c r="J3912" s="5">
        <f>VLOOKUP(F3912,'Set up'!$A$2:$D$70,4,FALSE)</f>
        <v>0</v>
      </c>
      <c r="K3912" s="4">
        <f t="shared" si="1008"/>
        <v>45779</v>
      </c>
      <c r="L3912" s="5">
        <f t="shared" si="1017"/>
        <v>5</v>
      </c>
      <c r="M3912" s="5">
        <f t="shared" si="1018"/>
        <v>2025</v>
      </c>
      <c r="N3912" s="135">
        <v>95</v>
      </c>
      <c r="O3912" s="6">
        <f t="shared" si="1015"/>
        <v>-95</v>
      </c>
      <c r="P3912" s="12">
        <f t="shared" si="1007"/>
        <v>0</v>
      </c>
      <c r="Q3912" s="7">
        <f t="shared" si="1016"/>
        <v>6468830.2500000019</v>
      </c>
      <c r="R3912" s="44" t="str">
        <f>VLOOKUP(F3912,'Set up'!$A$2:$E$70,5,FALSE)</f>
        <v>Cash</v>
      </c>
      <c r="S3912" s="1" t="s">
        <v>3829</v>
      </c>
    </row>
    <row r="3913" spans="1:19" ht="16.25" customHeight="1" x14ac:dyDescent="0.35">
      <c r="A3913" s="105" t="s">
        <v>3700</v>
      </c>
      <c r="B3913" s="5">
        <f t="shared" si="1011"/>
        <v>5</v>
      </c>
      <c r="C3913" s="5">
        <f t="shared" si="1012"/>
        <v>2025</v>
      </c>
      <c r="D3913" s="105" t="s">
        <v>3701</v>
      </c>
      <c r="E3913" s="5" t="str">
        <f>VLOOKUP(F3913,'Set up'!$A$2:$C$70,2,FALSE)</f>
        <v>C00000050</v>
      </c>
      <c r="F3913" s="99" t="s">
        <v>2656</v>
      </c>
      <c r="G3913" s="99" t="s">
        <v>2646</v>
      </c>
      <c r="H3913" s="105">
        <v>10</v>
      </c>
      <c r="I3913" s="5" t="str">
        <f>VLOOKUP(F3913,'Set up'!$A$2:$C$70,3,FALSE)</f>
        <v>Cash</v>
      </c>
      <c r="J3913" s="5">
        <f>VLOOKUP(F3913,'Set up'!$A$2:$D$70,4,FALSE)</f>
        <v>0</v>
      </c>
      <c r="K3913" s="4">
        <f t="shared" si="1008"/>
        <v>45779</v>
      </c>
      <c r="L3913" s="5">
        <f t="shared" si="1017"/>
        <v>5</v>
      </c>
      <c r="M3913" s="5">
        <f t="shared" si="1018"/>
        <v>2025</v>
      </c>
      <c r="N3913" s="135">
        <v>625</v>
      </c>
      <c r="O3913" s="6">
        <f t="shared" si="1015"/>
        <v>-625</v>
      </c>
      <c r="P3913" s="12">
        <f t="shared" si="1007"/>
        <v>0</v>
      </c>
      <c r="Q3913" s="7">
        <f t="shared" si="1016"/>
        <v>6469455.2500000019</v>
      </c>
      <c r="R3913" s="44" t="str">
        <f>VLOOKUP(F3913,'Set up'!$A$2:$E$70,5,FALSE)</f>
        <v>Cash</v>
      </c>
      <c r="S3913" s="1" t="s">
        <v>3829</v>
      </c>
    </row>
    <row r="3914" spans="1:19" ht="16.25" customHeight="1" x14ac:dyDescent="0.35">
      <c r="A3914" s="105" t="s">
        <v>3702</v>
      </c>
      <c r="B3914" s="5">
        <f t="shared" si="1011"/>
        <v>5</v>
      </c>
      <c r="C3914" s="5">
        <f t="shared" si="1012"/>
        <v>2025</v>
      </c>
      <c r="D3914" s="105" t="s">
        <v>3703</v>
      </c>
      <c r="E3914" s="5" t="str">
        <f>VLOOKUP(F3914,'Set up'!$A$2:$C$70,2,FALSE)</f>
        <v>C00000061</v>
      </c>
      <c r="F3914" s="99" t="s">
        <v>3532</v>
      </c>
      <c r="G3914" s="99" t="s">
        <v>3122</v>
      </c>
      <c r="H3914" s="105">
        <v>1</v>
      </c>
      <c r="I3914" s="5" t="str">
        <f>VLOOKUP(F3914,'Set up'!$A$2:$C$70,3,FALSE)</f>
        <v>Cash</v>
      </c>
      <c r="J3914" s="5">
        <f>VLOOKUP(F3914,'Set up'!$A$2:$D$70,4,FALSE)</f>
        <v>0</v>
      </c>
      <c r="K3914" s="4">
        <f t="shared" si="1008"/>
        <v>45780</v>
      </c>
      <c r="L3914" s="5">
        <f t="shared" si="1017"/>
        <v>5</v>
      </c>
      <c r="M3914" s="5">
        <f t="shared" si="1018"/>
        <v>2025</v>
      </c>
      <c r="N3914" s="135">
        <v>1642.5</v>
      </c>
      <c r="O3914" s="6">
        <f t="shared" ref="O3914:O3916" si="1019">-N3914</f>
        <v>-1642.5</v>
      </c>
      <c r="P3914" s="12">
        <f t="shared" si="1007"/>
        <v>0</v>
      </c>
      <c r="Q3914" s="7">
        <f t="shared" si="1016"/>
        <v>6471097.7500000019</v>
      </c>
      <c r="R3914" s="44" t="str">
        <f>VLOOKUP(F3914,'Set up'!$A$2:$E$70,5,FALSE)</f>
        <v>Cash</v>
      </c>
      <c r="S3914" s="1" t="s">
        <v>3823</v>
      </c>
    </row>
    <row r="3915" spans="1:19" ht="16.25" customHeight="1" x14ac:dyDescent="0.35">
      <c r="A3915" s="105" t="s">
        <v>3702</v>
      </c>
      <c r="B3915" s="5">
        <f t="shared" si="1011"/>
        <v>5</v>
      </c>
      <c r="C3915" s="5">
        <f t="shared" si="1012"/>
        <v>2025</v>
      </c>
      <c r="D3915" s="105" t="s">
        <v>3703</v>
      </c>
      <c r="E3915" s="5" t="str">
        <f>VLOOKUP(F3915,'Set up'!$A$2:$C$70,2,FALSE)</f>
        <v>C00000061</v>
      </c>
      <c r="F3915" s="99" t="s">
        <v>3532</v>
      </c>
      <c r="G3915" s="99" t="s">
        <v>3639</v>
      </c>
      <c r="H3915" s="105">
        <v>1</v>
      </c>
      <c r="I3915" s="5" t="str">
        <f>VLOOKUP(F3915,'Set up'!$A$2:$C$70,3,FALSE)</f>
        <v>Cash</v>
      </c>
      <c r="J3915" s="5">
        <f>VLOOKUP(F3915,'Set up'!$A$2:$D$70,4,FALSE)</f>
        <v>0</v>
      </c>
      <c r="K3915" s="4">
        <f t="shared" si="1008"/>
        <v>45780</v>
      </c>
      <c r="L3915" s="5">
        <f t="shared" si="1017"/>
        <v>5</v>
      </c>
      <c r="M3915" s="5">
        <f t="shared" si="1018"/>
        <v>2025</v>
      </c>
      <c r="N3915" s="135">
        <v>408.7</v>
      </c>
      <c r="O3915" s="6">
        <f t="shared" si="1019"/>
        <v>-408.7</v>
      </c>
      <c r="P3915" s="12">
        <f t="shared" si="1007"/>
        <v>0</v>
      </c>
      <c r="Q3915" s="7">
        <f t="shared" si="1016"/>
        <v>6471506.450000002</v>
      </c>
      <c r="R3915" s="44" t="str">
        <f>VLOOKUP(F3915,'Set up'!$A$2:$E$70,5,FALSE)</f>
        <v>Cash</v>
      </c>
      <c r="S3915" s="1" t="s">
        <v>3823</v>
      </c>
    </row>
    <row r="3916" spans="1:19" ht="16.25" customHeight="1" x14ac:dyDescent="0.35">
      <c r="A3916" s="105" t="s">
        <v>3702</v>
      </c>
      <c r="B3916" s="5">
        <f t="shared" si="1011"/>
        <v>5</v>
      </c>
      <c r="C3916" s="5">
        <f t="shared" si="1012"/>
        <v>2025</v>
      </c>
      <c r="D3916" s="105" t="s">
        <v>3703</v>
      </c>
      <c r="E3916" s="5" t="str">
        <f>VLOOKUP(F3916,'Set up'!$A$2:$C$70,2,FALSE)</f>
        <v>C00000061</v>
      </c>
      <c r="F3916" s="99" t="s">
        <v>3532</v>
      </c>
      <c r="G3916" s="99" t="s">
        <v>2635</v>
      </c>
      <c r="H3916" s="105">
        <v>2</v>
      </c>
      <c r="I3916" s="5" t="str">
        <f>VLOOKUP(F3916,'Set up'!$A$2:$C$70,3,FALSE)</f>
        <v>Cash</v>
      </c>
      <c r="J3916" s="5">
        <f>VLOOKUP(F3916,'Set up'!$A$2:$D$70,4,FALSE)</f>
        <v>0</v>
      </c>
      <c r="K3916" s="4">
        <f t="shared" si="1008"/>
        <v>45780</v>
      </c>
      <c r="L3916" s="5">
        <f t="shared" si="1017"/>
        <v>5</v>
      </c>
      <c r="M3916" s="5">
        <f t="shared" si="1018"/>
        <v>2025</v>
      </c>
      <c r="N3916" s="135">
        <v>115</v>
      </c>
      <c r="O3916" s="6">
        <f t="shared" si="1019"/>
        <v>-115</v>
      </c>
      <c r="P3916" s="12">
        <f t="shared" si="1007"/>
        <v>0</v>
      </c>
      <c r="Q3916" s="7">
        <f t="shared" si="1016"/>
        <v>6471621.450000002</v>
      </c>
      <c r="R3916" s="44" t="str">
        <f>VLOOKUP(F3916,'Set up'!$A$2:$E$70,5,FALSE)</f>
        <v>Cash</v>
      </c>
      <c r="S3916" s="1" t="s">
        <v>3823</v>
      </c>
    </row>
    <row r="3917" spans="1:19" ht="16.25" customHeight="1" x14ac:dyDescent="0.35">
      <c r="A3917" s="105" t="s">
        <v>3700</v>
      </c>
      <c r="B3917" s="5">
        <f t="shared" si="1011"/>
        <v>5</v>
      </c>
      <c r="C3917" s="5">
        <f t="shared" si="1012"/>
        <v>2025</v>
      </c>
      <c r="D3917" s="105" t="s">
        <v>3704</v>
      </c>
      <c r="E3917" s="5" t="str">
        <f>VLOOKUP(F3917,'Set up'!$A$2:$C$70,2,FALSE)</f>
        <v>C00000042</v>
      </c>
      <c r="F3917" s="99" t="s">
        <v>2012</v>
      </c>
      <c r="G3917" s="99" t="s">
        <v>2646</v>
      </c>
      <c r="H3917" s="105">
        <v>3</v>
      </c>
      <c r="I3917" s="5" t="str">
        <f>VLOOKUP(F3917,'Set up'!$A$2:$C$70,3,FALSE)</f>
        <v>Cash</v>
      </c>
      <c r="J3917" s="5">
        <f>VLOOKUP(F3917,'Set up'!$A$2:$D$70,4,FALSE)</f>
        <v>0</v>
      </c>
      <c r="K3917" s="4">
        <f t="shared" si="1008"/>
        <v>45779</v>
      </c>
      <c r="L3917" s="5">
        <f t="shared" si="1017"/>
        <v>5</v>
      </c>
      <c r="M3917" s="5">
        <f t="shared" si="1018"/>
        <v>2025</v>
      </c>
      <c r="N3917" s="135">
        <v>187.5</v>
      </c>
      <c r="P3917" s="12">
        <f t="shared" si="1007"/>
        <v>187.5</v>
      </c>
      <c r="Q3917" s="7">
        <f t="shared" si="1016"/>
        <v>6471808.950000002</v>
      </c>
      <c r="R3917" s="44" t="str">
        <f>VLOOKUP(F3917,'Set up'!$A$2:$E$70,5,FALSE)</f>
        <v>Trsf</v>
      </c>
    </row>
    <row r="3918" spans="1:19" ht="16.25" customHeight="1" x14ac:dyDescent="0.35">
      <c r="A3918" s="105" t="s">
        <v>3700</v>
      </c>
      <c r="B3918" s="5">
        <f t="shared" si="1011"/>
        <v>5</v>
      </c>
      <c r="C3918" s="5">
        <f t="shared" si="1012"/>
        <v>2025</v>
      </c>
      <c r="D3918" s="105" t="s">
        <v>3705</v>
      </c>
      <c r="E3918" s="5" t="str">
        <f>VLOOKUP(F3918,'Set up'!$A$2:$C$70,2,FALSE)</f>
        <v>C00000042</v>
      </c>
      <c r="F3918" s="99" t="s">
        <v>2012</v>
      </c>
      <c r="G3918" s="99" t="s">
        <v>3217</v>
      </c>
      <c r="H3918" s="105">
        <v>6</v>
      </c>
      <c r="I3918" s="5" t="str">
        <f>VLOOKUP(F3918,'Set up'!$A$2:$C$70,3,FALSE)</f>
        <v>Cash</v>
      </c>
      <c r="J3918" s="5">
        <f>VLOOKUP(F3918,'Set up'!$A$2:$D$70,4,FALSE)</f>
        <v>0</v>
      </c>
      <c r="K3918" s="4">
        <f t="shared" si="1008"/>
        <v>45779</v>
      </c>
      <c r="L3918" s="5">
        <f t="shared" si="1017"/>
        <v>5</v>
      </c>
      <c r="M3918" s="5">
        <f t="shared" si="1018"/>
        <v>2025</v>
      </c>
      <c r="N3918" s="135">
        <v>9720</v>
      </c>
      <c r="P3918" s="12">
        <f t="shared" si="1007"/>
        <v>9720</v>
      </c>
      <c r="Q3918" s="7">
        <f t="shared" si="1016"/>
        <v>6481528.950000002</v>
      </c>
      <c r="R3918" s="44" t="str">
        <f>VLOOKUP(F3918,'Set up'!$A$2:$E$70,5,FALSE)</f>
        <v>Trsf</v>
      </c>
    </row>
    <row r="3919" spans="1:19" ht="16.25" customHeight="1" x14ac:dyDescent="0.35">
      <c r="A3919" s="105" t="s">
        <v>3700</v>
      </c>
      <c r="B3919" s="5">
        <f t="shared" si="1011"/>
        <v>5</v>
      </c>
      <c r="C3919" s="5">
        <f t="shared" si="1012"/>
        <v>2025</v>
      </c>
      <c r="D3919" s="105" t="s">
        <v>3705</v>
      </c>
      <c r="E3919" s="5" t="str">
        <f>VLOOKUP(F3919,'Set up'!$A$2:$C$70,2,FALSE)</f>
        <v>C00000042</v>
      </c>
      <c r="F3919" s="99" t="s">
        <v>2012</v>
      </c>
      <c r="G3919" s="99" t="s">
        <v>2129</v>
      </c>
      <c r="H3919" s="105">
        <v>10</v>
      </c>
      <c r="I3919" s="5" t="str">
        <f>VLOOKUP(F3919,'Set up'!$A$2:$C$70,3,FALSE)</f>
        <v>Cash</v>
      </c>
      <c r="J3919" s="5">
        <f>VLOOKUP(F3919,'Set up'!$A$2:$D$70,4,FALSE)</f>
        <v>0</v>
      </c>
      <c r="K3919" s="4">
        <f t="shared" si="1008"/>
        <v>45779</v>
      </c>
      <c r="L3919" s="5">
        <f t="shared" si="1017"/>
        <v>5</v>
      </c>
      <c r="M3919" s="5">
        <f t="shared" si="1018"/>
        <v>2025</v>
      </c>
      <c r="N3919" s="135">
        <v>2183</v>
      </c>
      <c r="P3919" s="12">
        <f t="shared" si="1007"/>
        <v>2183</v>
      </c>
      <c r="Q3919" s="7">
        <f t="shared" si="1016"/>
        <v>6483711.950000002</v>
      </c>
      <c r="R3919" s="44" t="str">
        <f>VLOOKUP(F3919,'Set up'!$A$2:$E$70,5,FALSE)</f>
        <v>Trsf</v>
      </c>
    </row>
    <row r="3920" spans="1:19" ht="16.25" customHeight="1" x14ac:dyDescent="0.35">
      <c r="A3920" s="105" t="s">
        <v>3700</v>
      </c>
      <c r="B3920" s="5">
        <f t="shared" si="1011"/>
        <v>5</v>
      </c>
      <c r="C3920" s="5">
        <f t="shared" si="1012"/>
        <v>2025</v>
      </c>
      <c r="D3920" s="105" t="s">
        <v>3705</v>
      </c>
      <c r="E3920" s="5" t="str">
        <f>VLOOKUP(F3920,'Set up'!$A$2:$C$70,2,FALSE)</f>
        <v>C00000042</v>
      </c>
      <c r="F3920" s="99" t="s">
        <v>2012</v>
      </c>
      <c r="G3920" s="99" t="s">
        <v>1922</v>
      </c>
      <c r="H3920" s="105">
        <v>7</v>
      </c>
      <c r="I3920" s="5" t="str">
        <f>VLOOKUP(F3920,'Set up'!$A$2:$C$70,3,FALSE)</f>
        <v>Cash</v>
      </c>
      <c r="J3920" s="5">
        <f>VLOOKUP(F3920,'Set up'!$A$2:$D$70,4,FALSE)</f>
        <v>0</v>
      </c>
      <c r="K3920" s="4">
        <f t="shared" si="1008"/>
        <v>45779</v>
      </c>
      <c r="L3920" s="5">
        <f t="shared" si="1017"/>
        <v>5</v>
      </c>
      <c r="M3920" s="5">
        <f t="shared" si="1018"/>
        <v>2025</v>
      </c>
      <c r="N3920" s="135">
        <v>1732.5</v>
      </c>
      <c r="P3920" s="12">
        <f t="shared" si="1007"/>
        <v>1732.5</v>
      </c>
      <c r="Q3920" s="7">
        <f t="shared" si="1016"/>
        <v>6485444.450000002</v>
      </c>
      <c r="R3920" s="44" t="str">
        <f>VLOOKUP(F3920,'Set up'!$A$2:$E$70,5,FALSE)</f>
        <v>Trsf</v>
      </c>
    </row>
    <row r="3921" spans="1:19" ht="16.25" customHeight="1" x14ac:dyDescent="0.35">
      <c r="A3921" s="105" t="s">
        <v>3700</v>
      </c>
      <c r="B3921" s="5">
        <f t="shared" si="1011"/>
        <v>5</v>
      </c>
      <c r="C3921" s="5">
        <f t="shared" si="1012"/>
        <v>2025</v>
      </c>
      <c r="D3921" s="105" t="s">
        <v>3705</v>
      </c>
      <c r="E3921" s="5" t="str">
        <f>VLOOKUP(F3921,'Set up'!$A$2:$C$70,2,FALSE)</f>
        <v>C00000042</v>
      </c>
      <c r="F3921" s="99" t="s">
        <v>2012</v>
      </c>
      <c r="G3921" s="99" t="s">
        <v>46</v>
      </c>
      <c r="H3921" s="105">
        <v>4</v>
      </c>
      <c r="I3921" s="5" t="str">
        <f>VLOOKUP(F3921,'Set up'!$A$2:$C$70,3,FALSE)</f>
        <v>Cash</v>
      </c>
      <c r="J3921" s="5">
        <f>VLOOKUP(F3921,'Set up'!$A$2:$D$70,4,FALSE)</f>
        <v>0</v>
      </c>
      <c r="K3921" s="4">
        <f t="shared" si="1008"/>
        <v>45779</v>
      </c>
      <c r="L3921" s="5">
        <f t="shared" si="1017"/>
        <v>5</v>
      </c>
      <c r="M3921" s="5">
        <f t="shared" si="1018"/>
        <v>2025</v>
      </c>
      <c r="N3921" s="135">
        <v>460</v>
      </c>
      <c r="P3921" s="12">
        <f t="shared" si="1007"/>
        <v>460</v>
      </c>
      <c r="Q3921" s="7">
        <f t="shared" si="1016"/>
        <v>6485904.450000002</v>
      </c>
      <c r="R3921" s="44" t="str">
        <f>VLOOKUP(F3921,'Set up'!$A$2:$E$70,5,FALSE)</f>
        <v>Trsf</v>
      </c>
    </row>
    <row r="3922" spans="1:19" ht="16.25" customHeight="1" x14ac:dyDescent="0.35">
      <c r="A3922" s="105" t="s">
        <v>3702</v>
      </c>
      <c r="B3922" s="5">
        <f t="shared" si="1011"/>
        <v>5</v>
      </c>
      <c r="C3922" s="5">
        <f t="shared" si="1012"/>
        <v>2025</v>
      </c>
      <c r="D3922" s="105" t="s">
        <v>3706</v>
      </c>
      <c r="E3922" s="5" t="str">
        <f>VLOOKUP(F3922,'Set up'!$A$2:$C$70,2,FALSE)</f>
        <v>C00000019</v>
      </c>
      <c r="F3922" s="99" t="s">
        <v>400</v>
      </c>
      <c r="G3922" s="99" t="s">
        <v>3122</v>
      </c>
      <c r="H3922" s="105">
        <v>1</v>
      </c>
      <c r="I3922" s="5" t="str">
        <f>VLOOKUP(F3922,'Set up'!$A$2:$C$70,3,FALSE)</f>
        <v>Cash</v>
      </c>
      <c r="J3922" s="5">
        <f>VLOOKUP(F3922,'Set up'!$A$2:$D$70,4,FALSE)</f>
        <v>0</v>
      </c>
      <c r="K3922" s="4">
        <f t="shared" si="1008"/>
        <v>45780</v>
      </c>
      <c r="L3922" s="5">
        <f t="shared" si="1017"/>
        <v>5</v>
      </c>
      <c r="M3922" s="5">
        <f t="shared" si="1018"/>
        <v>2025</v>
      </c>
      <c r="N3922" s="135">
        <v>1755</v>
      </c>
      <c r="P3922" s="12">
        <f t="shared" si="1007"/>
        <v>1755</v>
      </c>
      <c r="Q3922" s="7">
        <f t="shared" si="1016"/>
        <v>6487659.450000002</v>
      </c>
      <c r="R3922" s="44" t="str">
        <f>VLOOKUP(F3922,'Set up'!$A$2:$E$70,5,FALSE)</f>
        <v>Trsf</v>
      </c>
    </row>
    <row r="3923" spans="1:19" ht="16.25" customHeight="1" x14ac:dyDescent="0.35">
      <c r="A3923" s="105" t="s">
        <v>3702</v>
      </c>
      <c r="B3923" s="5">
        <f t="shared" si="1011"/>
        <v>5</v>
      </c>
      <c r="C3923" s="5">
        <f t="shared" si="1012"/>
        <v>2025</v>
      </c>
      <c r="D3923" s="105" t="s">
        <v>3706</v>
      </c>
      <c r="E3923" s="5" t="str">
        <f>VLOOKUP(F3923,'Set up'!$A$2:$C$70,2,FALSE)</f>
        <v>C00000019</v>
      </c>
      <c r="F3923" s="99" t="s">
        <v>400</v>
      </c>
      <c r="G3923" s="99" t="s">
        <v>1411</v>
      </c>
      <c r="H3923" s="105">
        <v>1</v>
      </c>
      <c r="I3923" s="5" t="str">
        <f>VLOOKUP(F3923,'Set up'!$A$2:$C$70,3,FALSE)</f>
        <v>Cash</v>
      </c>
      <c r="J3923" s="5">
        <f>VLOOKUP(F3923,'Set up'!$A$2:$D$70,4,FALSE)</f>
        <v>0</v>
      </c>
      <c r="K3923" s="4">
        <f t="shared" si="1008"/>
        <v>45780</v>
      </c>
      <c r="L3923" s="5">
        <f t="shared" si="1017"/>
        <v>5</v>
      </c>
      <c r="M3923" s="5">
        <f t="shared" si="1018"/>
        <v>2025</v>
      </c>
      <c r="N3923" s="135">
        <v>405</v>
      </c>
      <c r="P3923" s="12">
        <f t="shared" si="1007"/>
        <v>405</v>
      </c>
      <c r="Q3923" s="7">
        <f t="shared" si="1016"/>
        <v>6488064.450000002</v>
      </c>
      <c r="R3923" s="44" t="str">
        <f>VLOOKUP(F3923,'Set up'!$A$2:$E$70,5,FALSE)</f>
        <v>Trsf</v>
      </c>
    </row>
    <row r="3924" spans="1:19" ht="16.25" customHeight="1" x14ac:dyDescent="0.35">
      <c r="A3924" s="105" t="s">
        <v>3702</v>
      </c>
      <c r="B3924" s="5">
        <f t="shared" si="1011"/>
        <v>5</v>
      </c>
      <c r="C3924" s="5">
        <f t="shared" si="1012"/>
        <v>2025</v>
      </c>
      <c r="D3924" s="105" t="s">
        <v>3706</v>
      </c>
      <c r="E3924" s="5" t="str">
        <f>VLOOKUP(F3924,'Set up'!$A$2:$C$70,2,FALSE)</f>
        <v>C00000019</v>
      </c>
      <c r="F3924" s="99" t="s">
        <v>400</v>
      </c>
      <c r="G3924" s="99" t="s">
        <v>894</v>
      </c>
      <c r="H3924" s="105">
        <v>1</v>
      </c>
      <c r="I3924" s="5" t="str">
        <f>VLOOKUP(F3924,'Set up'!$A$2:$C$70,3,FALSE)</f>
        <v>Cash</v>
      </c>
      <c r="J3924" s="5">
        <f>VLOOKUP(F3924,'Set up'!$A$2:$D$70,4,FALSE)</f>
        <v>0</v>
      </c>
      <c r="K3924" s="4">
        <f t="shared" si="1008"/>
        <v>45780</v>
      </c>
      <c r="L3924" s="5">
        <f t="shared" si="1017"/>
        <v>5</v>
      </c>
      <c r="M3924" s="5">
        <f t="shared" si="1018"/>
        <v>2025</v>
      </c>
      <c r="N3924" s="135">
        <v>150</v>
      </c>
      <c r="P3924" s="12">
        <f t="shared" si="1007"/>
        <v>150</v>
      </c>
      <c r="Q3924" s="7">
        <f t="shared" si="1016"/>
        <v>6488214.450000002</v>
      </c>
      <c r="R3924" s="44" t="str">
        <f>VLOOKUP(F3924,'Set up'!$A$2:$E$70,5,FALSE)</f>
        <v>Trsf</v>
      </c>
    </row>
    <row r="3925" spans="1:19" ht="16.25" customHeight="1" x14ac:dyDescent="0.35">
      <c r="A3925" s="105" t="s">
        <v>3702</v>
      </c>
      <c r="B3925" s="5">
        <f t="shared" si="1011"/>
        <v>5</v>
      </c>
      <c r="C3925" s="5">
        <f t="shared" si="1012"/>
        <v>2025</v>
      </c>
      <c r="D3925" s="105" t="s">
        <v>3706</v>
      </c>
      <c r="E3925" s="5" t="str">
        <f>VLOOKUP(F3925,'Set up'!$A$2:$C$70,2,FALSE)</f>
        <v>C00000019</v>
      </c>
      <c r="F3925" s="99" t="s">
        <v>400</v>
      </c>
      <c r="G3925" s="99" t="s">
        <v>1660</v>
      </c>
      <c r="H3925" s="105">
        <v>1</v>
      </c>
      <c r="I3925" s="5" t="str">
        <f>VLOOKUP(F3925,'Set up'!$A$2:$C$70,3,FALSE)</f>
        <v>Cash</v>
      </c>
      <c r="J3925" s="5">
        <f>VLOOKUP(F3925,'Set up'!$A$2:$D$70,4,FALSE)</f>
        <v>0</v>
      </c>
      <c r="K3925" s="4">
        <f t="shared" si="1008"/>
        <v>45780</v>
      </c>
      <c r="L3925" s="5">
        <f t="shared" si="1017"/>
        <v>5</v>
      </c>
      <c r="M3925" s="5">
        <f t="shared" si="1018"/>
        <v>2025</v>
      </c>
      <c r="N3925" s="135">
        <v>160</v>
      </c>
      <c r="P3925" s="12">
        <f t="shared" si="1007"/>
        <v>160</v>
      </c>
      <c r="Q3925" s="7">
        <f t="shared" si="1016"/>
        <v>6488374.450000002</v>
      </c>
      <c r="R3925" s="44" t="str">
        <f>VLOOKUP(F3925,'Set up'!$A$2:$E$70,5,FALSE)</f>
        <v>Trsf</v>
      </c>
    </row>
    <row r="3926" spans="1:19" ht="16.25" customHeight="1" x14ac:dyDescent="0.35">
      <c r="A3926" s="105" t="s">
        <v>3702</v>
      </c>
      <c r="B3926" s="5">
        <f t="shared" si="1011"/>
        <v>5</v>
      </c>
      <c r="C3926" s="5">
        <f t="shared" si="1012"/>
        <v>2025</v>
      </c>
      <c r="D3926" s="105" t="s">
        <v>3706</v>
      </c>
      <c r="E3926" s="5" t="str">
        <f>VLOOKUP(F3926,'Set up'!$A$2:$C$70,2,FALSE)</f>
        <v>C00000019</v>
      </c>
      <c r="F3926" s="99" t="s">
        <v>400</v>
      </c>
      <c r="G3926" s="99" t="s">
        <v>2635</v>
      </c>
      <c r="H3926" s="105">
        <v>2</v>
      </c>
      <c r="I3926" s="5" t="str">
        <f>VLOOKUP(F3926,'Set up'!$A$2:$C$70,3,FALSE)</f>
        <v>Cash</v>
      </c>
      <c r="J3926" s="5">
        <f>VLOOKUP(F3926,'Set up'!$A$2:$D$70,4,FALSE)</f>
        <v>0</v>
      </c>
      <c r="K3926" s="4">
        <f t="shared" si="1008"/>
        <v>45780</v>
      </c>
      <c r="L3926" s="5">
        <f t="shared" si="1017"/>
        <v>5</v>
      </c>
      <c r="M3926" s="5">
        <f t="shared" si="1018"/>
        <v>2025</v>
      </c>
      <c r="N3926" s="135">
        <v>125</v>
      </c>
      <c r="P3926" s="12">
        <f t="shared" si="1007"/>
        <v>125</v>
      </c>
      <c r="Q3926" s="7">
        <f t="shared" si="1016"/>
        <v>6488499.450000002</v>
      </c>
      <c r="R3926" s="44" t="str">
        <f>VLOOKUP(F3926,'Set up'!$A$2:$E$70,5,FALSE)</f>
        <v>Trsf</v>
      </c>
    </row>
    <row r="3927" spans="1:19" ht="16.25" customHeight="1" x14ac:dyDescent="0.35">
      <c r="A3927" s="105" t="s">
        <v>3707</v>
      </c>
      <c r="B3927" s="5">
        <f t="shared" si="1011"/>
        <v>5</v>
      </c>
      <c r="C3927" s="5">
        <f t="shared" si="1012"/>
        <v>2025</v>
      </c>
      <c r="D3927" s="105" t="s">
        <v>3708</v>
      </c>
      <c r="E3927" s="5" t="str">
        <f>VLOOKUP(F3927,'Set up'!$A$2:$C$70,2,FALSE)</f>
        <v>C00000044</v>
      </c>
      <c r="F3927" s="99" t="s">
        <v>2929</v>
      </c>
      <c r="G3927" s="99" t="s">
        <v>3621</v>
      </c>
      <c r="H3927" s="105">
        <v>1</v>
      </c>
      <c r="I3927" s="5" t="str">
        <f>VLOOKUP(F3927,'Set up'!$A$2:$C$70,3,FALSE)</f>
        <v>Cash</v>
      </c>
      <c r="J3927" s="5">
        <f>VLOOKUP(F3927,'Set up'!$A$2:$D$70,4,FALSE)</f>
        <v>0</v>
      </c>
      <c r="K3927" s="4">
        <f t="shared" si="1008"/>
        <v>45781</v>
      </c>
      <c r="L3927" s="5">
        <f t="shared" si="1017"/>
        <v>5</v>
      </c>
      <c r="M3927" s="5">
        <f t="shared" si="1018"/>
        <v>2025</v>
      </c>
      <c r="N3927" s="135">
        <v>250</v>
      </c>
      <c r="O3927" s="6">
        <f>-N3927</f>
        <v>-250</v>
      </c>
      <c r="P3927" s="12">
        <f t="shared" si="1007"/>
        <v>0</v>
      </c>
      <c r="Q3927" s="7">
        <f t="shared" si="1016"/>
        <v>6488749.450000002</v>
      </c>
      <c r="R3927" s="44" t="str">
        <f>VLOOKUP(F3927,'Set up'!$A$2:$E$70,5,FALSE)</f>
        <v>Cash</v>
      </c>
      <c r="S3927" s="1" t="s">
        <v>3820</v>
      </c>
    </row>
    <row r="3928" spans="1:19" ht="16.25" customHeight="1" x14ac:dyDescent="0.35">
      <c r="A3928" s="105" t="s">
        <v>3707</v>
      </c>
      <c r="B3928" s="5">
        <f t="shared" si="1011"/>
        <v>5</v>
      </c>
      <c r="C3928" s="5">
        <f t="shared" si="1012"/>
        <v>2025</v>
      </c>
      <c r="D3928" s="105" t="s">
        <v>3708</v>
      </c>
      <c r="E3928" s="5" t="str">
        <f>VLOOKUP(F3928,'Set up'!$A$2:$C$70,2,FALSE)</f>
        <v>C00000044</v>
      </c>
      <c r="F3928" s="99" t="s">
        <v>2929</v>
      </c>
      <c r="G3928" s="99" t="s">
        <v>3255</v>
      </c>
      <c r="H3928" s="105">
        <v>3</v>
      </c>
      <c r="I3928" s="5" t="str">
        <f>VLOOKUP(F3928,'Set up'!$A$2:$C$70,3,FALSE)</f>
        <v>Cash</v>
      </c>
      <c r="J3928" s="5">
        <f>VLOOKUP(F3928,'Set up'!$A$2:$D$70,4,FALSE)</f>
        <v>0</v>
      </c>
      <c r="K3928" s="4">
        <f t="shared" si="1008"/>
        <v>45781</v>
      </c>
      <c r="L3928" s="5">
        <f t="shared" si="1017"/>
        <v>5</v>
      </c>
      <c r="M3928" s="5">
        <f t="shared" si="1018"/>
        <v>2025</v>
      </c>
      <c r="N3928" s="135">
        <v>525</v>
      </c>
      <c r="O3928" s="6">
        <f>-N3928</f>
        <v>-525</v>
      </c>
      <c r="P3928" s="12">
        <f t="shared" si="1007"/>
        <v>0</v>
      </c>
      <c r="Q3928" s="7">
        <f t="shared" si="1016"/>
        <v>6489274.450000002</v>
      </c>
      <c r="R3928" s="44" t="str">
        <f>VLOOKUP(F3928,'Set up'!$A$2:$E$70,5,FALSE)</f>
        <v>Cash</v>
      </c>
      <c r="S3928" s="1" t="s">
        <v>3820</v>
      </c>
    </row>
    <row r="3929" spans="1:19" ht="16.25" customHeight="1" x14ac:dyDescent="0.35">
      <c r="A3929" s="105" t="s">
        <v>3709</v>
      </c>
      <c r="B3929" s="5">
        <f t="shared" si="1011"/>
        <v>5</v>
      </c>
      <c r="C3929" s="5">
        <f t="shared" si="1012"/>
        <v>2025</v>
      </c>
      <c r="D3929" s="105" t="s">
        <v>3710</v>
      </c>
      <c r="E3929" s="5" t="str">
        <f>VLOOKUP(F3929,'Set up'!$A$2:$C$70,2,FALSE)</f>
        <v>C00000042</v>
      </c>
      <c r="F3929" s="99" t="s">
        <v>2012</v>
      </c>
      <c r="G3929" s="99" t="s">
        <v>2646</v>
      </c>
      <c r="H3929" s="105">
        <v>3</v>
      </c>
      <c r="I3929" s="5" t="str">
        <f>VLOOKUP(F3929,'Set up'!$A$2:$C$70,3,FALSE)</f>
        <v>Cash</v>
      </c>
      <c r="J3929" s="5">
        <f>VLOOKUP(F3929,'Set up'!$A$2:$D$70,4,FALSE)</f>
        <v>0</v>
      </c>
      <c r="K3929" s="4">
        <f t="shared" si="1008"/>
        <v>45783</v>
      </c>
      <c r="L3929" s="5">
        <f t="shared" si="1017"/>
        <v>5</v>
      </c>
      <c r="M3929" s="5">
        <f t="shared" si="1018"/>
        <v>2025</v>
      </c>
      <c r="N3929" s="135">
        <v>187.5</v>
      </c>
      <c r="P3929" s="12">
        <f t="shared" si="1007"/>
        <v>187.5</v>
      </c>
      <c r="Q3929" s="7">
        <f t="shared" si="1016"/>
        <v>6489461.950000002</v>
      </c>
      <c r="R3929" s="44" t="str">
        <f>VLOOKUP(F3929,'Set up'!$A$2:$E$70,5,FALSE)</f>
        <v>Trsf</v>
      </c>
    </row>
    <row r="3930" spans="1:19" ht="16.25" customHeight="1" x14ac:dyDescent="0.35">
      <c r="A3930" s="105" t="s">
        <v>3709</v>
      </c>
      <c r="B3930" s="5">
        <f t="shared" si="1011"/>
        <v>5</v>
      </c>
      <c r="C3930" s="5">
        <f t="shared" si="1012"/>
        <v>2025</v>
      </c>
      <c r="D3930" s="105" t="s">
        <v>3711</v>
      </c>
      <c r="E3930" s="5" t="str">
        <f>VLOOKUP(F3930,'Set up'!$A$2:$C$70,2,FALSE)</f>
        <v>C00000042</v>
      </c>
      <c r="F3930" s="99" t="s">
        <v>2012</v>
      </c>
      <c r="G3930" s="99" t="s">
        <v>3217</v>
      </c>
      <c r="H3930" s="105">
        <v>6</v>
      </c>
      <c r="I3930" s="5" t="str">
        <f>VLOOKUP(F3930,'Set up'!$A$2:$C$70,3,FALSE)</f>
        <v>Cash</v>
      </c>
      <c r="J3930" s="5">
        <f>VLOOKUP(F3930,'Set up'!$A$2:$D$70,4,FALSE)</f>
        <v>0</v>
      </c>
      <c r="K3930" s="4">
        <f t="shared" si="1008"/>
        <v>45783</v>
      </c>
      <c r="L3930" s="5">
        <f t="shared" si="1017"/>
        <v>5</v>
      </c>
      <c r="M3930" s="5">
        <f t="shared" si="1018"/>
        <v>2025</v>
      </c>
      <c r="N3930" s="135">
        <v>9720</v>
      </c>
      <c r="P3930" s="12">
        <f t="shared" si="1007"/>
        <v>9720</v>
      </c>
      <c r="Q3930" s="7">
        <f t="shared" si="1016"/>
        <v>6499181.950000002</v>
      </c>
      <c r="R3930" s="44" t="str">
        <f>VLOOKUP(F3930,'Set up'!$A$2:$E$70,5,FALSE)</f>
        <v>Trsf</v>
      </c>
    </row>
    <row r="3931" spans="1:19" ht="16.25" customHeight="1" x14ac:dyDescent="0.35">
      <c r="A3931" s="105" t="s">
        <v>3709</v>
      </c>
      <c r="B3931" s="5">
        <f t="shared" si="1011"/>
        <v>5</v>
      </c>
      <c r="C3931" s="5">
        <f t="shared" si="1012"/>
        <v>2025</v>
      </c>
      <c r="D3931" s="105" t="s">
        <v>3711</v>
      </c>
      <c r="E3931" s="5" t="str">
        <f>VLOOKUP(F3931,'Set up'!$A$2:$C$70,2,FALSE)</f>
        <v>C00000042</v>
      </c>
      <c r="F3931" s="99" t="s">
        <v>2012</v>
      </c>
      <c r="G3931" s="99" t="s">
        <v>2129</v>
      </c>
      <c r="H3931" s="105">
        <v>15</v>
      </c>
      <c r="I3931" s="5" t="str">
        <f>VLOOKUP(F3931,'Set up'!$A$2:$C$70,3,FALSE)</f>
        <v>Cash</v>
      </c>
      <c r="J3931" s="5">
        <f>VLOOKUP(F3931,'Set up'!$A$2:$D$70,4,FALSE)</f>
        <v>0</v>
      </c>
      <c r="K3931" s="4">
        <f t="shared" si="1008"/>
        <v>45783</v>
      </c>
      <c r="L3931" s="5">
        <f t="shared" si="1017"/>
        <v>5</v>
      </c>
      <c r="M3931" s="5">
        <f t="shared" si="1018"/>
        <v>2025</v>
      </c>
      <c r="N3931" s="135">
        <v>3274.5</v>
      </c>
      <c r="P3931" s="12">
        <f t="shared" si="1007"/>
        <v>3274.5</v>
      </c>
      <c r="Q3931" s="7">
        <f t="shared" si="1016"/>
        <v>6502456.450000002</v>
      </c>
      <c r="R3931" s="44" t="str">
        <f>VLOOKUP(F3931,'Set up'!$A$2:$E$70,5,FALSE)</f>
        <v>Trsf</v>
      </c>
    </row>
    <row r="3932" spans="1:19" ht="16.25" customHeight="1" x14ac:dyDescent="0.35">
      <c r="A3932" s="105" t="s">
        <v>3709</v>
      </c>
      <c r="B3932" s="5">
        <f t="shared" si="1011"/>
        <v>5</v>
      </c>
      <c r="C3932" s="5">
        <f t="shared" si="1012"/>
        <v>2025</v>
      </c>
      <c r="D3932" s="105" t="s">
        <v>3711</v>
      </c>
      <c r="E3932" s="5" t="str">
        <f>VLOOKUP(F3932,'Set up'!$A$2:$C$70,2,FALSE)</f>
        <v>C00000042</v>
      </c>
      <c r="F3932" s="99" t="s">
        <v>2012</v>
      </c>
      <c r="G3932" s="99" t="s">
        <v>1922</v>
      </c>
      <c r="H3932" s="105">
        <v>8</v>
      </c>
      <c r="I3932" s="5" t="str">
        <f>VLOOKUP(F3932,'Set up'!$A$2:$C$70,3,FALSE)</f>
        <v>Cash</v>
      </c>
      <c r="J3932" s="5">
        <f>VLOOKUP(F3932,'Set up'!$A$2:$D$70,4,FALSE)</f>
        <v>0</v>
      </c>
      <c r="K3932" s="4">
        <f t="shared" si="1008"/>
        <v>45783</v>
      </c>
      <c r="L3932" s="5">
        <f t="shared" si="1017"/>
        <v>5</v>
      </c>
      <c r="M3932" s="5">
        <f t="shared" si="1018"/>
        <v>2025</v>
      </c>
      <c r="N3932" s="135">
        <v>1980</v>
      </c>
      <c r="P3932" s="12">
        <f t="shared" si="1007"/>
        <v>1980</v>
      </c>
      <c r="Q3932" s="7">
        <f t="shared" si="1016"/>
        <v>6504436.450000002</v>
      </c>
      <c r="R3932" s="44" t="str">
        <f>VLOOKUP(F3932,'Set up'!$A$2:$E$70,5,FALSE)</f>
        <v>Trsf</v>
      </c>
    </row>
    <row r="3933" spans="1:19" ht="16.25" customHeight="1" x14ac:dyDescent="0.35">
      <c r="A3933" s="105" t="s">
        <v>3709</v>
      </c>
      <c r="B3933" s="5">
        <f t="shared" si="1011"/>
        <v>5</v>
      </c>
      <c r="C3933" s="5">
        <f t="shared" si="1012"/>
        <v>2025</v>
      </c>
      <c r="D3933" s="105" t="s">
        <v>3711</v>
      </c>
      <c r="E3933" s="5" t="str">
        <f>VLOOKUP(F3933,'Set up'!$A$2:$C$70,2,FALSE)</f>
        <v>C00000042</v>
      </c>
      <c r="F3933" s="99" t="s">
        <v>2012</v>
      </c>
      <c r="G3933" s="99" t="s">
        <v>46</v>
      </c>
      <c r="H3933" s="105">
        <v>4</v>
      </c>
      <c r="I3933" s="5" t="str">
        <f>VLOOKUP(F3933,'Set up'!$A$2:$C$70,3,FALSE)</f>
        <v>Cash</v>
      </c>
      <c r="J3933" s="5">
        <f>VLOOKUP(F3933,'Set up'!$A$2:$D$70,4,FALSE)</f>
        <v>0</v>
      </c>
      <c r="K3933" s="4">
        <f t="shared" si="1008"/>
        <v>45783</v>
      </c>
      <c r="L3933" s="5">
        <f t="shared" si="1017"/>
        <v>5</v>
      </c>
      <c r="M3933" s="5">
        <f t="shared" si="1018"/>
        <v>2025</v>
      </c>
      <c r="N3933" s="135">
        <v>460</v>
      </c>
      <c r="P3933" s="12">
        <f t="shared" si="1007"/>
        <v>460</v>
      </c>
      <c r="Q3933" s="7">
        <f t="shared" si="1016"/>
        <v>6504896.450000002</v>
      </c>
      <c r="R3933" s="44" t="str">
        <f>VLOOKUP(F3933,'Set up'!$A$2:$E$70,5,FALSE)</f>
        <v>Trsf</v>
      </c>
    </row>
    <row r="3934" spans="1:19" ht="16.25" customHeight="1" x14ac:dyDescent="0.35">
      <c r="A3934" s="105" t="s">
        <v>3709</v>
      </c>
      <c r="B3934" s="5">
        <f t="shared" si="1011"/>
        <v>5</v>
      </c>
      <c r="C3934" s="5">
        <f t="shared" si="1012"/>
        <v>2025</v>
      </c>
      <c r="D3934" s="105" t="s">
        <v>3711</v>
      </c>
      <c r="E3934" s="5" t="str">
        <f>VLOOKUP(F3934,'Set up'!$A$2:$C$70,2,FALSE)</f>
        <v>C00000042</v>
      </c>
      <c r="F3934" s="99" t="s">
        <v>2012</v>
      </c>
      <c r="G3934" s="99" t="s">
        <v>1073</v>
      </c>
      <c r="H3934" s="105">
        <v>1</v>
      </c>
      <c r="I3934" s="5" t="str">
        <f>VLOOKUP(F3934,'Set up'!$A$2:$C$70,3,FALSE)</f>
        <v>Cash</v>
      </c>
      <c r="J3934" s="5">
        <f>VLOOKUP(F3934,'Set up'!$A$2:$D$70,4,FALSE)</f>
        <v>0</v>
      </c>
      <c r="K3934" s="4">
        <f t="shared" si="1008"/>
        <v>45783</v>
      </c>
      <c r="L3934" s="5">
        <f t="shared" si="1017"/>
        <v>5</v>
      </c>
      <c r="M3934" s="5">
        <f t="shared" si="1018"/>
        <v>2025</v>
      </c>
      <c r="N3934" s="135">
        <v>1000</v>
      </c>
      <c r="P3934" s="12">
        <f t="shared" si="1007"/>
        <v>1000</v>
      </c>
      <c r="Q3934" s="7">
        <f t="shared" si="1016"/>
        <v>6505896.450000002</v>
      </c>
      <c r="R3934" s="44" t="str">
        <f>VLOOKUP(F3934,'Set up'!$A$2:$E$70,5,FALSE)</f>
        <v>Trsf</v>
      </c>
    </row>
    <row r="3935" spans="1:19" ht="16.25" customHeight="1" x14ac:dyDescent="0.35">
      <c r="A3935" s="105" t="s">
        <v>3709</v>
      </c>
      <c r="B3935" s="5">
        <f t="shared" si="1011"/>
        <v>5</v>
      </c>
      <c r="C3935" s="5">
        <f t="shared" si="1012"/>
        <v>2025</v>
      </c>
      <c r="D3935" s="105" t="s">
        <v>3712</v>
      </c>
      <c r="E3935" s="5" t="str">
        <f>VLOOKUP(F3935,'Set up'!$A$2:$C$70,2,FALSE)</f>
        <v>C00000061</v>
      </c>
      <c r="F3935" s="99" t="s">
        <v>3532</v>
      </c>
      <c r="G3935" s="99" t="s">
        <v>3122</v>
      </c>
      <c r="H3935" s="105">
        <v>3</v>
      </c>
      <c r="I3935" s="5" t="str">
        <f>VLOOKUP(F3935,'Set up'!$A$2:$C$70,3,FALSE)</f>
        <v>Cash</v>
      </c>
      <c r="J3935" s="5">
        <f>VLOOKUP(F3935,'Set up'!$A$2:$D$70,4,FALSE)</f>
        <v>0</v>
      </c>
      <c r="K3935" s="4">
        <f t="shared" si="1008"/>
        <v>45783</v>
      </c>
      <c r="L3935" s="5">
        <f t="shared" si="1017"/>
        <v>5</v>
      </c>
      <c r="M3935" s="5">
        <f t="shared" si="1018"/>
        <v>2025</v>
      </c>
      <c r="N3935" s="135">
        <v>4927.5</v>
      </c>
      <c r="O3935" s="6">
        <f t="shared" ref="O3935:O3938" si="1020">-N3935</f>
        <v>-4927.5</v>
      </c>
      <c r="P3935" s="12">
        <f t="shared" si="1007"/>
        <v>0</v>
      </c>
      <c r="Q3935" s="7">
        <f t="shared" si="1016"/>
        <v>6510823.950000002</v>
      </c>
      <c r="R3935" s="44" t="str">
        <f>VLOOKUP(F3935,'Set up'!$A$2:$E$70,5,FALSE)</f>
        <v>Cash</v>
      </c>
      <c r="S3935" s="1" t="s">
        <v>3824</v>
      </c>
    </row>
    <row r="3936" spans="1:19" ht="16.25" customHeight="1" x14ac:dyDescent="0.35">
      <c r="A3936" s="105" t="s">
        <v>3709</v>
      </c>
      <c r="B3936" s="5">
        <f t="shared" si="1011"/>
        <v>5</v>
      </c>
      <c r="C3936" s="5">
        <f t="shared" si="1012"/>
        <v>2025</v>
      </c>
      <c r="D3936" s="105" t="s">
        <v>3712</v>
      </c>
      <c r="E3936" s="5" t="str">
        <f>VLOOKUP(F3936,'Set up'!$A$2:$C$70,2,FALSE)</f>
        <v>C00000061</v>
      </c>
      <c r="F3936" s="99" t="s">
        <v>3532</v>
      </c>
      <c r="G3936" s="99" t="s">
        <v>3639</v>
      </c>
      <c r="H3936" s="105">
        <v>3</v>
      </c>
      <c r="I3936" s="5" t="str">
        <f>VLOOKUP(F3936,'Set up'!$A$2:$C$70,3,FALSE)</f>
        <v>Cash</v>
      </c>
      <c r="J3936" s="5">
        <f>VLOOKUP(F3936,'Set up'!$A$2:$D$70,4,FALSE)</f>
        <v>0</v>
      </c>
      <c r="K3936" s="4">
        <f t="shared" si="1008"/>
        <v>45783</v>
      </c>
      <c r="L3936" s="5">
        <f t="shared" si="1017"/>
        <v>5</v>
      </c>
      <c r="M3936" s="5">
        <f t="shared" si="1018"/>
        <v>2025</v>
      </c>
      <c r="N3936" s="135">
        <v>1226.0999999999999</v>
      </c>
      <c r="O3936" s="6">
        <f t="shared" si="1020"/>
        <v>-1226.0999999999999</v>
      </c>
      <c r="P3936" s="12">
        <f t="shared" ref="P3936:P3999" si="1021">SUM(N3936+O3936)</f>
        <v>0</v>
      </c>
      <c r="Q3936" s="7">
        <f t="shared" si="1016"/>
        <v>6512050.0500000017</v>
      </c>
      <c r="R3936" s="44" t="str">
        <f>VLOOKUP(F3936,'Set up'!$A$2:$E$70,5,FALSE)</f>
        <v>Cash</v>
      </c>
      <c r="S3936" s="1" t="s">
        <v>3824</v>
      </c>
    </row>
    <row r="3937" spans="1:19" ht="16.25" customHeight="1" x14ac:dyDescent="0.35">
      <c r="A3937" s="105" t="s">
        <v>3709</v>
      </c>
      <c r="B3937" s="5">
        <f t="shared" si="1011"/>
        <v>5</v>
      </c>
      <c r="C3937" s="5">
        <f t="shared" si="1012"/>
        <v>2025</v>
      </c>
      <c r="D3937" s="105" t="s">
        <v>3712</v>
      </c>
      <c r="E3937" s="5" t="str">
        <f>VLOOKUP(F3937,'Set up'!$A$2:$C$70,2,FALSE)</f>
        <v>C00000061</v>
      </c>
      <c r="F3937" s="99" t="s">
        <v>3532</v>
      </c>
      <c r="G3937" s="99" t="s">
        <v>46</v>
      </c>
      <c r="H3937" s="105">
        <v>2</v>
      </c>
      <c r="I3937" s="5" t="str">
        <f>VLOOKUP(F3937,'Set up'!$A$2:$C$70,3,FALSE)</f>
        <v>Cash</v>
      </c>
      <c r="J3937" s="5">
        <f>VLOOKUP(F3937,'Set up'!$A$2:$D$70,4,FALSE)</f>
        <v>0</v>
      </c>
      <c r="K3937" s="4">
        <f t="shared" si="1008"/>
        <v>45783</v>
      </c>
      <c r="L3937" s="5">
        <f t="shared" si="1017"/>
        <v>5</v>
      </c>
      <c r="M3937" s="5">
        <f t="shared" si="1018"/>
        <v>2025</v>
      </c>
      <c r="N3937" s="135">
        <v>230</v>
      </c>
      <c r="O3937" s="6">
        <f t="shared" si="1020"/>
        <v>-230</v>
      </c>
      <c r="P3937" s="12">
        <f t="shared" si="1021"/>
        <v>0</v>
      </c>
      <c r="Q3937" s="7">
        <f t="shared" si="1016"/>
        <v>6512280.0500000017</v>
      </c>
      <c r="R3937" s="44" t="str">
        <f>VLOOKUP(F3937,'Set up'!$A$2:$E$70,5,FALSE)</f>
        <v>Cash</v>
      </c>
      <c r="S3937" s="1" t="s">
        <v>3824</v>
      </c>
    </row>
    <row r="3938" spans="1:19" ht="16.25" customHeight="1" x14ac:dyDescent="0.35">
      <c r="A3938" s="105" t="s">
        <v>3709</v>
      </c>
      <c r="B3938" s="5">
        <f t="shared" si="1011"/>
        <v>5</v>
      </c>
      <c r="C3938" s="5">
        <f t="shared" si="1012"/>
        <v>2025</v>
      </c>
      <c r="D3938" s="105" t="s">
        <v>3712</v>
      </c>
      <c r="E3938" s="5" t="str">
        <f>VLOOKUP(F3938,'Set up'!$A$2:$C$70,2,FALSE)</f>
        <v>C00000061</v>
      </c>
      <c r="F3938" s="99" t="s">
        <v>3532</v>
      </c>
      <c r="G3938" s="99" t="s">
        <v>2635</v>
      </c>
      <c r="H3938" s="105">
        <v>10</v>
      </c>
      <c r="I3938" s="5" t="str">
        <f>VLOOKUP(F3938,'Set up'!$A$2:$C$70,3,FALSE)</f>
        <v>Cash</v>
      </c>
      <c r="J3938" s="5">
        <f>VLOOKUP(F3938,'Set up'!$A$2:$D$70,4,FALSE)</f>
        <v>0</v>
      </c>
      <c r="K3938" s="4">
        <f t="shared" si="1008"/>
        <v>45783</v>
      </c>
      <c r="L3938" s="5">
        <f t="shared" si="1017"/>
        <v>5</v>
      </c>
      <c r="M3938" s="5">
        <f t="shared" si="1018"/>
        <v>2025</v>
      </c>
      <c r="N3938" s="135">
        <v>575</v>
      </c>
      <c r="O3938" s="6">
        <f t="shared" si="1020"/>
        <v>-575</v>
      </c>
      <c r="P3938" s="12">
        <f t="shared" si="1021"/>
        <v>0</v>
      </c>
      <c r="Q3938" s="7">
        <f t="shared" si="1016"/>
        <v>6512855.0500000017</v>
      </c>
      <c r="R3938" s="44" t="str">
        <f>VLOOKUP(F3938,'Set up'!$A$2:$E$70,5,FALSE)</f>
        <v>Cash</v>
      </c>
      <c r="S3938" s="1" t="s">
        <v>3824</v>
      </c>
    </row>
    <row r="3939" spans="1:19" ht="16.25" customHeight="1" x14ac:dyDescent="0.35">
      <c r="A3939" s="105" t="s">
        <v>3713</v>
      </c>
      <c r="B3939" s="5">
        <f t="shared" si="1011"/>
        <v>5</v>
      </c>
      <c r="C3939" s="5">
        <f t="shared" si="1012"/>
        <v>2025</v>
      </c>
      <c r="D3939" s="105" t="s">
        <v>3714</v>
      </c>
      <c r="E3939" s="5" t="str">
        <f>VLOOKUP(F3939,'Set up'!$A$2:$C$70,2,FALSE)</f>
        <v>C00000042</v>
      </c>
      <c r="F3939" s="99" t="s">
        <v>2012</v>
      </c>
      <c r="G3939" s="99" t="s">
        <v>2646</v>
      </c>
      <c r="H3939" s="105">
        <v>2</v>
      </c>
      <c r="I3939" s="5" t="str">
        <f>VLOOKUP(F3939,'Set up'!$A$2:$C$70,3,FALSE)</f>
        <v>Cash</v>
      </c>
      <c r="J3939" s="5">
        <f>VLOOKUP(F3939,'Set up'!$A$2:$D$70,4,FALSE)</f>
        <v>0</v>
      </c>
      <c r="K3939" s="4">
        <f t="shared" si="1008"/>
        <v>45785</v>
      </c>
      <c r="L3939" s="5">
        <f t="shared" si="1017"/>
        <v>5</v>
      </c>
      <c r="M3939" s="5">
        <f t="shared" si="1018"/>
        <v>2025</v>
      </c>
      <c r="N3939" s="135">
        <v>125</v>
      </c>
      <c r="P3939" s="12">
        <f t="shared" si="1021"/>
        <v>125</v>
      </c>
      <c r="Q3939" s="7">
        <f t="shared" si="1016"/>
        <v>6512980.0500000017</v>
      </c>
      <c r="R3939" s="44" t="str">
        <f>VLOOKUP(F3939,'Set up'!$A$2:$E$70,5,FALSE)</f>
        <v>Trsf</v>
      </c>
    </row>
    <row r="3940" spans="1:19" ht="16.25" customHeight="1" x14ac:dyDescent="0.35">
      <c r="A3940" s="105" t="s">
        <v>3713</v>
      </c>
      <c r="B3940" s="5">
        <f t="shared" si="1011"/>
        <v>5</v>
      </c>
      <c r="C3940" s="5">
        <f t="shared" si="1012"/>
        <v>2025</v>
      </c>
      <c r="D3940" s="105" t="s">
        <v>3715</v>
      </c>
      <c r="E3940" s="5" t="str">
        <f>VLOOKUP(F3940,'Set up'!$A$2:$C$70,2,FALSE)</f>
        <v>C00000042</v>
      </c>
      <c r="F3940" s="99" t="s">
        <v>2012</v>
      </c>
      <c r="G3940" s="99" t="s">
        <v>3217</v>
      </c>
      <c r="H3940" s="105">
        <v>6</v>
      </c>
      <c r="I3940" s="5" t="str">
        <f>VLOOKUP(F3940,'Set up'!$A$2:$C$70,3,FALSE)</f>
        <v>Cash</v>
      </c>
      <c r="J3940" s="5">
        <f>VLOOKUP(F3940,'Set up'!$A$2:$D$70,4,FALSE)</f>
        <v>0</v>
      </c>
      <c r="K3940" s="4">
        <f t="shared" ref="K3940:K4003" si="1022">A3940+J3940</f>
        <v>45785</v>
      </c>
      <c r="L3940" s="5">
        <f t="shared" si="1017"/>
        <v>5</v>
      </c>
      <c r="M3940" s="5">
        <f t="shared" si="1018"/>
        <v>2025</v>
      </c>
      <c r="N3940" s="135">
        <v>9720</v>
      </c>
      <c r="P3940" s="12">
        <f t="shared" si="1021"/>
        <v>9720</v>
      </c>
      <c r="Q3940" s="7">
        <f t="shared" si="1016"/>
        <v>6522700.0500000017</v>
      </c>
      <c r="R3940" s="44" t="str">
        <f>VLOOKUP(F3940,'Set up'!$A$2:$E$70,5,FALSE)</f>
        <v>Trsf</v>
      </c>
    </row>
    <row r="3941" spans="1:19" ht="16.25" customHeight="1" x14ac:dyDescent="0.35">
      <c r="A3941" s="105" t="s">
        <v>3713</v>
      </c>
      <c r="B3941" s="5">
        <f t="shared" si="1011"/>
        <v>5</v>
      </c>
      <c r="C3941" s="5">
        <f t="shared" si="1012"/>
        <v>2025</v>
      </c>
      <c r="D3941" s="105" t="s">
        <v>3715</v>
      </c>
      <c r="E3941" s="5" t="str">
        <f>VLOOKUP(F3941,'Set up'!$A$2:$C$70,2,FALSE)</f>
        <v>C00000042</v>
      </c>
      <c r="F3941" s="99" t="s">
        <v>2012</v>
      </c>
      <c r="G3941" s="99" t="s">
        <v>1543</v>
      </c>
      <c r="H3941" s="105">
        <v>12</v>
      </c>
      <c r="I3941" s="5" t="str">
        <f>VLOOKUP(F3941,'Set up'!$A$2:$C$70,3,FALSE)</f>
        <v>Cash</v>
      </c>
      <c r="J3941" s="5">
        <f>VLOOKUP(F3941,'Set up'!$A$2:$D$70,4,FALSE)</f>
        <v>0</v>
      </c>
      <c r="K3941" s="4">
        <f t="shared" si="1022"/>
        <v>45785</v>
      </c>
      <c r="L3941" s="5">
        <f t="shared" si="1017"/>
        <v>5</v>
      </c>
      <c r="M3941" s="5">
        <f t="shared" si="1018"/>
        <v>2025</v>
      </c>
      <c r="N3941" s="135">
        <v>2124</v>
      </c>
      <c r="P3941" s="12">
        <f t="shared" si="1021"/>
        <v>2124</v>
      </c>
      <c r="Q3941" s="7">
        <f t="shared" si="1016"/>
        <v>6524824.0500000017</v>
      </c>
      <c r="R3941" s="44" t="str">
        <f>VLOOKUP(F3941,'Set up'!$A$2:$E$70,5,FALSE)</f>
        <v>Trsf</v>
      </c>
    </row>
    <row r="3942" spans="1:19" ht="16.25" customHeight="1" x14ac:dyDescent="0.35">
      <c r="A3942" s="105" t="s">
        <v>3713</v>
      </c>
      <c r="B3942" s="5">
        <f t="shared" si="1011"/>
        <v>5</v>
      </c>
      <c r="C3942" s="5">
        <f t="shared" si="1012"/>
        <v>2025</v>
      </c>
      <c r="D3942" s="105" t="s">
        <v>3715</v>
      </c>
      <c r="E3942" s="5" t="str">
        <f>VLOOKUP(F3942,'Set up'!$A$2:$C$70,2,FALSE)</f>
        <v>C00000042</v>
      </c>
      <c r="F3942" s="99" t="s">
        <v>2012</v>
      </c>
      <c r="G3942" s="99" t="s">
        <v>1922</v>
      </c>
      <c r="H3942" s="105">
        <v>9</v>
      </c>
      <c r="I3942" s="5" t="str">
        <f>VLOOKUP(F3942,'Set up'!$A$2:$C$70,3,FALSE)</f>
        <v>Cash</v>
      </c>
      <c r="J3942" s="5">
        <f>VLOOKUP(F3942,'Set up'!$A$2:$D$70,4,FALSE)</f>
        <v>0</v>
      </c>
      <c r="K3942" s="4">
        <f t="shared" si="1022"/>
        <v>45785</v>
      </c>
      <c r="L3942" s="5">
        <f t="shared" si="1017"/>
        <v>5</v>
      </c>
      <c r="M3942" s="5">
        <f t="shared" si="1018"/>
        <v>2025</v>
      </c>
      <c r="N3942" s="135">
        <v>2227.5</v>
      </c>
      <c r="P3942" s="12">
        <f t="shared" si="1021"/>
        <v>2227.5</v>
      </c>
      <c r="Q3942" s="7">
        <f t="shared" si="1016"/>
        <v>6527051.5500000017</v>
      </c>
      <c r="R3942" s="44" t="str">
        <f>VLOOKUP(F3942,'Set up'!$A$2:$E$70,5,FALSE)</f>
        <v>Trsf</v>
      </c>
    </row>
    <row r="3943" spans="1:19" ht="16.25" customHeight="1" x14ac:dyDescent="0.35">
      <c r="A3943" s="105" t="s">
        <v>3713</v>
      </c>
      <c r="B3943" s="5">
        <f t="shared" si="1011"/>
        <v>5</v>
      </c>
      <c r="C3943" s="5">
        <f t="shared" si="1012"/>
        <v>2025</v>
      </c>
      <c r="D3943" s="105" t="s">
        <v>3715</v>
      </c>
      <c r="E3943" s="5" t="str">
        <f>VLOOKUP(F3943,'Set up'!$A$2:$C$70,2,FALSE)</f>
        <v>C00000042</v>
      </c>
      <c r="F3943" s="99" t="s">
        <v>2012</v>
      </c>
      <c r="G3943" s="99" t="s">
        <v>46</v>
      </c>
      <c r="H3943" s="105">
        <v>4</v>
      </c>
      <c r="I3943" s="5" t="str">
        <f>VLOOKUP(F3943,'Set up'!$A$2:$C$70,3,FALSE)</f>
        <v>Cash</v>
      </c>
      <c r="J3943" s="5">
        <f>VLOOKUP(F3943,'Set up'!$A$2:$D$70,4,FALSE)</f>
        <v>0</v>
      </c>
      <c r="K3943" s="4">
        <f t="shared" si="1022"/>
        <v>45785</v>
      </c>
      <c r="L3943" s="5">
        <f t="shared" si="1017"/>
        <v>5</v>
      </c>
      <c r="M3943" s="5">
        <f t="shared" si="1018"/>
        <v>2025</v>
      </c>
      <c r="N3943" s="135">
        <v>460</v>
      </c>
      <c r="P3943" s="12">
        <f t="shared" si="1021"/>
        <v>460</v>
      </c>
      <c r="Q3943" s="7">
        <f t="shared" si="1016"/>
        <v>6527511.5500000017</v>
      </c>
      <c r="R3943" s="44" t="str">
        <f>VLOOKUP(F3943,'Set up'!$A$2:$E$70,5,FALSE)</f>
        <v>Trsf</v>
      </c>
    </row>
    <row r="3944" spans="1:19" ht="16.25" customHeight="1" x14ac:dyDescent="0.35">
      <c r="A3944" s="105" t="s">
        <v>3713</v>
      </c>
      <c r="B3944" s="5">
        <f t="shared" si="1011"/>
        <v>5</v>
      </c>
      <c r="C3944" s="5">
        <f t="shared" si="1012"/>
        <v>2025</v>
      </c>
      <c r="D3944" s="105" t="s">
        <v>3715</v>
      </c>
      <c r="E3944" s="5" t="str">
        <f>VLOOKUP(F3944,'Set up'!$A$2:$C$70,2,FALSE)</f>
        <v>C00000042</v>
      </c>
      <c r="F3944" s="99" t="s">
        <v>2012</v>
      </c>
      <c r="G3944" s="99" t="s">
        <v>2132</v>
      </c>
      <c r="H3944" s="105">
        <v>5</v>
      </c>
      <c r="I3944" s="5" t="str">
        <f>VLOOKUP(F3944,'Set up'!$A$2:$C$70,3,FALSE)</f>
        <v>Cash</v>
      </c>
      <c r="J3944" s="5">
        <f>VLOOKUP(F3944,'Set up'!$A$2:$D$70,4,FALSE)</f>
        <v>0</v>
      </c>
      <c r="K3944" s="4">
        <f t="shared" si="1022"/>
        <v>45785</v>
      </c>
      <c r="L3944" s="5">
        <f t="shared" si="1017"/>
        <v>5</v>
      </c>
      <c r="M3944" s="5">
        <f t="shared" si="1018"/>
        <v>2025</v>
      </c>
      <c r="N3944" s="135">
        <v>975</v>
      </c>
      <c r="P3944" s="12">
        <f t="shared" si="1021"/>
        <v>975</v>
      </c>
      <c r="Q3944" s="7">
        <f t="shared" si="1016"/>
        <v>6528486.5500000017</v>
      </c>
      <c r="R3944" s="44" t="str">
        <f>VLOOKUP(F3944,'Set up'!$A$2:$E$70,5,FALSE)</f>
        <v>Trsf</v>
      </c>
    </row>
    <row r="3945" spans="1:19" ht="16.25" customHeight="1" x14ac:dyDescent="0.35">
      <c r="A3945" s="105" t="s">
        <v>3716</v>
      </c>
      <c r="B3945" s="5">
        <f t="shared" si="1011"/>
        <v>5</v>
      </c>
      <c r="C3945" s="5">
        <f t="shared" si="1012"/>
        <v>2025</v>
      </c>
      <c r="D3945" s="105" t="s">
        <v>3717</v>
      </c>
      <c r="E3945" s="5" t="str">
        <f>VLOOKUP(F3945,'Set up'!$A$2:$C$70,2,FALSE)</f>
        <v>C00000042</v>
      </c>
      <c r="F3945" s="99" t="s">
        <v>2012</v>
      </c>
      <c r="G3945" s="99" t="s">
        <v>2646</v>
      </c>
      <c r="H3945" s="105">
        <v>2</v>
      </c>
      <c r="I3945" s="5" t="str">
        <f>VLOOKUP(F3945,'Set up'!$A$2:$C$70,3,FALSE)</f>
        <v>Cash</v>
      </c>
      <c r="J3945" s="5">
        <f>VLOOKUP(F3945,'Set up'!$A$2:$D$70,4,FALSE)</f>
        <v>0</v>
      </c>
      <c r="K3945" s="4">
        <f t="shared" si="1022"/>
        <v>45787</v>
      </c>
      <c r="L3945" s="5">
        <f t="shared" si="1017"/>
        <v>5</v>
      </c>
      <c r="M3945" s="5">
        <f t="shared" si="1018"/>
        <v>2025</v>
      </c>
      <c r="N3945" s="135">
        <v>125</v>
      </c>
      <c r="P3945" s="12">
        <f t="shared" si="1021"/>
        <v>125</v>
      </c>
      <c r="Q3945" s="7">
        <f t="shared" si="1016"/>
        <v>6528611.5500000017</v>
      </c>
      <c r="R3945" s="44" t="str">
        <f>VLOOKUP(F3945,'Set up'!$A$2:$E$70,5,FALSE)</f>
        <v>Trsf</v>
      </c>
    </row>
    <row r="3946" spans="1:19" ht="16.25" customHeight="1" x14ac:dyDescent="0.35">
      <c r="A3946" s="105" t="s">
        <v>3716</v>
      </c>
      <c r="B3946" s="5">
        <f t="shared" si="1011"/>
        <v>5</v>
      </c>
      <c r="C3946" s="5">
        <f t="shared" si="1012"/>
        <v>2025</v>
      </c>
      <c r="D3946" s="105" t="s">
        <v>3718</v>
      </c>
      <c r="E3946" s="5" t="str">
        <f>VLOOKUP(F3946,'Set up'!$A$2:$C$70,2,FALSE)</f>
        <v>C00000042</v>
      </c>
      <c r="F3946" s="99" t="s">
        <v>2012</v>
      </c>
      <c r="G3946" s="99" t="s">
        <v>3217</v>
      </c>
      <c r="H3946" s="105">
        <v>2</v>
      </c>
      <c r="I3946" s="5" t="str">
        <f>VLOOKUP(F3946,'Set up'!$A$2:$C$70,3,FALSE)</f>
        <v>Cash</v>
      </c>
      <c r="J3946" s="5">
        <f>VLOOKUP(F3946,'Set up'!$A$2:$D$70,4,FALSE)</f>
        <v>0</v>
      </c>
      <c r="K3946" s="4">
        <f t="shared" si="1022"/>
        <v>45787</v>
      </c>
      <c r="L3946" s="5">
        <f t="shared" si="1017"/>
        <v>5</v>
      </c>
      <c r="M3946" s="5">
        <f t="shared" si="1018"/>
        <v>2025</v>
      </c>
      <c r="N3946" s="135">
        <v>3240</v>
      </c>
      <c r="P3946" s="12">
        <f t="shared" si="1021"/>
        <v>3240</v>
      </c>
      <c r="Q3946" s="7">
        <f t="shared" si="1016"/>
        <v>6531851.5500000017</v>
      </c>
      <c r="R3946" s="44" t="str">
        <f>VLOOKUP(F3946,'Set up'!$A$2:$E$70,5,FALSE)</f>
        <v>Trsf</v>
      </c>
    </row>
    <row r="3947" spans="1:19" ht="16.25" customHeight="1" x14ac:dyDescent="0.35">
      <c r="A3947" s="105" t="s">
        <v>3716</v>
      </c>
      <c r="B3947" s="5">
        <f t="shared" si="1011"/>
        <v>5</v>
      </c>
      <c r="C3947" s="5">
        <f t="shared" si="1012"/>
        <v>2025</v>
      </c>
      <c r="D3947" s="105" t="s">
        <v>3718</v>
      </c>
      <c r="E3947" s="5" t="str">
        <f>VLOOKUP(F3947,'Set up'!$A$2:$C$70,2,FALSE)</f>
        <v>C00000042</v>
      </c>
      <c r="F3947" s="99" t="s">
        <v>2012</v>
      </c>
      <c r="G3947" s="99" t="s">
        <v>2129</v>
      </c>
      <c r="H3947" s="105">
        <v>9</v>
      </c>
      <c r="I3947" s="5" t="str">
        <f>VLOOKUP(F3947,'Set up'!$A$2:$C$70,3,FALSE)</f>
        <v>Cash</v>
      </c>
      <c r="J3947" s="5">
        <f>VLOOKUP(F3947,'Set up'!$A$2:$D$70,4,FALSE)</f>
        <v>0</v>
      </c>
      <c r="K3947" s="4">
        <f t="shared" si="1022"/>
        <v>45787</v>
      </c>
      <c r="L3947" s="5">
        <f t="shared" si="1017"/>
        <v>5</v>
      </c>
      <c r="M3947" s="5">
        <f t="shared" si="1018"/>
        <v>2025</v>
      </c>
      <c r="N3947" s="135">
        <v>1964.7</v>
      </c>
      <c r="P3947" s="12">
        <f t="shared" si="1021"/>
        <v>1964.7</v>
      </c>
      <c r="Q3947" s="7">
        <f t="shared" si="1016"/>
        <v>6533816.2500000019</v>
      </c>
      <c r="R3947" s="44" t="str">
        <f>VLOOKUP(F3947,'Set up'!$A$2:$E$70,5,FALSE)</f>
        <v>Trsf</v>
      </c>
    </row>
    <row r="3948" spans="1:19" ht="16.25" customHeight="1" x14ac:dyDescent="0.35">
      <c r="A3948" s="105" t="s">
        <v>3716</v>
      </c>
      <c r="B3948" s="5">
        <f t="shared" si="1011"/>
        <v>5</v>
      </c>
      <c r="C3948" s="5">
        <f t="shared" si="1012"/>
        <v>2025</v>
      </c>
      <c r="D3948" s="105" t="s">
        <v>3718</v>
      </c>
      <c r="E3948" s="5" t="str">
        <f>VLOOKUP(F3948,'Set up'!$A$2:$C$70,2,FALSE)</f>
        <v>C00000042</v>
      </c>
      <c r="F3948" s="99" t="s">
        <v>2012</v>
      </c>
      <c r="G3948" s="99" t="s">
        <v>1922</v>
      </c>
      <c r="H3948" s="105">
        <v>5</v>
      </c>
      <c r="I3948" s="5" t="str">
        <f>VLOOKUP(F3948,'Set up'!$A$2:$C$70,3,FALSE)</f>
        <v>Cash</v>
      </c>
      <c r="J3948" s="5">
        <f>VLOOKUP(F3948,'Set up'!$A$2:$D$70,4,FALSE)</f>
        <v>0</v>
      </c>
      <c r="K3948" s="4">
        <f t="shared" si="1022"/>
        <v>45787</v>
      </c>
      <c r="L3948" s="5">
        <f t="shared" si="1017"/>
        <v>5</v>
      </c>
      <c r="M3948" s="5">
        <f t="shared" si="1018"/>
        <v>2025</v>
      </c>
      <c r="N3948" s="135">
        <v>1237.5</v>
      </c>
      <c r="P3948" s="12">
        <f t="shared" si="1021"/>
        <v>1237.5</v>
      </c>
      <c r="Q3948" s="7">
        <f t="shared" si="1016"/>
        <v>6535053.7500000019</v>
      </c>
      <c r="R3948" s="44" t="str">
        <f>VLOOKUP(F3948,'Set up'!$A$2:$E$70,5,FALSE)</f>
        <v>Trsf</v>
      </c>
    </row>
    <row r="3949" spans="1:19" ht="16.25" customHeight="1" x14ac:dyDescent="0.35">
      <c r="A3949" s="105" t="s">
        <v>3716</v>
      </c>
      <c r="B3949" s="5">
        <f t="shared" si="1011"/>
        <v>5</v>
      </c>
      <c r="C3949" s="5">
        <f t="shared" si="1012"/>
        <v>2025</v>
      </c>
      <c r="D3949" s="105" t="s">
        <v>3718</v>
      </c>
      <c r="E3949" s="5" t="str">
        <f>VLOOKUP(F3949,'Set up'!$A$2:$C$70,2,FALSE)</f>
        <v>C00000042</v>
      </c>
      <c r="F3949" s="99" t="s">
        <v>2012</v>
      </c>
      <c r="G3949" s="99" t="s">
        <v>2744</v>
      </c>
      <c r="H3949" s="105">
        <v>1</v>
      </c>
      <c r="I3949" s="5" t="str">
        <f>VLOOKUP(F3949,'Set up'!$A$2:$C$70,3,FALSE)</f>
        <v>Cash</v>
      </c>
      <c r="J3949" s="5">
        <f>VLOOKUP(F3949,'Set up'!$A$2:$D$70,4,FALSE)</f>
        <v>0</v>
      </c>
      <c r="K3949" s="4">
        <f t="shared" si="1022"/>
        <v>45787</v>
      </c>
      <c r="L3949" s="5">
        <f t="shared" si="1017"/>
        <v>5</v>
      </c>
      <c r="M3949" s="5">
        <f t="shared" si="1018"/>
        <v>2025</v>
      </c>
      <c r="N3949" s="135">
        <v>975</v>
      </c>
      <c r="P3949" s="12">
        <f t="shared" si="1021"/>
        <v>975</v>
      </c>
      <c r="Q3949" s="7">
        <f t="shared" si="1016"/>
        <v>6536028.7500000019</v>
      </c>
      <c r="R3949" s="44" t="str">
        <f>VLOOKUP(F3949,'Set up'!$A$2:$E$70,5,FALSE)</f>
        <v>Trsf</v>
      </c>
    </row>
    <row r="3950" spans="1:19" ht="16.25" customHeight="1" x14ac:dyDescent="0.35">
      <c r="A3950" s="105" t="s">
        <v>3719</v>
      </c>
      <c r="B3950" s="5">
        <f t="shared" si="1011"/>
        <v>5</v>
      </c>
      <c r="C3950" s="5">
        <f t="shared" si="1012"/>
        <v>2025</v>
      </c>
      <c r="D3950" s="105" t="s">
        <v>3720</v>
      </c>
      <c r="E3950" s="5" t="str">
        <f>VLOOKUP(F3950,'Set up'!$A$2:$C$70,2,FALSE)</f>
        <v>C00000019</v>
      </c>
      <c r="F3950" s="99" t="s">
        <v>400</v>
      </c>
      <c r="G3950" s="99" t="s">
        <v>3122</v>
      </c>
      <c r="H3950" s="105">
        <v>1</v>
      </c>
      <c r="I3950" s="5" t="str">
        <f>VLOOKUP(F3950,'Set up'!$A$2:$C$70,3,FALSE)</f>
        <v>Cash</v>
      </c>
      <c r="J3950" s="5">
        <f>VLOOKUP(F3950,'Set up'!$A$2:$D$70,4,FALSE)</f>
        <v>0</v>
      </c>
      <c r="K3950" s="4">
        <f t="shared" si="1022"/>
        <v>45791</v>
      </c>
      <c r="L3950" s="5">
        <f t="shared" si="1017"/>
        <v>5</v>
      </c>
      <c r="M3950" s="5">
        <f t="shared" si="1018"/>
        <v>2025</v>
      </c>
      <c r="N3950" s="135">
        <v>1755</v>
      </c>
      <c r="P3950" s="12">
        <f t="shared" si="1021"/>
        <v>1755</v>
      </c>
      <c r="Q3950" s="7">
        <f t="shared" si="1016"/>
        <v>6537783.7500000019</v>
      </c>
      <c r="R3950" s="44" t="str">
        <f>VLOOKUP(F3950,'Set up'!$A$2:$E$70,5,FALSE)</f>
        <v>Trsf</v>
      </c>
    </row>
    <row r="3951" spans="1:19" ht="16.25" customHeight="1" x14ac:dyDescent="0.35">
      <c r="A3951" s="105" t="s">
        <v>3719</v>
      </c>
      <c r="B3951" s="5">
        <f t="shared" si="1011"/>
        <v>5</v>
      </c>
      <c r="C3951" s="5">
        <f t="shared" si="1012"/>
        <v>2025</v>
      </c>
      <c r="D3951" s="105" t="s">
        <v>3720</v>
      </c>
      <c r="E3951" s="5" t="str">
        <f>VLOOKUP(F3951,'Set up'!$A$2:$C$70,2,FALSE)</f>
        <v>C00000019</v>
      </c>
      <c r="F3951" s="99" t="s">
        <v>400</v>
      </c>
      <c r="G3951" s="99" t="s">
        <v>1411</v>
      </c>
      <c r="H3951" s="105">
        <v>1</v>
      </c>
      <c r="I3951" s="5" t="str">
        <f>VLOOKUP(F3951,'Set up'!$A$2:$C$70,3,FALSE)</f>
        <v>Cash</v>
      </c>
      <c r="J3951" s="5">
        <f>VLOOKUP(F3951,'Set up'!$A$2:$D$70,4,FALSE)</f>
        <v>0</v>
      </c>
      <c r="K3951" s="4">
        <f t="shared" si="1022"/>
        <v>45791</v>
      </c>
      <c r="L3951" s="5">
        <f t="shared" si="1017"/>
        <v>5</v>
      </c>
      <c r="M3951" s="5">
        <f t="shared" si="1018"/>
        <v>2025</v>
      </c>
      <c r="N3951" s="135">
        <v>405</v>
      </c>
      <c r="P3951" s="12">
        <f t="shared" si="1021"/>
        <v>405</v>
      </c>
      <c r="Q3951" s="7">
        <f t="shared" si="1016"/>
        <v>6538188.7500000019</v>
      </c>
      <c r="R3951" s="44" t="str">
        <f>VLOOKUP(F3951,'Set up'!$A$2:$E$70,5,FALSE)</f>
        <v>Trsf</v>
      </c>
    </row>
    <row r="3952" spans="1:19" ht="16.25" customHeight="1" x14ac:dyDescent="0.35">
      <c r="A3952" s="105" t="s">
        <v>3719</v>
      </c>
      <c r="B3952" s="5">
        <f t="shared" si="1011"/>
        <v>5</v>
      </c>
      <c r="C3952" s="5">
        <f t="shared" si="1012"/>
        <v>2025</v>
      </c>
      <c r="D3952" s="105" t="s">
        <v>3720</v>
      </c>
      <c r="E3952" s="5" t="str">
        <f>VLOOKUP(F3952,'Set up'!$A$2:$C$70,2,FALSE)</f>
        <v>C00000019</v>
      </c>
      <c r="F3952" s="99" t="s">
        <v>400</v>
      </c>
      <c r="G3952" s="99" t="s">
        <v>2144</v>
      </c>
      <c r="H3952" s="105">
        <v>1</v>
      </c>
      <c r="I3952" s="5" t="str">
        <f>VLOOKUP(F3952,'Set up'!$A$2:$C$70,3,FALSE)</f>
        <v>Cash</v>
      </c>
      <c r="J3952" s="5">
        <f>VLOOKUP(F3952,'Set up'!$A$2:$D$70,4,FALSE)</f>
        <v>0</v>
      </c>
      <c r="K3952" s="4">
        <f t="shared" si="1022"/>
        <v>45791</v>
      </c>
      <c r="L3952" s="5">
        <f t="shared" si="1017"/>
        <v>5</v>
      </c>
      <c r="M3952" s="5">
        <f t="shared" si="1018"/>
        <v>2025</v>
      </c>
      <c r="N3952" s="135">
        <v>283.8</v>
      </c>
      <c r="P3952" s="12">
        <f t="shared" si="1021"/>
        <v>283.8</v>
      </c>
      <c r="Q3952" s="7">
        <f t="shared" si="1016"/>
        <v>6538472.5500000017</v>
      </c>
      <c r="R3952" s="44" t="str">
        <f>VLOOKUP(F3952,'Set up'!$A$2:$E$70,5,FALSE)</f>
        <v>Trsf</v>
      </c>
    </row>
    <row r="3953" spans="1:19" ht="16.25" customHeight="1" x14ac:dyDescent="0.35">
      <c r="A3953" s="105" t="s">
        <v>3719</v>
      </c>
      <c r="B3953" s="5">
        <f t="shared" si="1011"/>
        <v>5</v>
      </c>
      <c r="C3953" s="5">
        <f t="shared" si="1012"/>
        <v>2025</v>
      </c>
      <c r="D3953" s="105" t="s">
        <v>3720</v>
      </c>
      <c r="E3953" s="5" t="str">
        <f>VLOOKUP(F3953,'Set up'!$A$2:$C$70,2,FALSE)</f>
        <v>C00000019</v>
      </c>
      <c r="F3953" s="99" t="s">
        <v>400</v>
      </c>
      <c r="G3953" s="99" t="s">
        <v>46</v>
      </c>
      <c r="H3953" s="105">
        <v>1</v>
      </c>
      <c r="I3953" s="5" t="str">
        <f>VLOOKUP(F3953,'Set up'!$A$2:$C$70,3,FALSE)</f>
        <v>Cash</v>
      </c>
      <c r="J3953" s="5">
        <f>VLOOKUP(F3953,'Set up'!$A$2:$D$70,4,FALSE)</f>
        <v>0</v>
      </c>
      <c r="K3953" s="4">
        <f t="shared" si="1022"/>
        <v>45791</v>
      </c>
      <c r="L3953" s="5">
        <f t="shared" si="1017"/>
        <v>5</v>
      </c>
      <c r="M3953" s="5">
        <f t="shared" si="1018"/>
        <v>2025</v>
      </c>
      <c r="N3953" s="135">
        <v>110</v>
      </c>
      <c r="P3953" s="12">
        <f t="shared" si="1021"/>
        <v>110</v>
      </c>
      <c r="Q3953" s="7">
        <f t="shared" si="1016"/>
        <v>6538582.5500000017</v>
      </c>
      <c r="R3953" s="44" t="str">
        <f>VLOOKUP(F3953,'Set up'!$A$2:$E$70,5,FALSE)</f>
        <v>Trsf</v>
      </c>
    </row>
    <row r="3954" spans="1:19" ht="16.25" customHeight="1" x14ac:dyDescent="0.35">
      <c r="A3954" s="105" t="s">
        <v>3719</v>
      </c>
      <c r="B3954" s="5">
        <f t="shared" si="1011"/>
        <v>5</v>
      </c>
      <c r="C3954" s="5">
        <f t="shared" si="1012"/>
        <v>2025</v>
      </c>
      <c r="D3954" s="105" t="s">
        <v>3720</v>
      </c>
      <c r="E3954" s="5" t="str">
        <f>VLOOKUP(F3954,'Set up'!$A$2:$C$70,2,FALSE)</f>
        <v>C00000019</v>
      </c>
      <c r="F3954" s="99" t="s">
        <v>400</v>
      </c>
      <c r="G3954" s="99" t="s">
        <v>1469</v>
      </c>
      <c r="H3954" s="105">
        <v>1</v>
      </c>
      <c r="I3954" s="5" t="str">
        <f>VLOOKUP(F3954,'Set up'!$A$2:$C$70,3,FALSE)</f>
        <v>Cash</v>
      </c>
      <c r="J3954" s="5">
        <f>VLOOKUP(F3954,'Set up'!$A$2:$D$70,4,FALSE)</f>
        <v>0</v>
      </c>
      <c r="K3954" s="4">
        <f t="shared" si="1022"/>
        <v>45791</v>
      </c>
      <c r="L3954" s="5">
        <f t="shared" si="1017"/>
        <v>5</v>
      </c>
      <c r="M3954" s="5">
        <f t="shared" si="1018"/>
        <v>2025</v>
      </c>
      <c r="N3954" s="135">
        <v>390</v>
      </c>
      <c r="P3954" s="12">
        <f t="shared" si="1021"/>
        <v>390</v>
      </c>
      <c r="Q3954" s="7">
        <f t="shared" si="1016"/>
        <v>6538972.5500000017</v>
      </c>
      <c r="R3954" s="44" t="str">
        <f>VLOOKUP(F3954,'Set up'!$A$2:$E$70,5,FALSE)</f>
        <v>Trsf</v>
      </c>
    </row>
    <row r="3955" spans="1:19" ht="16.25" customHeight="1" x14ac:dyDescent="0.35">
      <c r="A3955" s="105" t="s">
        <v>3719</v>
      </c>
      <c r="B3955" s="5">
        <f t="shared" si="1011"/>
        <v>5</v>
      </c>
      <c r="C3955" s="5">
        <f t="shared" si="1012"/>
        <v>2025</v>
      </c>
      <c r="D3955" s="105" t="s">
        <v>3721</v>
      </c>
      <c r="E3955" s="5" t="str">
        <f>VLOOKUP(F3955,'Set up'!$A$2:$C$70,2,FALSE)</f>
        <v>C00000050</v>
      </c>
      <c r="F3955" s="99" t="s">
        <v>2656</v>
      </c>
      <c r="G3955" s="99" t="s">
        <v>3615</v>
      </c>
      <c r="H3955" s="105">
        <v>1</v>
      </c>
      <c r="I3955" s="5" t="str">
        <f>VLOOKUP(F3955,'Set up'!$A$2:$C$70,3,FALSE)</f>
        <v>Cash</v>
      </c>
      <c r="J3955" s="5">
        <f>VLOOKUP(F3955,'Set up'!$A$2:$D$70,4,FALSE)</f>
        <v>0</v>
      </c>
      <c r="K3955" s="4">
        <f t="shared" si="1022"/>
        <v>45791</v>
      </c>
      <c r="L3955" s="5">
        <f t="shared" si="1017"/>
        <v>5</v>
      </c>
      <c r="M3955" s="5">
        <f t="shared" si="1018"/>
        <v>2025</v>
      </c>
      <c r="N3955" s="135">
        <v>1710</v>
      </c>
      <c r="O3955" s="6">
        <f t="shared" ref="O3955:O3958" si="1023">-N3955</f>
        <v>-1710</v>
      </c>
      <c r="P3955" s="12">
        <f t="shared" si="1021"/>
        <v>0</v>
      </c>
      <c r="Q3955" s="7">
        <f t="shared" si="1016"/>
        <v>6540682.5500000017</v>
      </c>
      <c r="R3955" s="44" t="str">
        <f>VLOOKUP(F3955,'Set up'!$A$2:$E$70,5,FALSE)</f>
        <v>Cash</v>
      </c>
      <c r="S3955" s="1" t="s">
        <v>3949</v>
      </c>
    </row>
    <row r="3956" spans="1:19" ht="16.25" customHeight="1" x14ac:dyDescent="0.35">
      <c r="A3956" s="105" t="s">
        <v>3719</v>
      </c>
      <c r="B3956" s="5">
        <f t="shared" si="1011"/>
        <v>5</v>
      </c>
      <c r="C3956" s="5">
        <f t="shared" si="1012"/>
        <v>2025</v>
      </c>
      <c r="D3956" s="105" t="s">
        <v>3721</v>
      </c>
      <c r="E3956" s="5" t="str">
        <f>VLOOKUP(F3956,'Set up'!$A$2:$C$70,2,FALSE)</f>
        <v>C00000050</v>
      </c>
      <c r="F3956" s="99" t="s">
        <v>2656</v>
      </c>
      <c r="G3956" s="99" t="s">
        <v>2434</v>
      </c>
      <c r="H3956" s="105">
        <v>1</v>
      </c>
      <c r="I3956" s="5" t="str">
        <f>VLOOKUP(F3956,'Set up'!$A$2:$C$70,3,FALSE)</f>
        <v>Cash</v>
      </c>
      <c r="J3956" s="5">
        <f>VLOOKUP(F3956,'Set up'!$A$2:$D$70,4,FALSE)</f>
        <v>0</v>
      </c>
      <c r="K3956" s="4">
        <f t="shared" si="1022"/>
        <v>45791</v>
      </c>
      <c r="L3956" s="5">
        <f t="shared" si="1017"/>
        <v>5</v>
      </c>
      <c r="M3956" s="5">
        <f t="shared" si="1018"/>
        <v>2025</v>
      </c>
      <c r="N3956" s="135">
        <v>277.5</v>
      </c>
      <c r="O3956" s="6">
        <f t="shared" si="1023"/>
        <v>-277.5</v>
      </c>
      <c r="P3956" s="12">
        <f t="shared" si="1021"/>
        <v>0</v>
      </c>
      <c r="Q3956" s="7">
        <f t="shared" si="1016"/>
        <v>6540960.0500000017</v>
      </c>
      <c r="R3956" s="44" t="str">
        <f>VLOOKUP(F3956,'Set up'!$A$2:$E$70,5,FALSE)</f>
        <v>Cash</v>
      </c>
      <c r="S3956" s="1" t="s">
        <v>3949</v>
      </c>
    </row>
    <row r="3957" spans="1:19" ht="16.25" customHeight="1" x14ac:dyDescent="0.35">
      <c r="A3957" s="105" t="s">
        <v>3719</v>
      </c>
      <c r="B3957" s="5">
        <f t="shared" si="1011"/>
        <v>5</v>
      </c>
      <c r="C3957" s="5">
        <f t="shared" si="1012"/>
        <v>2025</v>
      </c>
      <c r="D3957" s="105" t="s">
        <v>3721</v>
      </c>
      <c r="E3957" s="5" t="str">
        <f>VLOOKUP(F3957,'Set up'!$A$2:$C$70,2,FALSE)</f>
        <v>C00000050</v>
      </c>
      <c r="F3957" s="99" t="s">
        <v>2656</v>
      </c>
      <c r="G3957" s="99" t="s">
        <v>1061</v>
      </c>
      <c r="H3957" s="105">
        <v>1</v>
      </c>
      <c r="I3957" s="5" t="str">
        <f>VLOOKUP(F3957,'Set up'!$A$2:$C$70,3,FALSE)</f>
        <v>Cash</v>
      </c>
      <c r="J3957" s="5">
        <f>VLOOKUP(F3957,'Set up'!$A$2:$D$70,4,FALSE)</f>
        <v>0</v>
      </c>
      <c r="K3957" s="4">
        <f t="shared" si="1022"/>
        <v>45791</v>
      </c>
      <c r="L3957" s="5">
        <f t="shared" si="1017"/>
        <v>5</v>
      </c>
      <c r="M3957" s="5">
        <f t="shared" si="1018"/>
        <v>2025</v>
      </c>
      <c r="N3957" s="135">
        <v>95</v>
      </c>
      <c r="O3957" s="6">
        <f t="shared" si="1023"/>
        <v>-95</v>
      </c>
      <c r="P3957" s="12">
        <f t="shared" si="1021"/>
        <v>0</v>
      </c>
      <c r="Q3957" s="7">
        <f t="shared" si="1016"/>
        <v>6541055.0500000017</v>
      </c>
      <c r="R3957" s="44" t="str">
        <f>VLOOKUP(F3957,'Set up'!$A$2:$E$70,5,FALSE)</f>
        <v>Cash</v>
      </c>
      <c r="S3957" s="1" t="s">
        <v>3949</v>
      </c>
    </row>
    <row r="3958" spans="1:19" ht="16.25" customHeight="1" x14ac:dyDescent="0.35">
      <c r="A3958" s="105" t="s">
        <v>3719</v>
      </c>
      <c r="B3958" s="5">
        <f t="shared" si="1011"/>
        <v>5</v>
      </c>
      <c r="C3958" s="5">
        <f t="shared" si="1012"/>
        <v>2025</v>
      </c>
      <c r="D3958" s="105" t="s">
        <v>3721</v>
      </c>
      <c r="E3958" s="5" t="str">
        <f>VLOOKUP(F3958,'Set up'!$A$2:$C$70,2,FALSE)</f>
        <v>C00000050</v>
      </c>
      <c r="F3958" s="99" t="s">
        <v>2656</v>
      </c>
      <c r="G3958" s="99" t="s">
        <v>800</v>
      </c>
      <c r="H3958" s="105">
        <v>1</v>
      </c>
      <c r="I3958" s="5" t="str">
        <f>VLOOKUP(F3958,'Set up'!$A$2:$C$70,3,FALSE)</f>
        <v>Cash</v>
      </c>
      <c r="J3958" s="5">
        <f>VLOOKUP(F3958,'Set up'!$A$2:$D$70,4,FALSE)</f>
        <v>0</v>
      </c>
      <c r="K3958" s="4">
        <f t="shared" si="1022"/>
        <v>45791</v>
      </c>
      <c r="L3958" s="5">
        <f t="shared" si="1017"/>
        <v>5</v>
      </c>
      <c r="M3958" s="5">
        <f t="shared" si="1018"/>
        <v>2025</v>
      </c>
      <c r="N3958" s="135">
        <v>225</v>
      </c>
      <c r="O3958" s="6">
        <f t="shared" si="1023"/>
        <v>-225</v>
      </c>
      <c r="P3958" s="12">
        <f t="shared" si="1021"/>
        <v>0</v>
      </c>
      <c r="Q3958" s="7">
        <f t="shared" si="1016"/>
        <v>6541280.0500000017</v>
      </c>
      <c r="R3958" s="44" t="str">
        <f>VLOOKUP(F3958,'Set up'!$A$2:$E$70,5,FALSE)</f>
        <v>Cash</v>
      </c>
      <c r="S3958" s="1" t="s">
        <v>3949</v>
      </c>
    </row>
    <row r="3959" spans="1:19" ht="16.25" customHeight="1" x14ac:dyDescent="0.35">
      <c r="A3959" s="105" t="s">
        <v>3719</v>
      </c>
      <c r="B3959" s="5">
        <f t="shared" si="1011"/>
        <v>5</v>
      </c>
      <c r="C3959" s="5">
        <f t="shared" si="1012"/>
        <v>2025</v>
      </c>
      <c r="D3959" s="105" t="s">
        <v>3722</v>
      </c>
      <c r="E3959" s="5" t="str">
        <f>VLOOKUP(F3959,'Set up'!$A$2:$C$70,2,FALSE)</f>
        <v>C00000042</v>
      </c>
      <c r="F3959" s="99" t="s">
        <v>2012</v>
      </c>
      <c r="G3959" s="99" t="s">
        <v>3217</v>
      </c>
      <c r="H3959" s="105">
        <v>2</v>
      </c>
      <c r="I3959" s="5" t="str">
        <f>VLOOKUP(F3959,'Set up'!$A$2:$C$70,3,FALSE)</f>
        <v>Cash</v>
      </c>
      <c r="J3959" s="5">
        <f>VLOOKUP(F3959,'Set up'!$A$2:$D$70,4,FALSE)</f>
        <v>0</v>
      </c>
      <c r="K3959" s="4">
        <f t="shared" si="1022"/>
        <v>45791</v>
      </c>
      <c r="L3959" s="5">
        <f t="shared" si="1017"/>
        <v>5</v>
      </c>
      <c r="M3959" s="5">
        <f t="shared" si="1018"/>
        <v>2025</v>
      </c>
      <c r="N3959" s="135">
        <v>3240</v>
      </c>
      <c r="P3959" s="12">
        <f t="shared" si="1021"/>
        <v>3240</v>
      </c>
      <c r="Q3959" s="7">
        <f t="shared" si="1016"/>
        <v>6544520.0500000017</v>
      </c>
      <c r="R3959" s="44" t="str">
        <f>VLOOKUP(F3959,'Set up'!$A$2:$E$70,5,FALSE)</f>
        <v>Trsf</v>
      </c>
    </row>
    <row r="3960" spans="1:19" ht="16.25" customHeight="1" x14ac:dyDescent="0.35">
      <c r="A3960" s="105" t="s">
        <v>3719</v>
      </c>
      <c r="B3960" s="5">
        <f t="shared" si="1011"/>
        <v>5</v>
      </c>
      <c r="C3960" s="5">
        <f t="shared" si="1012"/>
        <v>2025</v>
      </c>
      <c r="D3960" s="105" t="s">
        <v>3722</v>
      </c>
      <c r="E3960" s="5" t="str">
        <f>VLOOKUP(F3960,'Set up'!$A$2:$C$70,2,FALSE)</f>
        <v>C00000042</v>
      </c>
      <c r="F3960" s="99" t="s">
        <v>2012</v>
      </c>
      <c r="G3960" s="99" t="s">
        <v>2129</v>
      </c>
      <c r="H3960" s="105">
        <v>3</v>
      </c>
      <c r="I3960" s="5" t="str">
        <f>VLOOKUP(F3960,'Set up'!$A$2:$C$70,3,FALSE)</f>
        <v>Cash</v>
      </c>
      <c r="J3960" s="5">
        <f>VLOOKUP(F3960,'Set up'!$A$2:$D$70,4,FALSE)</f>
        <v>0</v>
      </c>
      <c r="K3960" s="4">
        <f t="shared" si="1022"/>
        <v>45791</v>
      </c>
      <c r="L3960" s="5">
        <f t="shared" si="1017"/>
        <v>5</v>
      </c>
      <c r="M3960" s="5">
        <f t="shared" si="1018"/>
        <v>2025</v>
      </c>
      <c r="N3960" s="135">
        <v>654.9</v>
      </c>
      <c r="P3960" s="12">
        <f t="shared" si="1021"/>
        <v>654.9</v>
      </c>
      <c r="Q3960" s="7">
        <f t="shared" si="1016"/>
        <v>6545174.950000002</v>
      </c>
      <c r="R3960" s="44" t="str">
        <f>VLOOKUP(F3960,'Set up'!$A$2:$E$70,5,FALSE)</f>
        <v>Trsf</v>
      </c>
    </row>
    <row r="3961" spans="1:19" ht="16.25" customHeight="1" x14ac:dyDescent="0.35">
      <c r="A3961" s="105" t="s">
        <v>3719</v>
      </c>
      <c r="B3961" s="5">
        <f t="shared" si="1011"/>
        <v>5</v>
      </c>
      <c r="C3961" s="5">
        <f t="shared" si="1012"/>
        <v>2025</v>
      </c>
      <c r="D3961" s="105" t="s">
        <v>3722</v>
      </c>
      <c r="E3961" s="5" t="str">
        <f>VLOOKUP(F3961,'Set up'!$A$2:$C$70,2,FALSE)</f>
        <v>C00000042</v>
      </c>
      <c r="F3961" s="99" t="s">
        <v>2012</v>
      </c>
      <c r="G3961" s="99" t="s">
        <v>1922</v>
      </c>
      <c r="H3961" s="105">
        <v>2</v>
      </c>
      <c r="I3961" s="5" t="str">
        <f>VLOOKUP(F3961,'Set up'!$A$2:$C$70,3,FALSE)</f>
        <v>Cash</v>
      </c>
      <c r="J3961" s="5">
        <f>VLOOKUP(F3961,'Set up'!$A$2:$D$70,4,FALSE)</f>
        <v>0</v>
      </c>
      <c r="K3961" s="4">
        <f t="shared" si="1022"/>
        <v>45791</v>
      </c>
      <c r="L3961" s="5">
        <f t="shared" si="1017"/>
        <v>5</v>
      </c>
      <c r="M3961" s="5">
        <f t="shared" si="1018"/>
        <v>2025</v>
      </c>
      <c r="N3961" s="135">
        <v>495</v>
      </c>
      <c r="P3961" s="12">
        <f t="shared" si="1021"/>
        <v>495</v>
      </c>
      <c r="Q3961" s="7">
        <f t="shared" si="1016"/>
        <v>6545669.950000002</v>
      </c>
      <c r="R3961" s="44" t="str">
        <f>VLOOKUP(F3961,'Set up'!$A$2:$E$70,5,FALSE)</f>
        <v>Trsf</v>
      </c>
    </row>
    <row r="3962" spans="1:19" ht="16.25" customHeight="1" x14ac:dyDescent="0.35">
      <c r="A3962" s="105" t="s">
        <v>3723</v>
      </c>
      <c r="B3962" s="5">
        <f t="shared" si="1011"/>
        <v>5</v>
      </c>
      <c r="C3962" s="5">
        <f t="shared" si="1012"/>
        <v>2025</v>
      </c>
      <c r="D3962" s="105" t="s">
        <v>3724</v>
      </c>
      <c r="E3962" s="5" t="str">
        <f>VLOOKUP(F3962,'Set up'!$A$2:$C$70,2,FALSE)</f>
        <v>C00000013</v>
      </c>
      <c r="F3962" s="99" t="s">
        <v>3549</v>
      </c>
      <c r="G3962" s="99" t="s">
        <v>3533</v>
      </c>
      <c r="H3962" s="105">
        <v>9</v>
      </c>
      <c r="I3962" s="5" t="str">
        <f>VLOOKUP(F3962,'Set up'!$A$2:$C$70,3,FALSE)</f>
        <v>Cash</v>
      </c>
      <c r="J3962" s="5">
        <f>VLOOKUP(F3962,'Set up'!$A$2:$D$70,4,FALSE)</f>
        <v>0</v>
      </c>
      <c r="K3962" s="4">
        <f t="shared" si="1022"/>
        <v>45792</v>
      </c>
      <c r="L3962" s="5">
        <f t="shared" si="1017"/>
        <v>5</v>
      </c>
      <c r="M3962" s="5">
        <f t="shared" si="1018"/>
        <v>2025</v>
      </c>
      <c r="N3962" s="135">
        <v>15592.5</v>
      </c>
      <c r="O3962" s="6">
        <f t="shared" ref="O3962:O3969" si="1024">-N3962</f>
        <v>-15592.5</v>
      </c>
      <c r="P3962" s="12">
        <f t="shared" si="1021"/>
        <v>0</v>
      </c>
      <c r="Q3962" s="7">
        <f t="shared" si="1016"/>
        <v>6561262.450000002</v>
      </c>
      <c r="R3962" s="44" t="str">
        <f>VLOOKUP(F3962,'Set up'!$A$2:$E$70,5,FALSE)</f>
        <v>Chq</v>
      </c>
      <c r="S3962" s="1" t="s">
        <v>3825</v>
      </c>
    </row>
    <row r="3963" spans="1:19" ht="16.25" customHeight="1" x14ac:dyDescent="0.35">
      <c r="A3963" s="105" t="s">
        <v>3723</v>
      </c>
      <c r="B3963" s="5">
        <f t="shared" si="1011"/>
        <v>5</v>
      </c>
      <c r="C3963" s="5">
        <f t="shared" si="1012"/>
        <v>2025</v>
      </c>
      <c r="D3963" s="105" t="s">
        <v>3724</v>
      </c>
      <c r="E3963" s="5" t="str">
        <f>VLOOKUP(F3963,'Set up'!$A$2:$C$70,2,FALSE)</f>
        <v>C00000013</v>
      </c>
      <c r="F3963" s="99" t="s">
        <v>3549</v>
      </c>
      <c r="G3963" s="99" t="s">
        <v>1739</v>
      </c>
      <c r="H3963" s="105">
        <v>7</v>
      </c>
      <c r="I3963" s="5" t="str">
        <f>VLOOKUP(F3963,'Set up'!$A$2:$C$70,3,FALSE)</f>
        <v>Cash</v>
      </c>
      <c r="J3963" s="5">
        <f>VLOOKUP(F3963,'Set up'!$A$2:$D$70,4,FALSE)</f>
        <v>0</v>
      </c>
      <c r="K3963" s="4">
        <f t="shared" si="1022"/>
        <v>45792</v>
      </c>
      <c r="L3963" s="5">
        <f t="shared" si="1017"/>
        <v>5</v>
      </c>
      <c r="M3963" s="5">
        <f t="shared" si="1018"/>
        <v>2025</v>
      </c>
      <c r="N3963" s="135">
        <v>2835</v>
      </c>
      <c r="O3963" s="6">
        <f t="shared" si="1024"/>
        <v>-2835</v>
      </c>
      <c r="P3963" s="12">
        <f t="shared" si="1021"/>
        <v>0</v>
      </c>
      <c r="Q3963" s="7">
        <f t="shared" si="1016"/>
        <v>6564097.450000002</v>
      </c>
      <c r="R3963" s="44" t="str">
        <f>VLOOKUP(F3963,'Set up'!$A$2:$E$70,5,FALSE)</f>
        <v>Chq</v>
      </c>
      <c r="S3963" s="1" t="s">
        <v>3825</v>
      </c>
    </row>
    <row r="3964" spans="1:19" ht="16.25" customHeight="1" x14ac:dyDescent="0.35">
      <c r="A3964" s="105" t="s">
        <v>3723</v>
      </c>
      <c r="B3964" s="5">
        <f t="shared" si="1011"/>
        <v>5</v>
      </c>
      <c r="C3964" s="5">
        <f t="shared" si="1012"/>
        <v>2025</v>
      </c>
      <c r="D3964" s="105" t="s">
        <v>3724</v>
      </c>
      <c r="E3964" s="5" t="str">
        <f>VLOOKUP(F3964,'Set up'!$A$2:$C$70,2,FALSE)</f>
        <v>C00000013</v>
      </c>
      <c r="F3964" s="99" t="s">
        <v>3549</v>
      </c>
      <c r="G3964" s="99" t="s">
        <v>1740</v>
      </c>
      <c r="H3964" s="105">
        <v>7</v>
      </c>
      <c r="I3964" s="5" t="str">
        <f>VLOOKUP(F3964,'Set up'!$A$2:$C$70,3,FALSE)</f>
        <v>Cash</v>
      </c>
      <c r="J3964" s="5">
        <f>VLOOKUP(F3964,'Set up'!$A$2:$D$70,4,FALSE)</f>
        <v>0</v>
      </c>
      <c r="K3964" s="4">
        <f t="shared" si="1022"/>
        <v>45792</v>
      </c>
      <c r="L3964" s="5">
        <f t="shared" si="1017"/>
        <v>5</v>
      </c>
      <c r="M3964" s="5">
        <f t="shared" si="1018"/>
        <v>2025</v>
      </c>
      <c r="N3964" s="135">
        <v>2835</v>
      </c>
      <c r="O3964" s="6">
        <f t="shared" si="1024"/>
        <v>-2835</v>
      </c>
      <c r="P3964" s="12">
        <f t="shared" si="1021"/>
        <v>0</v>
      </c>
      <c r="Q3964" s="7">
        <f t="shared" si="1016"/>
        <v>6566932.450000002</v>
      </c>
      <c r="R3964" s="44" t="str">
        <f>VLOOKUP(F3964,'Set up'!$A$2:$E$70,5,FALSE)</f>
        <v>Chq</v>
      </c>
      <c r="S3964" s="1" t="s">
        <v>3825</v>
      </c>
    </row>
    <row r="3965" spans="1:19" ht="16.25" customHeight="1" x14ac:dyDescent="0.35">
      <c r="A3965" s="105" t="s">
        <v>3723</v>
      </c>
      <c r="B3965" s="5">
        <f t="shared" si="1011"/>
        <v>5</v>
      </c>
      <c r="C3965" s="5">
        <f t="shared" si="1012"/>
        <v>2025</v>
      </c>
      <c r="D3965" s="105" t="s">
        <v>3724</v>
      </c>
      <c r="E3965" s="5" t="str">
        <f>VLOOKUP(F3965,'Set up'!$A$2:$C$70,2,FALSE)</f>
        <v>C00000013</v>
      </c>
      <c r="F3965" s="99" t="s">
        <v>3549</v>
      </c>
      <c r="G3965" s="99" t="s">
        <v>3725</v>
      </c>
      <c r="H3965" s="105">
        <v>21</v>
      </c>
      <c r="I3965" s="5" t="str">
        <f>VLOOKUP(F3965,'Set up'!$A$2:$C$70,3,FALSE)</f>
        <v>Cash</v>
      </c>
      <c r="J3965" s="5">
        <f>VLOOKUP(F3965,'Set up'!$A$2:$D$70,4,FALSE)</f>
        <v>0</v>
      </c>
      <c r="K3965" s="4">
        <f t="shared" si="1022"/>
        <v>45792</v>
      </c>
      <c r="L3965" s="5">
        <f t="shared" si="1017"/>
        <v>5</v>
      </c>
      <c r="M3965" s="5">
        <f t="shared" si="1018"/>
        <v>2025</v>
      </c>
      <c r="N3965" s="135">
        <v>5959.8</v>
      </c>
      <c r="O3965" s="6">
        <f t="shared" si="1024"/>
        <v>-5959.8</v>
      </c>
      <c r="P3965" s="12">
        <f t="shared" si="1021"/>
        <v>0</v>
      </c>
      <c r="Q3965" s="7">
        <f t="shared" si="1016"/>
        <v>6572892.2500000019</v>
      </c>
      <c r="R3965" s="44" t="str">
        <f>VLOOKUP(F3965,'Set up'!$A$2:$E$70,5,FALSE)</f>
        <v>Chq</v>
      </c>
      <c r="S3965" s="1" t="s">
        <v>3825</v>
      </c>
    </row>
    <row r="3966" spans="1:19" ht="16.25" customHeight="1" x14ac:dyDescent="0.35">
      <c r="A3966" s="105" t="s">
        <v>3723</v>
      </c>
      <c r="B3966" s="5">
        <f t="shared" si="1011"/>
        <v>5</v>
      </c>
      <c r="C3966" s="5">
        <f t="shared" si="1012"/>
        <v>2025</v>
      </c>
      <c r="D3966" s="105" t="s">
        <v>3724</v>
      </c>
      <c r="E3966" s="5" t="str">
        <f>VLOOKUP(F3966,'Set up'!$A$2:$C$70,2,FALSE)</f>
        <v>C00000013</v>
      </c>
      <c r="F3966" s="99" t="s">
        <v>3549</v>
      </c>
      <c r="G3966" s="99" t="s">
        <v>1741</v>
      </c>
      <c r="H3966" s="105">
        <v>2</v>
      </c>
      <c r="I3966" s="5" t="str">
        <f>VLOOKUP(F3966,'Set up'!$A$2:$C$70,3,FALSE)</f>
        <v>Cash</v>
      </c>
      <c r="J3966" s="5">
        <f>VLOOKUP(F3966,'Set up'!$A$2:$D$70,4,FALSE)</f>
        <v>0</v>
      </c>
      <c r="K3966" s="4">
        <f t="shared" si="1022"/>
        <v>45792</v>
      </c>
      <c r="L3966" s="5">
        <f t="shared" si="1017"/>
        <v>5</v>
      </c>
      <c r="M3966" s="5">
        <f t="shared" si="1018"/>
        <v>2025</v>
      </c>
      <c r="N3966" s="135">
        <v>1750</v>
      </c>
      <c r="O3966" s="6">
        <f t="shared" si="1024"/>
        <v>-1750</v>
      </c>
      <c r="P3966" s="12">
        <f t="shared" si="1021"/>
        <v>0</v>
      </c>
      <c r="Q3966" s="7">
        <f t="shared" si="1016"/>
        <v>6574642.2500000019</v>
      </c>
      <c r="R3966" s="44" t="str">
        <f>VLOOKUP(F3966,'Set up'!$A$2:$E$70,5,FALSE)</f>
        <v>Chq</v>
      </c>
      <c r="S3966" s="1" t="s">
        <v>3825</v>
      </c>
    </row>
    <row r="3967" spans="1:19" ht="16.25" customHeight="1" x14ac:dyDescent="0.35">
      <c r="A3967" s="105" t="s">
        <v>3723</v>
      </c>
      <c r="B3967" s="5">
        <f t="shared" si="1011"/>
        <v>5</v>
      </c>
      <c r="C3967" s="5">
        <f t="shared" si="1012"/>
        <v>2025</v>
      </c>
      <c r="D3967" s="105" t="s">
        <v>3724</v>
      </c>
      <c r="E3967" s="5" t="str">
        <f>VLOOKUP(F3967,'Set up'!$A$2:$C$70,2,FALSE)</f>
        <v>C00000013</v>
      </c>
      <c r="F3967" s="99" t="s">
        <v>3549</v>
      </c>
      <c r="G3967" s="99" t="s">
        <v>1743</v>
      </c>
      <c r="H3967" s="105">
        <v>2</v>
      </c>
      <c r="I3967" s="5" t="str">
        <f>VLOOKUP(F3967,'Set up'!$A$2:$C$70,3,FALSE)</f>
        <v>Cash</v>
      </c>
      <c r="J3967" s="5">
        <f>VLOOKUP(F3967,'Set up'!$A$2:$D$70,4,FALSE)</f>
        <v>0</v>
      </c>
      <c r="K3967" s="4">
        <f t="shared" si="1022"/>
        <v>45792</v>
      </c>
      <c r="L3967" s="5">
        <f t="shared" si="1017"/>
        <v>5</v>
      </c>
      <c r="M3967" s="5">
        <f t="shared" si="1018"/>
        <v>2025</v>
      </c>
      <c r="N3967" s="135">
        <v>110.4</v>
      </c>
      <c r="O3967" s="6">
        <f t="shared" si="1024"/>
        <v>-110.4</v>
      </c>
      <c r="P3967" s="12">
        <f t="shared" si="1021"/>
        <v>0</v>
      </c>
      <c r="Q3967" s="7">
        <f t="shared" si="1016"/>
        <v>6574752.6500000022</v>
      </c>
      <c r="R3967" s="44" t="str">
        <f>VLOOKUP(F3967,'Set up'!$A$2:$E$70,5,FALSE)</f>
        <v>Chq</v>
      </c>
      <c r="S3967" s="1" t="s">
        <v>3825</v>
      </c>
    </row>
    <row r="3968" spans="1:19" ht="16.25" customHeight="1" x14ac:dyDescent="0.35">
      <c r="A3968" s="105" t="s">
        <v>3723</v>
      </c>
      <c r="B3968" s="5">
        <f t="shared" si="1011"/>
        <v>5</v>
      </c>
      <c r="C3968" s="5">
        <f t="shared" si="1012"/>
        <v>2025</v>
      </c>
      <c r="D3968" s="105" t="s">
        <v>3724</v>
      </c>
      <c r="E3968" s="5" t="str">
        <f>VLOOKUP(F3968,'Set up'!$A$2:$C$70,2,FALSE)</f>
        <v>C00000013</v>
      </c>
      <c r="F3968" s="99" t="s">
        <v>3549</v>
      </c>
      <c r="G3968" s="99" t="s">
        <v>1744</v>
      </c>
      <c r="H3968" s="105">
        <v>1</v>
      </c>
      <c r="I3968" s="5" t="str">
        <f>VLOOKUP(F3968,'Set up'!$A$2:$C$70,3,FALSE)</f>
        <v>Cash</v>
      </c>
      <c r="J3968" s="5">
        <f>VLOOKUP(F3968,'Set up'!$A$2:$D$70,4,FALSE)</f>
        <v>0</v>
      </c>
      <c r="K3968" s="4">
        <f t="shared" si="1022"/>
        <v>45792</v>
      </c>
      <c r="L3968" s="5">
        <f t="shared" si="1017"/>
        <v>5</v>
      </c>
      <c r="M3968" s="5">
        <f t="shared" si="1018"/>
        <v>2025</v>
      </c>
      <c r="N3968" s="135">
        <v>1108.4000000000001</v>
      </c>
      <c r="O3968" s="6">
        <f t="shared" si="1024"/>
        <v>-1108.4000000000001</v>
      </c>
      <c r="P3968" s="12">
        <f t="shared" si="1021"/>
        <v>0</v>
      </c>
      <c r="Q3968" s="7">
        <f t="shared" si="1016"/>
        <v>6575861.0500000026</v>
      </c>
      <c r="R3968" s="44" t="str">
        <f>VLOOKUP(F3968,'Set up'!$A$2:$E$70,5,FALSE)</f>
        <v>Chq</v>
      </c>
      <c r="S3968" s="1" t="s">
        <v>3825</v>
      </c>
    </row>
    <row r="3969" spans="1:19" ht="16.25" customHeight="1" x14ac:dyDescent="0.35">
      <c r="A3969" s="105" t="s">
        <v>3723</v>
      </c>
      <c r="B3969" s="5">
        <f t="shared" si="1011"/>
        <v>5</v>
      </c>
      <c r="C3969" s="5">
        <f t="shared" si="1012"/>
        <v>2025</v>
      </c>
      <c r="D3969" s="105" t="s">
        <v>3724</v>
      </c>
      <c r="E3969" s="5" t="str">
        <f>VLOOKUP(F3969,'Set up'!$A$2:$C$70,2,FALSE)</f>
        <v>C00000013</v>
      </c>
      <c r="F3969" s="99" t="s">
        <v>3549</v>
      </c>
      <c r="G3969" s="99" t="s">
        <v>1469</v>
      </c>
      <c r="H3969" s="105">
        <v>5</v>
      </c>
      <c r="I3969" s="5" t="str">
        <f>VLOOKUP(F3969,'Set up'!$A$2:$C$70,3,FALSE)</f>
        <v>Cash</v>
      </c>
      <c r="J3969" s="5">
        <f>VLOOKUP(F3969,'Set up'!$A$2:$D$70,4,FALSE)</f>
        <v>0</v>
      </c>
      <c r="K3969" s="4">
        <f t="shared" si="1022"/>
        <v>45792</v>
      </c>
      <c r="L3969" s="5">
        <f t="shared" si="1017"/>
        <v>5</v>
      </c>
      <c r="M3969" s="5">
        <f t="shared" si="1018"/>
        <v>2025</v>
      </c>
      <c r="N3969" s="135">
        <v>2150</v>
      </c>
      <c r="O3969" s="6">
        <f t="shared" si="1024"/>
        <v>-2150</v>
      </c>
      <c r="P3969" s="12">
        <f t="shared" si="1021"/>
        <v>0</v>
      </c>
      <c r="Q3969" s="7">
        <f t="shared" si="1016"/>
        <v>6578011.0500000026</v>
      </c>
      <c r="R3969" s="44" t="str">
        <f>VLOOKUP(F3969,'Set up'!$A$2:$E$70,5,FALSE)</f>
        <v>Chq</v>
      </c>
      <c r="S3969" s="1" t="s">
        <v>3825</v>
      </c>
    </row>
    <row r="3970" spans="1:19" ht="16.25" customHeight="1" x14ac:dyDescent="0.35">
      <c r="A3970" s="105" t="s">
        <v>3726</v>
      </c>
      <c r="B3970" s="5">
        <f t="shared" si="1011"/>
        <v>5</v>
      </c>
      <c r="C3970" s="5">
        <f t="shared" si="1012"/>
        <v>2025</v>
      </c>
      <c r="D3970" s="105" t="s">
        <v>3727</v>
      </c>
      <c r="E3970" s="5" t="str">
        <f>VLOOKUP(F3970,'Set up'!$A$2:$C$70,2,FALSE)</f>
        <v>C00000042</v>
      </c>
      <c r="F3970" s="99" t="s">
        <v>2012</v>
      </c>
      <c r="G3970" s="99" t="s">
        <v>2646</v>
      </c>
      <c r="H3970" s="105">
        <v>1</v>
      </c>
      <c r="I3970" s="5" t="str">
        <f>VLOOKUP(F3970,'Set up'!$A$2:$C$70,3,FALSE)</f>
        <v>Cash</v>
      </c>
      <c r="J3970" s="5">
        <f>VLOOKUP(F3970,'Set up'!$A$2:$D$70,4,FALSE)</f>
        <v>0</v>
      </c>
      <c r="K3970" s="4">
        <f t="shared" si="1022"/>
        <v>45793</v>
      </c>
      <c r="L3970" s="5">
        <f t="shared" si="1017"/>
        <v>5</v>
      </c>
      <c r="M3970" s="5">
        <f t="shared" si="1018"/>
        <v>2025</v>
      </c>
      <c r="N3970" s="135">
        <v>62.5</v>
      </c>
      <c r="P3970" s="12">
        <f t="shared" si="1021"/>
        <v>62.5</v>
      </c>
      <c r="Q3970" s="7">
        <f t="shared" si="1016"/>
        <v>6578073.5500000026</v>
      </c>
      <c r="R3970" s="44" t="str">
        <f>VLOOKUP(F3970,'Set up'!$A$2:$E$70,5,FALSE)</f>
        <v>Trsf</v>
      </c>
    </row>
    <row r="3971" spans="1:19" ht="16.25" customHeight="1" x14ac:dyDescent="0.35">
      <c r="A3971" s="105" t="s">
        <v>3726</v>
      </c>
      <c r="B3971" s="5">
        <f t="shared" ref="B3971:B4034" si="1025">MONTH(A3971)</f>
        <v>5</v>
      </c>
      <c r="C3971" s="5">
        <f t="shared" ref="C3971:C4034" si="1026">YEAR(A3971)</f>
        <v>2025</v>
      </c>
      <c r="D3971" s="105" t="s">
        <v>3728</v>
      </c>
      <c r="E3971" s="5" t="str">
        <f>VLOOKUP(F3971,'Set up'!$A$2:$C$70,2,FALSE)</f>
        <v>C00000042</v>
      </c>
      <c r="F3971" s="99" t="s">
        <v>2012</v>
      </c>
      <c r="G3971" s="99" t="s">
        <v>3217</v>
      </c>
      <c r="H3971" s="105">
        <v>1</v>
      </c>
      <c r="I3971" s="5" t="str">
        <f>VLOOKUP(F3971,'Set up'!$A$2:$C$70,3,FALSE)</f>
        <v>Cash</v>
      </c>
      <c r="J3971" s="5">
        <f>VLOOKUP(F3971,'Set up'!$A$2:$D$70,4,FALSE)</f>
        <v>0</v>
      </c>
      <c r="K3971" s="4">
        <f t="shared" si="1022"/>
        <v>45793</v>
      </c>
      <c r="L3971" s="5">
        <f t="shared" si="1017"/>
        <v>5</v>
      </c>
      <c r="M3971" s="5">
        <f t="shared" si="1018"/>
        <v>2025</v>
      </c>
      <c r="N3971" s="135">
        <v>1620</v>
      </c>
      <c r="P3971" s="12">
        <f t="shared" si="1021"/>
        <v>1620</v>
      </c>
      <c r="Q3971" s="7">
        <f t="shared" si="1016"/>
        <v>6579693.5500000026</v>
      </c>
      <c r="R3971" s="44" t="str">
        <f>VLOOKUP(F3971,'Set up'!$A$2:$E$70,5,FALSE)</f>
        <v>Trsf</v>
      </c>
    </row>
    <row r="3972" spans="1:19" ht="16.25" customHeight="1" x14ac:dyDescent="0.35">
      <c r="A3972" s="105" t="s">
        <v>3726</v>
      </c>
      <c r="B3972" s="5">
        <f t="shared" si="1025"/>
        <v>5</v>
      </c>
      <c r="C3972" s="5">
        <f t="shared" si="1026"/>
        <v>2025</v>
      </c>
      <c r="D3972" s="105" t="s">
        <v>3728</v>
      </c>
      <c r="E3972" s="5" t="str">
        <f>VLOOKUP(F3972,'Set up'!$A$2:$C$70,2,FALSE)</f>
        <v>C00000042</v>
      </c>
      <c r="F3972" s="99" t="s">
        <v>2012</v>
      </c>
      <c r="G3972" s="99" t="s">
        <v>2129</v>
      </c>
      <c r="H3972" s="105">
        <v>3</v>
      </c>
      <c r="I3972" s="5" t="str">
        <f>VLOOKUP(F3972,'Set up'!$A$2:$C$70,3,FALSE)</f>
        <v>Cash</v>
      </c>
      <c r="J3972" s="5">
        <f>VLOOKUP(F3972,'Set up'!$A$2:$D$70,4,FALSE)</f>
        <v>0</v>
      </c>
      <c r="K3972" s="4">
        <f t="shared" si="1022"/>
        <v>45793</v>
      </c>
      <c r="L3972" s="5">
        <f t="shared" si="1017"/>
        <v>5</v>
      </c>
      <c r="M3972" s="5">
        <f t="shared" si="1018"/>
        <v>2025</v>
      </c>
      <c r="N3972" s="135">
        <v>654.9</v>
      </c>
      <c r="P3972" s="12">
        <f t="shared" si="1021"/>
        <v>654.9</v>
      </c>
      <c r="Q3972" s="7">
        <f t="shared" si="1016"/>
        <v>6580348.450000003</v>
      </c>
      <c r="R3972" s="44" t="str">
        <f>VLOOKUP(F3972,'Set up'!$A$2:$E$70,5,FALSE)</f>
        <v>Trsf</v>
      </c>
    </row>
    <row r="3973" spans="1:19" ht="16.25" customHeight="1" x14ac:dyDescent="0.35">
      <c r="A3973" s="105" t="s">
        <v>3726</v>
      </c>
      <c r="B3973" s="5">
        <f t="shared" si="1025"/>
        <v>5</v>
      </c>
      <c r="C3973" s="5">
        <f t="shared" si="1026"/>
        <v>2025</v>
      </c>
      <c r="D3973" s="105" t="s">
        <v>3728</v>
      </c>
      <c r="E3973" s="5" t="str">
        <f>VLOOKUP(F3973,'Set up'!$A$2:$C$70,2,FALSE)</f>
        <v>C00000042</v>
      </c>
      <c r="F3973" s="99" t="s">
        <v>2012</v>
      </c>
      <c r="G3973" s="99" t="s">
        <v>1922</v>
      </c>
      <c r="H3973" s="105">
        <v>2</v>
      </c>
      <c r="I3973" s="5" t="str">
        <f>VLOOKUP(F3973,'Set up'!$A$2:$C$70,3,FALSE)</f>
        <v>Cash</v>
      </c>
      <c r="J3973" s="5">
        <f>VLOOKUP(F3973,'Set up'!$A$2:$D$70,4,FALSE)</f>
        <v>0</v>
      </c>
      <c r="K3973" s="4">
        <f t="shared" si="1022"/>
        <v>45793</v>
      </c>
      <c r="L3973" s="5">
        <f t="shared" si="1017"/>
        <v>5</v>
      </c>
      <c r="M3973" s="5">
        <f t="shared" si="1018"/>
        <v>2025</v>
      </c>
      <c r="N3973" s="135">
        <v>495</v>
      </c>
      <c r="P3973" s="12">
        <f t="shared" si="1021"/>
        <v>495</v>
      </c>
      <c r="Q3973" s="7">
        <f t="shared" si="1016"/>
        <v>6580843.450000003</v>
      </c>
      <c r="R3973" s="44" t="str">
        <f>VLOOKUP(F3973,'Set up'!$A$2:$E$70,5,FALSE)</f>
        <v>Trsf</v>
      </c>
    </row>
    <row r="3974" spans="1:19" ht="16.25" customHeight="1" x14ac:dyDescent="0.35">
      <c r="A3974" s="105" t="s">
        <v>3726</v>
      </c>
      <c r="B3974" s="5">
        <f t="shared" si="1025"/>
        <v>5</v>
      </c>
      <c r="C3974" s="5">
        <f t="shared" si="1026"/>
        <v>2025</v>
      </c>
      <c r="D3974" s="105" t="s">
        <v>3728</v>
      </c>
      <c r="E3974" s="5" t="str">
        <f>VLOOKUP(F3974,'Set up'!$A$2:$C$70,2,FALSE)</f>
        <v>C00000042</v>
      </c>
      <c r="F3974" s="99" t="s">
        <v>2012</v>
      </c>
      <c r="G3974" s="99" t="s">
        <v>2744</v>
      </c>
      <c r="H3974" s="105">
        <v>1</v>
      </c>
      <c r="I3974" s="5" t="str">
        <f>VLOOKUP(F3974,'Set up'!$A$2:$C$70,3,FALSE)</f>
        <v>Cash</v>
      </c>
      <c r="J3974" s="5">
        <f>VLOOKUP(F3974,'Set up'!$A$2:$D$70,4,FALSE)</f>
        <v>0</v>
      </c>
      <c r="K3974" s="4">
        <f t="shared" si="1022"/>
        <v>45793</v>
      </c>
      <c r="L3974" s="5">
        <f t="shared" si="1017"/>
        <v>5</v>
      </c>
      <c r="M3974" s="5">
        <f t="shared" si="1018"/>
        <v>2025</v>
      </c>
      <c r="N3974" s="135">
        <v>975</v>
      </c>
      <c r="P3974" s="12">
        <f t="shared" si="1021"/>
        <v>975</v>
      </c>
      <c r="Q3974" s="7">
        <f t="shared" ref="Q3974:Q4037" si="1027">SUM(Q3973+N3974)</f>
        <v>6581818.450000003</v>
      </c>
      <c r="R3974" s="44" t="str">
        <f>VLOOKUP(F3974,'Set up'!$A$2:$E$70,5,FALSE)</f>
        <v>Trsf</v>
      </c>
    </row>
    <row r="3975" spans="1:19" ht="16.25" customHeight="1" x14ac:dyDescent="0.35">
      <c r="A3975" s="105" t="s">
        <v>3726</v>
      </c>
      <c r="B3975" s="5">
        <f t="shared" si="1025"/>
        <v>5</v>
      </c>
      <c r="C3975" s="5">
        <f t="shared" si="1026"/>
        <v>2025</v>
      </c>
      <c r="D3975" s="105" t="s">
        <v>3728</v>
      </c>
      <c r="E3975" s="5" t="str">
        <f>VLOOKUP(F3975,'Set up'!$A$2:$C$70,2,FALSE)</f>
        <v>C00000042</v>
      </c>
      <c r="F3975" s="99" t="s">
        <v>2012</v>
      </c>
      <c r="G3975" s="99" t="s">
        <v>46</v>
      </c>
      <c r="H3975" s="105">
        <v>4</v>
      </c>
      <c r="I3975" s="5" t="str">
        <f>VLOOKUP(F3975,'Set up'!$A$2:$C$70,3,FALSE)</f>
        <v>Cash</v>
      </c>
      <c r="J3975" s="5">
        <f>VLOOKUP(F3975,'Set up'!$A$2:$D$70,4,FALSE)</f>
        <v>0</v>
      </c>
      <c r="K3975" s="4">
        <f t="shared" si="1022"/>
        <v>45793</v>
      </c>
      <c r="L3975" s="5">
        <f t="shared" ref="L3975:L4038" si="1028">MONTH(K3975)</f>
        <v>5</v>
      </c>
      <c r="M3975" s="5">
        <f t="shared" ref="M3975:M4038" si="1029">YEAR(K3975)</f>
        <v>2025</v>
      </c>
      <c r="N3975" s="135">
        <v>460</v>
      </c>
      <c r="P3975" s="12">
        <f t="shared" si="1021"/>
        <v>460</v>
      </c>
      <c r="Q3975" s="7">
        <f t="shared" si="1027"/>
        <v>6582278.450000003</v>
      </c>
      <c r="R3975" s="44" t="str">
        <f>VLOOKUP(F3975,'Set up'!$A$2:$E$70,5,FALSE)</f>
        <v>Trsf</v>
      </c>
    </row>
    <row r="3976" spans="1:19" ht="16.25" customHeight="1" x14ac:dyDescent="0.35">
      <c r="A3976" s="105" t="s">
        <v>3729</v>
      </c>
      <c r="B3976" s="5">
        <f t="shared" si="1025"/>
        <v>5</v>
      </c>
      <c r="C3976" s="5">
        <f t="shared" si="1026"/>
        <v>2025</v>
      </c>
      <c r="D3976" s="105" t="s">
        <v>3730</v>
      </c>
      <c r="E3976" s="5" t="str">
        <f>VLOOKUP(F3976,'Set up'!$A$2:$C$70,2,FALSE)</f>
        <v>C00000042</v>
      </c>
      <c r="F3976" s="99" t="s">
        <v>2012</v>
      </c>
      <c r="G3976" s="99" t="s">
        <v>2646</v>
      </c>
      <c r="H3976" s="105">
        <v>3</v>
      </c>
      <c r="I3976" s="5" t="str">
        <f>VLOOKUP(F3976,'Set up'!$A$2:$C$70,3,FALSE)</f>
        <v>Cash</v>
      </c>
      <c r="J3976" s="5">
        <f>VLOOKUP(F3976,'Set up'!$A$2:$D$70,4,FALSE)</f>
        <v>0</v>
      </c>
      <c r="K3976" s="4">
        <f t="shared" si="1022"/>
        <v>45794</v>
      </c>
      <c r="L3976" s="5">
        <f t="shared" si="1028"/>
        <v>5</v>
      </c>
      <c r="M3976" s="5">
        <f t="shared" si="1029"/>
        <v>2025</v>
      </c>
      <c r="N3976" s="135">
        <v>187.5</v>
      </c>
      <c r="P3976" s="12">
        <f t="shared" si="1021"/>
        <v>187.5</v>
      </c>
      <c r="Q3976" s="7">
        <f t="shared" si="1027"/>
        <v>6582465.950000003</v>
      </c>
      <c r="R3976" s="44" t="str">
        <f>VLOOKUP(F3976,'Set up'!$A$2:$E$70,5,FALSE)</f>
        <v>Trsf</v>
      </c>
    </row>
    <row r="3977" spans="1:19" ht="16.25" customHeight="1" x14ac:dyDescent="0.35">
      <c r="A3977" s="105" t="s">
        <v>3729</v>
      </c>
      <c r="B3977" s="5">
        <f t="shared" si="1025"/>
        <v>5</v>
      </c>
      <c r="C3977" s="5">
        <f t="shared" si="1026"/>
        <v>2025</v>
      </c>
      <c r="D3977" s="105" t="s">
        <v>3731</v>
      </c>
      <c r="E3977" s="5" t="str">
        <f>VLOOKUP(F3977,'Set up'!$A$2:$C$70,2,FALSE)</f>
        <v>C00000042</v>
      </c>
      <c r="F3977" s="99" t="s">
        <v>2012</v>
      </c>
      <c r="G3977" s="99" t="s">
        <v>3217</v>
      </c>
      <c r="H3977" s="105">
        <v>6</v>
      </c>
      <c r="I3977" s="5" t="str">
        <f>VLOOKUP(F3977,'Set up'!$A$2:$C$70,3,FALSE)</f>
        <v>Cash</v>
      </c>
      <c r="J3977" s="5">
        <f>VLOOKUP(F3977,'Set up'!$A$2:$D$70,4,FALSE)</f>
        <v>0</v>
      </c>
      <c r="K3977" s="4">
        <f t="shared" si="1022"/>
        <v>45794</v>
      </c>
      <c r="L3977" s="5">
        <f t="shared" si="1028"/>
        <v>5</v>
      </c>
      <c r="M3977" s="5">
        <f t="shared" si="1029"/>
        <v>2025</v>
      </c>
      <c r="N3977" s="135">
        <v>9720</v>
      </c>
      <c r="P3977" s="12">
        <f t="shared" si="1021"/>
        <v>9720</v>
      </c>
      <c r="Q3977" s="7">
        <f t="shared" si="1027"/>
        <v>6592185.950000003</v>
      </c>
      <c r="R3977" s="44" t="str">
        <f>VLOOKUP(F3977,'Set up'!$A$2:$E$70,5,FALSE)</f>
        <v>Trsf</v>
      </c>
    </row>
    <row r="3978" spans="1:19" ht="16.25" customHeight="1" x14ac:dyDescent="0.35">
      <c r="A3978" s="105" t="s">
        <v>3729</v>
      </c>
      <c r="B3978" s="5">
        <f t="shared" si="1025"/>
        <v>5</v>
      </c>
      <c r="C3978" s="5">
        <f t="shared" si="1026"/>
        <v>2025</v>
      </c>
      <c r="D3978" s="105" t="s">
        <v>3731</v>
      </c>
      <c r="E3978" s="5" t="str">
        <f>VLOOKUP(F3978,'Set up'!$A$2:$C$70,2,FALSE)</f>
        <v>C00000042</v>
      </c>
      <c r="F3978" s="99" t="s">
        <v>2012</v>
      </c>
      <c r="G3978" s="99" t="s">
        <v>1392</v>
      </c>
      <c r="H3978" s="105">
        <v>18</v>
      </c>
      <c r="I3978" s="5" t="str">
        <f>VLOOKUP(F3978,'Set up'!$A$2:$C$70,3,FALSE)</f>
        <v>Cash</v>
      </c>
      <c r="J3978" s="5">
        <f>VLOOKUP(F3978,'Set up'!$A$2:$D$70,4,FALSE)</f>
        <v>0</v>
      </c>
      <c r="K3978" s="4">
        <f t="shared" si="1022"/>
        <v>45794</v>
      </c>
      <c r="L3978" s="5">
        <f t="shared" si="1028"/>
        <v>5</v>
      </c>
      <c r="M3978" s="5">
        <f t="shared" si="1029"/>
        <v>2025</v>
      </c>
      <c r="N3978" s="135">
        <v>3186</v>
      </c>
      <c r="P3978" s="12">
        <f t="shared" si="1021"/>
        <v>3186</v>
      </c>
      <c r="Q3978" s="7">
        <f t="shared" si="1027"/>
        <v>6595371.950000003</v>
      </c>
      <c r="R3978" s="44" t="str">
        <f>VLOOKUP(F3978,'Set up'!$A$2:$E$70,5,FALSE)</f>
        <v>Trsf</v>
      </c>
    </row>
    <row r="3979" spans="1:19" ht="16.25" customHeight="1" x14ac:dyDescent="0.35">
      <c r="A3979" s="105" t="s">
        <v>3729</v>
      </c>
      <c r="B3979" s="5">
        <f t="shared" si="1025"/>
        <v>5</v>
      </c>
      <c r="C3979" s="5">
        <f t="shared" si="1026"/>
        <v>2025</v>
      </c>
      <c r="D3979" s="105" t="s">
        <v>3731</v>
      </c>
      <c r="E3979" s="5" t="str">
        <f>VLOOKUP(F3979,'Set up'!$A$2:$C$70,2,FALSE)</f>
        <v>C00000042</v>
      </c>
      <c r="F3979" s="99" t="s">
        <v>2012</v>
      </c>
      <c r="G3979" s="99" t="s">
        <v>1922</v>
      </c>
      <c r="H3979" s="105">
        <v>9</v>
      </c>
      <c r="I3979" s="5" t="str">
        <f>VLOOKUP(F3979,'Set up'!$A$2:$C$70,3,FALSE)</f>
        <v>Cash</v>
      </c>
      <c r="J3979" s="5">
        <f>VLOOKUP(F3979,'Set up'!$A$2:$D$70,4,FALSE)</f>
        <v>0</v>
      </c>
      <c r="K3979" s="4">
        <f t="shared" si="1022"/>
        <v>45794</v>
      </c>
      <c r="L3979" s="5">
        <f t="shared" si="1028"/>
        <v>5</v>
      </c>
      <c r="M3979" s="5">
        <f t="shared" si="1029"/>
        <v>2025</v>
      </c>
      <c r="N3979" s="135">
        <v>2227.5</v>
      </c>
      <c r="P3979" s="12">
        <f t="shared" si="1021"/>
        <v>2227.5</v>
      </c>
      <c r="Q3979" s="7">
        <f t="shared" si="1027"/>
        <v>6597599.450000003</v>
      </c>
      <c r="R3979" s="44" t="str">
        <f>VLOOKUP(F3979,'Set up'!$A$2:$E$70,5,FALSE)</f>
        <v>Trsf</v>
      </c>
    </row>
    <row r="3980" spans="1:19" ht="16.25" customHeight="1" x14ac:dyDescent="0.35">
      <c r="A3980" s="105" t="s">
        <v>3729</v>
      </c>
      <c r="B3980" s="5">
        <f t="shared" si="1025"/>
        <v>5</v>
      </c>
      <c r="C3980" s="5">
        <f t="shared" si="1026"/>
        <v>2025</v>
      </c>
      <c r="D3980" s="105" t="s">
        <v>3731</v>
      </c>
      <c r="E3980" s="5" t="str">
        <f>VLOOKUP(F3980,'Set up'!$A$2:$C$70,2,FALSE)</f>
        <v>C00000042</v>
      </c>
      <c r="F3980" s="99" t="s">
        <v>2012</v>
      </c>
      <c r="G3980" s="99" t="s">
        <v>1073</v>
      </c>
      <c r="H3980" s="105">
        <v>1</v>
      </c>
      <c r="I3980" s="5" t="str">
        <f>VLOOKUP(F3980,'Set up'!$A$2:$C$70,3,FALSE)</f>
        <v>Cash</v>
      </c>
      <c r="J3980" s="5">
        <f>VLOOKUP(F3980,'Set up'!$A$2:$D$70,4,FALSE)</f>
        <v>0</v>
      </c>
      <c r="K3980" s="4">
        <f t="shared" si="1022"/>
        <v>45794</v>
      </c>
      <c r="L3980" s="5">
        <f t="shared" si="1028"/>
        <v>5</v>
      </c>
      <c r="M3980" s="5">
        <f t="shared" si="1029"/>
        <v>2025</v>
      </c>
      <c r="N3980" s="135">
        <v>1000</v>
      </c>
      <c r="P3980" s="12">
        <f t="shared" si="1021"/>
        <v>1000</v>
      </c>
      <c r="Q3980" s="7">
        <f t="shared" si="1027"/>
        <v>6598599.450000003</v>
      </c>
      <c r="R3980" s="44" t="str">
        <f>VLOOKUP(F3980,'Set up'!$A$2:$E$70,5,FALSE)</f>
        <v>Trsf</v>
      </c>
    </row>
    <row r="3981" spans="1:19" ht="16.25" customHeight="1" x14ac:dyDescent="0.35">
      <c r="A3981" s="105" t="s">
        <v>3732</v>
      </c>
      <c r="B3981" s="5">
        <f t="shared" si="1025"/>
        <v>5</v>
      </c>
      <c r="C3981" s="5">
        <f t="shared" si="1026"/>
        <v>2025</v>
      </c>
      <c r="D3981" s="105" t="s">
        <v>3733</v>
      </c>
      <c r="E3981" s="5" t="str">
        <f>VLOOKUP(F3981,'Set up'!$A$2:$C$70,2,FALSE)</f>
        <v>C00000042</v>
      </c>
      <c r="F3981" s="99" t="s">
        <v>2012</v>
      </c>
      <c r="G3981" s="99" t="s">
        <v>3217</v>
      </c>
      <c r="H3981" s="105">
        <v>2</v>
      </c>
      <c r="I3981" s="5" t="str">
        <f>VLOOKUP(F3981,'Set up'!$A$2:$C$70,3,FALSE)</f>
        <v>Cash</v>
      </c>
      <c r="J3981" s="5">
        <f>VLOOKUP(F3981,'Set up'!$A$2:$D$70,4,FALSE)</f>
        <v>0</v>
      </c>
      <c r="K3981" s="4">
        <f t="shared" si="1022"/>
        <v>45797</v>
      </c>
      <c r="L3981" s="5">
        <f t="shared" si="1028"/>
        <v>5</v>
      </c>
      <c r="M3981" s="5">
        <f t="shared" si="1029"/>
        <v>2025</v>
      </c>
      <c r="N3981" s="135">
        <v>3240</v>
      </c>
      <c r="P3981" s="12">
        <f t="shared" si="1021"/>
        <v>3240</v>
      </c>
      <c r="Q3981" s="7">
        <f t="shared" si="1027"/>
        <v>6601839.450000003</v>
      </c>
      <c r="R3981" s="44" t="str">
        <f>VLOOKUP(F3981,'Set up'!$A$2:$E$70,5,FALSE)</f>
        <v>Trsf</v>
      </c>
    </row>
    <row r="3982" spans="1:19" ht="16.25" customHeight="1" x14ac:dyDescent="0.35">
      <c r="A3982" s="105" t="s">
        <v>3732</v>
      </c>
      <c r="B3982" s="5">
        <f t="shared" si="1025"/>
        <v>5</v>
      </c>
      <c r="C3982" s="5">
        <f t="shared" si="1026"/>
        <v>2025</v>
      </c>
      <c r="D3982" s="105" t="s">
        <v>3733</v>
      </c>
      <c r="E3982" s="5" t="str">
        <f>VLOOKUP(F3982,'Set up'!$A$2:$C$70,2,FALSE)</f>
        <v>C00000042</v>
      </c>
      <c r="F3982" s="99" t="s">
        <v>2012</v>
      </c>
      <c r="G3982" s="99" t="s">
        <v>1922</v>
      </c>
      <c r="H3982" s="105">
        <v>2</v>
      </c>
      <c r="I3982" s="5" t="str">
        <f>VLOOKUP(F3982,'Set up'!$A$2:$C$70,3,FALSE)</f>
        <v>Cash</v>
      </c>
      <c r="J3982" s="5">
        <f>VLOOKUP(F3982,'Set up'!$A$2:$D$70,4,FALSE)</f>
        <v>0</v>
      </c>
      <c r="K3982" s="4">
        <f t="shared" si="1022"/>
        <v>45797</v>
      </c>
      <c r="L3982" s="5">
        <f t="shared" si="1028"/>
        <v>5</v>
      </c>
      <c r="M3982" s="5">
        <f t="shared" si="1029"/>
        <v>2025</v>
      </c>
      <c r="N3982" s="135">
        <v>495</v>
      </c>
      <c r="P3982" s="12">
        <f t="shared" si="1021"/>
        <v>495</v>
      </c>
      <c r="Q3982" s="7">
        <f t="shared" si="1027"/>
        <v>6602334.450000003</v>
      </c>
      <c r="R3982" s="44" t="str">
        <f>VLOOKUP(F3982,'Set up'!$A$2:$E$70,5,FALSE)</f>
        <v>Trsf</v>
      </c>
    </row>
    <row r="3983" spans="1:19" ht="16.25" customHeight="1" x14ac:dyDescent="0.35">
      <c r="A3983" s="105" t="s">
        <v>3732</v>
      </c>
      <c r="B3983" s="5">
        <f t="shared" si="1025"/>
        <v>5</v>
      </c>
      <c r="C3983" s="5">
        <f t="shared" si="1026"/>
        <v>2025</v>
      </c>
      <c r="D3983" s="105" t="s">
        <v>3733</v>
      </c>
      <c r="E3983" s="5" t="str">
        <f>VLOOKUP(F3983,'Set up'!$A$2:$C$70,2,FALSE)</f>
        <v>C00000042</v>
      </c>
      <c r="F3983" s="99" t="s">
        <v>2012</v>
      </c>
      <c r="G3983" s="99" t="s">
        <v>46</v>
      </c>
      <c r="H3983" s="105">
        <v>4</v>
      </c>
      <c r="I3983" s="5" t="str">
        <f>VLOOKUP(F3983,'Set up'!$A$2:$C$70,3,FALSE)</f>
        <v>Cash</v>
      </c>
      <c r="J3983" s="5">
        <f>VLOOKUP(F3983,'Set up'!$A$2:$D$70,4,FALSE)</f>
        <v>0</v>
      </c>
      <c r="K3983" s="4">
        <f t="shared" si="1022"/>
        <v>45797</v>
      </c>
      <c r="L3983" s="5">
        <f t="shared" si="1028"/>
        <v>5</v>
      </c>
      <c r="M3983" s="5">
        <f t="shared" si="1029"/>
        <v>2025</v>
      </c>
      <c r="N3983" s="135">
        <v>460</v>
      </c>
      <c r="P3983" s="12">
        <f t="shared" si="1021"/>
        <v>460</v>
      </c>
      <c r="Q3983" s="7">
        <f t="shared" si="1027"/>
        <v>6602794.450000003</v>
      </c>
      <c r="R3983" s="44" t="str">
        <f>VLOOKUP(F3983,'Set up'!$A$2:$E$70,5,FALSE)</f>
        <v>Trsf</v>
      </c>
    </row>
    <row r="3984" spans="1:19" ht="16.25" customHeight="1" x14ac:dyDescent="0.35">
      <c r="A3984" s="105" t="s">
        <v>3734</v>
      </c>
      <c r="B3984" s="5">
        <f t="shared" si="1025"/>
        <v>5</v>
      </c>
      <c r="C3984" s="5">
        <f t="shared" si="1026"/>
        <v>2025</v>
      </c>
      <c r="D3984" s="105" t="s">
        <v>3735</v>
      </c>
      <c r="E3984" s="5" t="str">
        <f>VLOOKUP(F3984,'Set up'!$A$2:$C$70,2,FALSE)</f>
        <v>C00000042</v>
      </c>
      <c r="F3984" s="99" t="s">
        <v>2012</v>
      </c>
      <c r="G3984" s="99" t="s">
        <v>3217</v>
      </c>
      <c r="H3984" s="105">
        <v>3</v>
      </c>
      <c r="I3984" s="5" t="str">
        <f>VLOOKUP(F3984,'Set up'!$A$2:$C$70,3,FALSE)</f>
        <v>Cash</v>
      </c>
      <c r="J3984" s="5">
        <f>VLOOKUP(F3984,'Set up'!$A$2:$D$70,4,FALSE)</f>
        <v>0</v>
      </c>
      <c r="K3984" s="4">
        <f t="shared" si="1022"/>
        <v>45799</v>
      </c>
      <c r="L3984" s="5">
        <f t="shared" si="1028"/>
        <v>5</v>
      </c>
      <c r="M3984" s="5">
        <f t="shared" si="1029"/>
        <v>2025</v>
      </c>
      <c r="N3984" s="135">
        <v>4860</v>
      </c>
      <c r="P3984" s="12">
        <f t="shared" si="1021"/>
        <v>4860</v>
      </c>
      <c r="Q3984" s="7">
        <f t="shared" si="1027"/>
        <v>6607654.450000003</v>
      </c>
      <c r="R3984" s="44" t="str">
        <f>VLOOKUP(F3984,'Set up'!$A$2:$E$70,5,FALSE)</f>
        <v>Trsf</v>
      </c>
    </row>
    <row r="3985" spans="1:19" ht="16.25" customHeight="1" x14ac:dyDescent="0.35">
      <c r="A3985" s="105" t="s">
        <v>3734</v>
      </c>
      <c r="B3985" s="5">
        <f t="shared" si="1025"/>
        <v>5</v>
      </c>
      <c r="C3985" s="5">
        <f t="shared" si="1026"/>
        <v>2025</v>
      </c>
      <c r="D3985" s="105" t="s">
        <v>3735</v>
      </c>
      <c r="E3985" s="5" t="str">
        <f>VLOOKUP(F3985,'Set up'!$A$2:$C$70,2,FALSE)</f>
        <v>C00000042</v>
      </c>
      <c r="F3985" s="99" t="s">
        <v>2012</v>
      </c>
      <c r="G3985" s="99" t="s">
        <v>2129</v>
      </c>
      <c r="H3985" s="105">
        <v>6</v>
      </c>
      <c r="I3985" s="5" t="str">
        <f>VLOOKUP(F3985,'Set up'!$A$2:$C$70,3,FALSE)</f>
        <v>Cash</v>
      </c>
      <c r="J3985" s="5">
        <f>VLOOKUP(F3985,'Set up'!$A$2:$D$70,4,FALSE)</f>
        <v>0</v>
      </c>
      <c r="K3985" s="4">
        <f t="shared" si="1022"/>
        <v>45799</v>
      </c>
      <c r="L3985" s="5">
        <f t="shared" si="1028"/>
        <v>5</v>
      </c>
      <c r="M3985" s="5">
        <f t="shared" si="1029"/>
        <v>2025</v>
      </c>
      <c r="N3985" s="135">
        <v>1309.8</v>
      </c>
      <c r="P3985" s="12">
        <f t="shared" si="1021"/>
        <v>1309.8</v>
      </c>
      <c r="Q3985" s="7">
        <f t="shared" si="1027"/>
        <v>6608964.2500000028</v>
      </c>
      <c r="R3985" s="44" t="str">
        <f>VLOOKUP(F3985,'Set up'!$A$2:$E$70,5,FALSE)</f>
        <v>Trsf</v>
      </c>
    </row>
    <row r="3986" spans="1:19" ht="16.25" customHeight="1" x14ac:dyDescent="0.35">
      <c r="A3986" s="105" t="s">
        <v>3734</v>
      </c>
      <c r="B3986" s="5">
        <f t="shared" si="1025"/>
        <v>5</v>
      </c>
      <c r="C3986" s="5">
        <f t="shared" si="1026"/>
        <v>2025</v>
      </c>
      <c r="D3986" s="105" t="s">
        <v>3735</v>
      </c>
      <c r="E3986" s="5" t="str">
        <f>VLOOKUP(F3986,'Set up'!$A$2:$C$70,2,FALSE)</f>
        <v>C00000042</v>
      </c>
      <c r="F3986" s="99" t="s">
        <v>2012</v>
      </c>
      <c r="G3986" s="99" t="s">
        <v>1922</v>
      </c>
      <c r="H3986" s="105">
        <v>4</v>
      </c>
      <c r="I3986" s="5" t="str">
        <f>VLOOKUP(F3986,'Set up'!$A$2:$C$70,3,FALSE)</f>
        <v>Cash</v>
      </c>
      <c r="J3986" s="5">
        <f>VLOOKUP(F3986,'Set up'!$A$2:$D$70,4,FALSE)</f>
        <v>0</v>
      </c>
      <c r="K3986" s="4">
        <f t="shared" si="1022"/>
        <v>45799</v>
      </c>
      <c r="L3986" s="5">
        <f t="shared" si="1028"/>
        <v>5</v>
      </c>
      <c r="M3986" s="5">
        <f t="shared" si="1029"/>
        <v>2025</v>
      </c>
      <c r="N3986" s="135">
        <v>990</v>
      </c>
      <c r="P3986" s="12">
        <f t="shared" si="1021"/>
        <v>990</v>
      </c>
      <c r="Q3986" s="7">
        <f t="shared" si="1027"/>
        <v>6609954.2500000028</v>
      </c>
      <c r="R3986" s="44" t="str">
        <f>VLOOKUP(F3986,'Set up'!$A$2:$E$70,5,FALSE)</f>
        <v>Trsf</v>
      </c>
    </row>
    <row r="3987" spans="1:19" ht="16.25" customHeight="1" x14ac:dyDescent="0.35">
      <c r="A3987" s="105" t="s">
        <v>3736</v>
      </c>
      <c r="B3987" s="5">
        <f t="shared" si="1025"/>
        <v>5</v>
      </c>
      <c r="C3987" s="5">
        <f t="shared" si="1026"/>
        <v>2025</v>
      </c>
      <c r="D3987" s="105" t="s">
        <v>3737</v>
      </c>
      <c r="E3987" s="5" t="str">
        <f>VLOOKUP(F3987,'Set up'!$A$2:$C$70,2,FALSE)</f>
        <v>C00000042</v>
      </c>
      <c r="F3987" s="99" t="s">
        <v>2012</v>
      </c>
      <c r="G3987" s="99" t="s">
        <v>2646</v>
      </c>
      <c r="H3987" s="105">
        <v>2</v>
      </c>
      <c r="I3987" s="5" t="str">
        <f>VLOOKUP(F3987,'Set up'!$A$2:$C$70,3,FALSE)</f>
        <v>Cash</v>
      </c>
      <c r="J3987" s="5">
        <f>VLOOKUP(F3987,'Set up'!$A$2:$D$70,4,FALSE)</f>
        <v>0</v>
      </c>
      <c r="K3987" s="4">
        <f t="shared" si="1022"/>
        <v>45800</v>
      </c>
      <c r="L3987" s="5">
        <f t="shared" si="1028"/>
        <v>5</v>
      </c>
      <c r="M3987" s="5">
        <f t="shared" si="1029"/>
        <v>2025</v>
      </c>
      <c r="N3987" s="135">
        <v>125</v>
      </c>
      <c r="P3987" s="12">
        <f t="shared" si="1021"/>
        <v>125</v>
      </c>
      <c r="Q3987" s="7">
        <f t="shared" si="1027"/>
        <v>6610079.2500000028</v>
      </c>
      <c r="R3987" s="44" t="str">
        <f>VLOOKUP(F3987,'Set up'!$A$2:$E$70,5,FALSE)</f>
        <v>Trsf</v>
      </c>
    </row>
    <row r="3988" spans="1:19" ht="16.25" customHeight="1" x14ac:dyDescent="0.35">
      <c r="A3988" s="105" t="s">
        <v>3736</v>
      </c>
      <c r="B3988" s="5">
        <f t="shared" si="1025"/>
        <v>5</v>
      </c>
      <c r="C3988" s="5">
        <f t="shared" si="1026"/>
        <v>2025</v>
      </c>
      <c r="D3988" s="105" t="s">
        <v>3738</v>
      </c>
      <c r="E3988" s="5" t="str">
        <f>VLOOKUP(F3988,'Set up'!$A$2:$C$70,2,FALSE)</f>
        <v>C00000042</v>
      </c>
      <c r="F3988" s="99" t="s">
        <v>2012</v>
      </c>
      <c r="G3988" s="99" t="s">
        <v>3217</v>
      </c>
      <c r="H3988" s="105">
        <v>3</v>
      </c>
      <c r="I3988" s="5" t="str">
        <f>VLOOKUP(F3988,'Set up'!$A$2:$C$70,3,FALSE)</f>
        <v>Cash</v>
      </c>
      <c r="J3988" s="5">
        <f>VLOOKUP(F3988,'Set up'!$A$2:$D$70,4,FALSE)</f>
        <v>0</v>
      </c>
      <c r="K3988" s="4">
        <f t="shared" si="1022"/>
        <v>45800</v>
      </c>
      <c r="L3988" s="5">
        <f t="shared" si="1028"/>
        <v>5</v>
      </c>
      <c r="M3988" s="5">
        <f t="shared" si="1029"/>
        <v>2025</v>
      </c>
      <c r="N3988" s="135">
        <v>4860</v>
      </c>
      <c r="P3988" s="12">
        <f t="shared" si="1021"/>
        <v>4860</v>
      </c>
      <c r="Q3988" s="7">
        <f t="shared" si="1027"/>
        <v>6614939.2500000028</v>
      </c>
      <c r="R3988" s="44" t="str">
        <f>VLOOKUP(F3988,'Set up'!$A$2:$E$70,5,FALSE)</f>
        <v>Trsf</v>
      </c>
    </row>
    <row r="3989" spans="1:19" ht="16.25" customHeight="1" x14ac:dyDescent="0.35">
      <c r="A3989" s="105" t="s">
        <v>3736</v>
      </c>
      <c r="B3989" s="5">
        <f t="shared" si="1025"/>
        <v>5</v>
      </c>
      <c r="C3989" s="5">
        <f t="shared" si="1026"/>
        <v>2025</v>
      </c>
      <c r="D3989" s="105" t="s">
        <v>3738</v>
      </c>
      <c r="E3989" s="5" t="str">
        <f>VLOOKUP(F3989,'Set up'!$A$2:$C$70,2,FALSE)</f>
        <v>C00000042</v>
      </c>
      <c r="F3989" s="99" t="s">
        <v>2012</v>
      </c>
      <c r="G3989" s="99" t="s">
        <v>2129</v>
      </c>
      <c r="H3989" s="105">
        <v>9</v>
      </c>
      <c r="I3989" s="5" t="str">
        <f>VLOOKUP(F3989,'Set up'!$A$2:$C$70,3,FALSE)</f>
        <v>Cash</v>
      </c>
      <c r="J3989" s="5">
        <f>VLOOKUP(F3989,'Set up'!$A$2:$D$70,4,FALSE)</f>
        <v>0</v>
      </c>
      <c r="K3989" s="4">
        <f t="shared" si="1022"/>
        <v>45800</v>
      </c>
      <c r="L3989" s="5">
        <f t="shared" si="1028"/>
        <v>5</v>
      </c>
      <c r="M3989" s="5">
        <f t="shared" si="1029"/>
        <v>2025</v>
      </c>
      <c r="N3989" s="135">
        <v>1964.7</v>
      </c>
      <c r="P3989" s="12">
        <f t="shared" si="1021"/>
        <v>1964.7</v>
      </c>
      <c r="Q3989" s="7">
        <f t="shared" si="1027"/>
        <v>6616903.950000003</v>
      </c>
      <c r="R3989" s="44" t="str">
        <f>VLOOKUP(F3989,'Set up'!$A$2:$E$70,5,FALSE)</f>
        <v>Trsf</v>
      </c>
    </row>
    <row r="3990" spans="1:19" ht="16.25" customHeight="1" x14ac:dyDescent="0.35">
      <c r="A3990" s="105" t="s">
        <v>3736</v>
      </c>
      <c r="B3990" s="5">
        <f t="shared" si="1025"/>
        <v>5</v>
      </c>
      <c r="C3990" s="5">
        <f t="shared" si="1026"/>
        <v>2025</v>
      </c>
      <c r="D3990" s="105" t="s">
        <v>3738</v>
      </c>
      <c r="E3990" s="5" t="str">
        <f>VLOOKUP(F3990,'Set up'!$A$2:$C$70,2,FALSE)</f>
        <v>C00000042</v>
      </c>
      <c r="F3990" s="99" t="s">
        <v>2012</v>
      </c>
      <c r="G3990" s="99" t="s">
        <v>1922</v>
      </c>
      <c r="H3990" s="105">
        <v>5</v>
      </c>
      <c r="I3990" s="5" t="str">
        <f>VLOOKUP(F3990,'Set up'!$A$2:$C$70,3,FALSE)</f>
        <v>Cash</v>
      </c>
      <c r="J3990" s="5">
        <f>VLOOKUP(F3990,'Set up'!$A$2:$D$70,4,FALSE)</f>
        <v>0</v>
      </c>
      <c r="K3990" s="4">
        <f t="shared" si="1022"/>
        <v>45800</v>
      </c>
      <c r="L3990" s="5">
        <f t="shared" si="1028"/>
        <v>5</v>
      </c>
      <c r="M3990" s="5">
        <f t="shared" si="1029"/>
        <v>2025</v>
      </c>
      <c r="N3990" s="135">
        <v>1237.5</v>
      </c>
      <c r="P3990" s="12">
        <f t="shared" si="1021"/>
        <v>1237.5</v>
      </c>
      <c r="Q3990" s="7">
        <f t="shared" si="1027"/>
        <v>6618141.450000003</v>
      </c>
      <c r="R3990" s="44" t="str">
        <f>VLOOKUP(F3990,'Set up'!$A$2:$E$70,5,FALSE)</f>
        <v>Trsf</v>
      </c>
    </row>
    <row r="3991" spans="1:19" ht="16.25" customHeight="1" x14ac:dyDescent="0.35">
      <c r="A3991" s="105" t="s">
        <v>3736</v>
      </c>
      <c r="B3991" s="5">
        <f t="shared" si="1025"/>
        <v>5</v>
      </c>
      <c r="C3991" s="5">
        <f t="shared" si="1026"/>
        <v>2025</v>
      </c>
      <c r="D3991" s="105" t="s">
        <v>3738</v>
      </c>
      <c r="E3991" s="5" t="str">
        <f>VLOOKUP(F3991,'Set up'!$A$2:$C$70,2,FALSE)</f>
        <v>C00000042</v>
      </c>
      <c r="F3991" s="99" t="s">
        <v>2012</v>
      </c>
      <c r="G3991" s="99" t="s">
        <v>46</v>
      </c>
      <c r="H3991" s="105">
        <v>4</v>
      </c>
      <c r="I3991" s="5" t="str">
        <f>VLOOKUP(F3991,'Set up'!$A$2:$C$70,3,FALSE)</f>
        <v>Cash</v>
      </c>
      <c r="J3991" s="5">
        <f>VLOOKUP(F3991,'Set up'!$A$2:$D$70,4,FALSE)</f>
        <v>0</v>
      </c>
      <c r="K3991" s="4">
        <f t="shared" si="1022"/>
        <v>45800</v>
      </c>
      <c r="L3991" s="5">
        <f t="shared" si="1028"/>
        <v>5</v>
      </c>
      <c r="M3991" s="5">
        <f t="shared" si="1029"/>
        <v>2025</v>
      </c>
      <c r="N3991" s="135">
        <v>460</v>
      </c>
      <c r="P3991" s="12">
        <f t="shared" si="1021"/>
        <v>460</v>
      </c>
      <c r="Q3991" s="7">
        <f t="shared" si="1027"/>
        <v>6618601.450000003</v>
      </c>
      <c r="R3991" s="44" t="str">
        <f>VLOOKUP(F3991,'Set up'!$A$2:$E$70,5,FALSE)</f>
        <v>Trsf</v>
      </c>
    </row>
    <row r="3992" spans="1:19" ht="16.25" customHeight="1" x14ac:dyDescent="0.35">
      <c r="A3992" s="105" t="s">
        <v>3736</v>
      </c>
      <c r="B3992" s="5">
        <f t="shared" si="1025"/>
        <v>5</v>
      </c>
      <c r="C3992" s="5">
        <f t="shared" si="1026"/>
        <v>2025</v>
      </c>
      <c r="D3992" s="105" t="s">
        <v>3738</v>
      </c>
      <c r="E3992" s="5" t="str">
        <f>VLOOKUP(F3992,'Set up'!$A$2:$C$70,2,FALSE)</f>
        <v>C00000042</v>
      </c>
      <c r="F3992" s="99" t="s">
        <v>2012</v>
      </c>
      <c r="G3992" s="99" t="s">
        <v>1073</v>
      </c>
      <c r="H3992" s="105">
        <v>1</v>
      </c>
      <c r="I3992" s="5" t="str">
        <f>VLOOKUP(F3992,'Set up'!$A$2:$C$70,3,FALSE)</f>
        <v>Cash</v>
      </c>
      <c r="J3992" s="5">
        <f>VLOOKUP(F3992,'Set up'!$A$2:$D$70,4,FALSE)</f>
        <v>0</v>
      </c>
      <c r="K3992" s="4">
        <f t="shared" si="1022"/>
        <v>45800</v>
      </c>
      <c r="L3992" s="5">
        <f t="shared" si="1028"/>
        <v>5</v>
      </c>
      <c r="M3992" s="5">
        <f t="shared" si="1029"/>
        <v>2025</v>
      </c>
      <c r="N3992" s="135">
        <v>1000</v>
      </c>
      <c r="P3992" s="12">
        <f t="shared" si="1021"/>
        <v>1000</v>
      </c>
      <c r="Q3992" s="7">
        <f t="shared" si="1027"/>
        <v>6619601.450000003</v>
      </c>
      <c r="R3992" s="44" t="str">
        <f>VLOOKUP(F3992,'Set up'!$A$2:$E$70,5,FALSE)</f>
        <v>Trsf</v>
      </c>
    </row>
    <row r="3993" spans="1:19" ht="16.25" customHeight="1" x14ac:dyDescent="0.35">
      <c r="A3993" s="105" t="s">
        <v>3739</v>
      </c>
      <c r="B3993" s="5">
        <f t="shared" si="1025"/>
        <v>5</v>
      </c>
      <c r="C3993" s="5">
        <f t="shared" si="1026"/>
        <v>2025</v>
      </c>
      <c r="D3993" s="105" t="s">
        <v>3740</v>
      </c>
      <c r="E3993" s="5" t="str">
        <f>VLOOKUP(F3993,'Set up'!$A$2:$C$70,2,FALSE)</f>
        <v>C00000044</v>
      </c>
      <c r="F3993" s="99" t="s">
        <v>2929</v>
      </c>
      <c r="G3993" s="99" t="s">
        <v>3615</v>
      </c>
      <c r="H3993" s="105">
        <v>1</v>
      </c>
      <c r="I3993" s="5" t="str">
        <f>VLOOKUP(F3993,'Set up'!$A$2:$C$70,3,FALSE)</f>
        <v>Cash</v>
      </c>
      <c r="J3993" s="5">
        <f>VLOOKUP(F3993,'Set up'!$A$2:$D$70,4,FALSE)</f>
        <v>0</v>
      </c>
      <c r="K3993" s="4">
        <f t="shared" si="1022"/>
        <v>45803</v>
      </c>
      <c r="L3993" s="5">
        <f t="shared" si="1028"/>
        <v>5</v>
      </c>
      <c r="M3993" s="5">
        <f t="shared" si="1029"/>
        <v>2025</v>
      </c>
      <c r="N3993" s="135">
        <v>1687.5</v>
      </c>
      <c r="O3993" s="6">
        <f>-N3993</f>
        <v>-1687.5</v>
      </c>
      <c r="P3993" s="12">
        <f t="shared" si="1021"/>
        <v>0</v>
      </c>
      <c r="Q3993" s="7">
        <f t="shared" si="1027"/>
        <v>6621288.950000003</v>
      </c>
      <c r="R3993" s="44" t="str">
        <f>VLOOKUP(F3993,'Set up'!$A$2:$E$70,5,FALSE)</f>
        <v>Cash</v>
      </c>
      <c r="S3993" s="1" t="s">
        <v>3821</v>
      </c>
    </row>
    <row r="3994" spans="1:19" ht="16.25" customHeight="1" x14ac:dyDescent="0.35">
      <c r="A3994" s="105" t="s">
        <v>3739</v>
      </c>
      <c r="B3994" s="5">
        <f t="shared" si="1025"/>
        <v>5</v>
      </c>
      <c r="C3994" s="5">
        <f t="shared" si="1026"/>
        <v>2025</v>
      </c>
      <c r="D3994" s="105" t="s">
        <v>3740</v>
      </c>
      <c r="E3994" s="5" t="str">
        <f>VLOOKUP(F3994,'Set up'!$A$2:$C$70,2,FALSE)</f>
        <v>C00000044</v>
      </c>
      <c r="F3994" s="99" t="s">
        <v>2929</v>
      </c>
      <c r="G3994" s="99" t="s">
        <v>2570</v>
      </c>
      <c r="H3994" s="105">
        <v>2</v>
      </c>
      <c r="I3994" s="5" t="str">
        <f>VLOOKUP(F3994,'Set up'!$A$2:$C$70,3,FALSE)</f>
        <v>Cash</v>
      </c>
      <c r="J3994" s="5">
        <f>VLOOKUP(F3994,'Set up'!$A$2:$D$70,4,FALSE)</f>
        <v>0</v>
      </c>
      <c r="K3994" s="4">
        <f t="shared" si="1022"/>
        <v>45803</v>
      </c>
      <c r="L3994" s="5">
        <f t="shared" si="1028"/>
        <v>5</v>
      </c>
      <c r="M3994" s="5">
        <f t="shared" si="1029"/>
        <v>2025</v>
      </c>
      <c r="N3994" s="135">
        <v>432</v>
      </c>
      <c r="O3994" s="6">
        <f>-N3994</f>
        <v>-432</v>
      </c>
      <c r="P3994" s="12">
        <f t="shared" si="1021"/>
        <v>0</v>
      </c>
      <c r="Q3994" s="7">
        <f t="shared" si="1027"/>
        <v>6621720.950000003</v>
      </c>
      <c r="R3994" s="44" t="str">
        <f>VLOOKUP(F3994,'Set up'!$A$2:$E$70,5,FALSE)</f>
        <v>Cash</v>
      </c>
      <c r="S3994" s="1" t="s">
        <v>3821</v>
      </c>
    </row>
    <row r="3995" spans="1:19" ht="16.25" customHeight="1" x14ac:dyDescent="0.35">
      <c r="A3995" s="105" t="s">
        <v>3739</v>
      </c>
      <c r="B3995" s="5">
        <f t="shared" si="1025"/>
        <v>5</v>
      </c>
      <c r="C3995" s="5">
        <f t="shared" si="1026"/>
        <v>2025</v>
      </c>
      <c r="D3995" s="105" t="s">
        <v>3740</v>
      </c>
      <c r="E3995" s="5" t="str">
        <f>VLOOKUP(F3995,'Set up'!$A$2:$C$70,2,FALSE)</f>
        <v>C00000044</v>
      </c>
      <c r="F3995" s="99" t="s">
        <v>2929</v>
      </c>
      <c r="G3995" s="99" t="s">
        <v>46</v>
      </c>
      <c r="H3995" s="105">
        <v>1</v>
      </c>
      <c r="I3995" s="5" t="str">
        <f>VLOOKUP(F3995,'Set up'!$A$2:$C$70,3,FALSE)</f>
        <v>Cash</v>
      </c>
      <c r="J3995" s="5">
        <f>VLOOKUP(F3995,'Set up'!$A$2:$D$70,4,FALSE)</f>
        <v>0</v>
      </c>
      <c r="K3995" s="4">
        <f t="shared" si="1022"/>
        <v>45803</v>
      </c>
      <c r="L3995" s="5">
        <f t="shared" si="1028"/>
        <v>5</v>
      </c>
      <c r="M3995" s="5">
        <f t="shared" si="1029"/>
        <v>2025</v>
      </c>
      <c r="N3995" s="135">
        <v>115</v>
      </c>
      <c r="O3995" s="6">
        <f>-N3995</f>
        <v>-115</v>
      </c>
      <c r="P3995" s="12">
        <f t="shared" si="1021"/>
        <v>0</v>
      </c>
      <c r="Q3995" s="7">
        <f t="shared" si="1027"/>
        <v>6621835.950000003</v>
      </c>
      <c r="R3995" s="44" t="str">
        <f>VLOOKUP(F3995,'Set up'!$A$2:$E$70,5,FALSE)</f>
        <v>Cash</v>
      </c>
      <c r="S3995" s="1" t="s">
        <v>3821</v>
      </c>
    </row>
    <row r="3996" spans="1:19" ht="16.25" customHeight="1" x14ac:dyDescent="0.35">
      <c r="A3996" s="105" t="s">
        <v>3739</v>
      </c>
      <c r="B3996" s="5">
        <f t="shared" si="1025"/>
        <v>5</v>
      </c>
      <c r="C3996" s="5">
        <f t="shared" si="1026"/>
        <v>2025</v>
      </c>
      <c r="D3996" s="105" t="s">
        <v>3741</v>
      </c>
      <c r="E3996" s="5" t="str">
        <f>VLOOKUP(F3996,'Set up'!$A$2:$C$70,2,FALSE)</f>
        <v>C00000061</v>
      </c>
      <c r="F3996" s="99" t="s">
        <v>3532</v>
      </c>
      <c r="G3996" s="99" t="s">
        <v>3122</v>
      </c>
      <c r="H3996" s="105">
        <v>1</v>
      </c>
      <c r="I3996" s="5" t="str">
        <f>VLOOKUP(F3996,'Set up'!$A$2:$C$70,3,FALSE)</f>
        <v>Cash</v>
      </c>
      <c r="J3996" s="5">
        <f>VLOOKUP(F3996,'Set up'!$A$2:$D$70,4,FALSE)</f>
        <v>0</v>
      </c>
      <c r="K3996" s="4">
        <f t="shared" si="1022"/>
        <v>45803</v>
      </c>
      <c r="L3996" s="5">
        <f t="shared" si="1028"/>
        <v>5</v>
      </c>
      <c r="M3996" s="5">
        <f t="shared" si="1029"/>
        <v>2025</v>
      </c>
      <c r="N3996" s="135">
        <v>1642.5</v>
      </c>
      <c r="O3996" s="6">
        <f t="shared" ref="O3996:O4000" si="1030">-N3996</f>
        <v>-1642.5</v>
      </c>
      <c r="P3996" s="12">
        <f t="shared" si="1021"/>
        <v>0</v>
      </c>
      <c r="Q3996" s="7">
        <f t="shared" si="1027"/>
        <v>6623478.450000003</v>
      </c>
      <c r="R3996" s="44" t="str">
        <f>VLOOKUP(F3996,'Set up'!$A$2:$E$70,5,FALSE)</f>
        <v>Cash</v>
      </c>
      <c r="S3996" s="1" t="s">
        <v>3948</v>
      </c>
    </row>
    <row r="3997" spans="1:19" ht="16.25" customHeight="1" x14ac:dyDescent="0.35">
      <c r="A3997" s="105" t="s">
        <v>3739</v>
      </c>
      <c r="B3997" s="5">
        <f t="shared" si="1025"/>
        <v>5</v>
      </c>
      <c r="C3997" s="5">
        <f t="shared" si="1026"/>
        <v>2025</v>
      </c>
      <c r="D3997" s="105" t="s">
        <v>3741</v>
      </c>
      <c r="E3997" s="5" t="str">
        <f>VLOOKUP(F3997,'Set up'!$A$2:$C$70,2,FALSE)</f>
        <v>C00000061</v>
      </c>
      <c r="F3997" s="99" t="s">
        <v>3532</v>
      </c>
      <c r="G3997" s="99" t="s">
        <v>3639</v>
      </c>
      <c r="H3997" s="105">
        <v>1</v>
      </c>
      <c r="I3997" s="5" t="str">
        <f>VLOOKUP(F3997,'Set up'!$A$2:$C$70,3,FALSE)</f>
        <v>Cash</v>
      </c>
      <c r="J3997" s="5">
        <f>VLOOKUP(F3997,'Set up'!$A$2:$D$70,4,FALSE)</f>
        <v>0</v>
      </c>
      <c r="K3997" s="4">
        <f t="shared" si="1022"/>
        <v>45803</v>
      </c>
      <c r="L3997" s="5">
        <f t="shared" si="1028"/>
        <v>5</v>
      </c>
      <c r="M3997" s="5">
        <f t="shared" si="1029"/>
        <v>2025</v>
      </c>
      <c r="N3997" s="135">
        <v>408.7</v>
      </c>
      <c r="O3997" s="6">
        <f t="shared" si="1030"/>
        <v>-408.7</v>
      </c>
      <c r="P3997" s="12">
        <f t="shared" si="1021"/>
        <v>0</v>
      </c>
      <c r="Q3997" s="7">
        <f t="shared" si="1027"/>
        <v>6623887.1500000032</v>
      </c>
      <c r="R3997" s="44" t="str">
        <f>VLOOKUP(F3997,'Set up'!$A$2:$E$70,5,FALSE)</f>
        <v>Cash</v>
      </c>
      <c r="S3997" s="1" t="s">
        <v>3948</v>
      </c>
    </row>
    <row r="3998" spans="1:19" ht="16.25" customHeight="1" x14ac:dyDescent="0.35">
      <c r="A3998" s="105" t="s">
        <v>3739</v>
      </c>
      <c r="B3998" s="5">
        <f t="shared" si="1025"/>
        <v>5</v>
      </c>
      <c r="C3998" s="5">
        <f t="shared" si="1026"/>
        <v>2025</v>
      </c>
      <c r="D3998" s="105" t="s">
        <v>3741</v>
      </c>
      <c r="E3998" s="5" t="str">
        <f>VLOOKUP(F3998,'Set up'!$A$2:$C$70,2,FALSE)</f>
        <v>C00000061</v>
      </c>
      <c r="F3998" s="99" t="s">
        <v>3532</v>
      </c>
      <c r="G3998" s="99" t="s">
        <v>46</v>
      </c>
      <c r="H3998" s="105">
        <v>1</v>
      </c>
      <c r="I3998" s="5" t="str">
        <f>VLOOKUP(F3998,'Set up'!$A$2:$C$70,3,FALSE)</f>
        <v>Cash</v>
      </c>
      <c r="J3998" s="5">
        <f>VLOOKUP(F3998,'Set up'!$A$2:$D$70,4,FALSE)</f>
        <v>0</v>
      </c>
      <c r="K3998" s="4">
        <f t="shared" si="1022"/>
        <v>45803</v>
      </c>
      <c r="L3998" s="5">
        <f t="shared" si="1028"/>
        <v>5</v>
      </c>
      <c r="M3998" s="5">
        <f t="shared" si="1029"/>
        <v>2025</v>
      </c>
      <c r="N3998" s="135">
        <v>115</v>
      </c>
      <c r="O3998" s="6">
        <f t="shared" si="1030"/>
        <v>-115</v>
      </c>
      <c r="P3998" s="12">
        <f t="shared" si="1021"/>
        <v>0</v>
      </c>
      <c r="Q3998" s="7">
        <f t="shared" si="1027"/>
        <v>6624002.1500000032</v>
      </c>
      <c r="R3998" s="44" t="str">
        <f>VLOOKUP(F3998,'Set up'!$A$2:$E$70,5,FALSE)</f>
        <v>Cash</v>
      </c>
      <c r="S3998" s="1" t="s">
        <v>3948</v>
      </c>
    </row>
    <row r="3999" spans="1:19" ht="16.25" customHeight="1" x14ac:dyDescent="0.35">
      <c r="A3999" s="105" t="s">
        <v>3739</v>
      </c>
      <c r="B3999" s="5">
        <f t="shared" si="1025"/>
        <v>5</v>
      </c>
      <c r="C3999" s="5">
        <f t="shared" si="1026"/>
        <v>2025</v>
      </c>
      <c r="D3999" s="105" t="s">
        <v>3741</v>
      </c>
      <c r="E3999" s="5" t="str">
        <f>VLOOKUP(F3999,'Set up'!$A$2:$C$70,2,FALSE)</f>
        <v>C00000061</v>
      </c>
      <c r="F3999" s="99" t="s">
        <v>3532</v>
      </c>
      <c r="G3999" s="99" t="s">
        <v>2635</v>
      </c>
      <c r="H3999" s="105">
        <v>3</v>
      </c>
      <c r="I3999" s="5" t="str">
        <f>VLOOKUP(F3999,'Set up'!$A$2:$C$70,3,FALSE)</f>
        <v>Cash</v>
      </c>
      <c r="J3999" s="5">
        <f>VLOOKUP(F3999,'Set up'!$A$2:$D$70,4,FALSE)</f>
        <v>0</v>
      </c>
      <c r="K3999" s="4">
        <f t="shared" si="1022"/>
        <v>45803</v>
      </c>
      <c r="L3999" s="5">
        <f t="shared" si="1028"/>
        <v>5</v>
      </c>
      <c r="M3999" s="5">
        <f t="shared" si="1029"/>
        <v>2025</v>
      </c>
      <c r="N3999" s="135">
        <v>172.5</v>
      </c>
      <c r="O3999" s="6">
        <f t="shared" si="1030"/>
        <v>-172.5</v>
      </c>
      <c r="P3999" s="12">
        <f t="shared" si="1021"/>
        <v>0</v>
      </c>
      <c r="Q3999" s="7">
        <f t="shared" si="1027"/>
        <v>6624174.6500000032</v>
      </c>
      <c r="R3999" s="44" t="str">
        <f>VLOOKUP(F3999,'Set up'!$A$2:$E$70,5,FALSE)</f>
        <v>Cash</v>
      </c>
      <c r="S3999" s="1" t="s">
        <v>3948</v>
      </c>
    </row>
    <row r="4000" spans="1:19" ht="16.25" customHeight="1" x14ac:dyDescent="0.35">
      <c r="A4000" s="105" t="s">
        <v>3739</v>
      </c>
      <c r="B4000" s="5">
        <f t="shared" si="1025"/>
        <v>5</v>
      </c>
      <c r="C4000" s="5">
        <f t="shared" si="1026"/>
        <v>2025</v>
      </c>
      <c r="D4000" s="105" t="s">
        <v>3741</v>
      </c>
      <c r="E4000" s="5" t="str">
        <f>VLOOKUP(F4000,'Set up'!$A$2:$C$70,2,FALSE)</f>
        <v>C00000061</v>
      </c>
      <c r="F4000" s="99" t="s">
        <v>3532</v>
      </c>
      <c r="G4000" s="99" t="s">
        <v>949</v>
      </c>
      <c r="H4000" s="105">
        <v>2</v>
      </c>
      <c r="I4000" s="5" t="str">
        <f>VLOOKUP(F4000,'Set up'!$A$2:$C$70,3,FALSE)</f>
        <v>Cash</v>
      </c>
      <c r="J4000" s="5">
        <f>VLOOKUP(F4000,'Set up'!$A$2:$D$70,4,FALSE)</f>
        <v>0</v>
      </c>
      <c r="K4000" s="4">
        <f t="shared" si="1022"/>
        <v>45803</v>
      </c>
      <c r="L4000" s="5">
        <f t="shared" si="1028"/>
        <v>5</v>
      </c>
      <c r="M4000" s="5">
        <f t="shared" si="1029"/>
        <v>2025</v>
      </c>
      <c r="N4000" s="135">
        <v>120</v>
      </c>
      <c r="O4000" s="6">
        <f t="shared" si="1030"/>
        <v>-120</v>
      </c>
      <c r="P4000" s="12">
        <f t="shared" ref="P4000:P4063" si="1031">SUM(N4000+O4000)</f>
        <v>0</v>
      </c>
      <c r="Q4000" s="7">
        <f t="shared" si="1027"/>
        <v>6624294.6500000032</v>
      </c>
      <c r="R4000" s="44" t="str">
        <f>VLOOKUP(F4000,'Set up'!$A$2:$E$70,5,FALSE)</f>
        <v>Cash</v>
      </c>
      <c r="S4000" s="1" t="s">
        <v>3948</v>
      </c>
    </row>
    <row r="4001" spans="1:18" ht="16.25" customHeight="1" x14ac:dyDescent="0.35">
      <c r="A4001" s="105" t="s">
        <v>3742</v>
      </c>
      <c r="B4001" s="5">
        <f t="shared" si="1025"/>
        <v>5</v>
      </c>
      <c r="C4001" s="5">
        <f t="shared" si="1026"/>
        <v>2025</v>
      </c>
      <c r="D4001" s="105" t="s">
        <v>3743</v>
      </c>
      <c r="E4001" s="5" t="str">
        <f>VLOOKUP(F4001,'Set up'!$A$2:$C$70,2,FALSE)</f>
        <v>C00000019</v>
      </c>
      <c r="F4001" s="99" t="s">
        <v>400</v>
      </c>
      <c r="G4001" s="99" t="s">
        <v>3122</v>
      </c>
      <c r="H4001" s="105">
        <v>1</v>
      </c>
      <c r="I4001" s="5" t="str">
        <f>VLOOKUP(F4001,'Set up'!$A$2:$C$70,3,FALSE)</f>
        <v>Cash</v>
      </c>
      <c r="J4001" s="5">
        <f>VLOOKUP(F4001,'Set up'!$A$2:$D$70,4,FALSE)</f>
        <v>0</v>
      </c>
      <c r="K4001" s="4">
        <f t="shared" si="1022"/>
        <v>45804</v>
      </c>
      <c r="L4001" s="5">
        <f t="shared" si="1028"/>
        <v>5</v>
      </c>
      <c r="M4001" s="5">
        <f t="shared" si="1029"/>
        <v>2025</v>
      </c>
      <c r="N4001" s="135">
        <v>1755</v>
      </c>
      <c r="P4001" s="12">
        <f t="shared" si="1031"/>
        <v>1755</v>
      </c>
      <c r="Q4001" s="7">
        <f t="shared" si="1027"/>
        <v>6626049.6500000032</v>
      </c>
      <c r="R4001" s="44" t="str">
        <f>VLOOKUP(F4001,'Set up'!$A$2:$E$70,5,FALSE)</f>
        <v>Trsf</v>
      </c>
    </row>
    <row r="4002" spans="1:18" ht="16.25" customHeight="1" x14ac:dyDescent="0.35">
      <c r="A4002" s="105" t="s">
        <v>3742</v>
      </c>
      <c r="B4002" s="5">
        <f t="shared" si="1025"/>
        <v>5</v>
      </c>
      <c r="C4002" s="5">
        <f t="shared" si="1026"/>
        <v>2025</v>
      </c>
      <c r="D4002" s="105" t="s">
        <v>3743</v>
      </c>
      <c r="E4002" s="5" t="str">
        <f>VLOOKUP(F4002,'Set up'!$A$2:$C$70,2,FALSE)</f>
        <v>C00000019</v>
      </c>
      <c r="F4002" s="99" t="s">
        <v>400</v>
      </c>
      <c r="G4002" s="99" t="s">
        <v>1411</v>
      </c>
      <c r="H4002" s="105">
        <v>1</v>
      </c>
      <c r="I4002" s="5" t="str">
        <f>VLOOKUP(F4002,'Set up'!$A$2:$C$70,3,FALSE)</f>
        <v>Cash</v>
      </c>
      <c r="J4002" s="5">
        <f>VLOOKUP(F4002,'Set up'!$A$2:$D$70,4,FALSE)</f>
        <v>0</v>
      </c>
      <c r="K4002" s="4">
        <f t="shared" si="1022"/>
        <v>45804</v>
      </c>
      <c r="L4002" s="5">
        <f t="shared" si="1028"/>
        <v>5</v>
      </c>
      <c r="M4002" s="5">
        <f t="shared" si="1029"/>
        <v>2025</v>
      </c>
      <c r="N4002" s="135">
        <v>405</v>
      </c>
      <c r="P4002" s="12">
        <f t="shared" si="1031"/>
        <v>405</v>
      </c>
      <c r="Q4002" s="7">
        <f t="shared" si="1027"/>
        <v>6626454.6500000032</v>
      </c>
      <c r="R4002" s="44" t="str">
        <f>VLOOKUP(F4002,'Set up'!$A$2:$E$70,5,FALSE)</f>
        <v>Trsf</v>
      </c>
    </row>
    <row r="4003" spans="1:18" ht="16.25" customHeight="1" x14ac:dyDescent="0.35">
      <c r="A4003" s="105" t="s">
        <v>3742</v>
      </c>
      <c r="B4003" s="5">
        <f t="shared" si="1025"/>
        <v>5</v>
      </c>
      <c r="C4003" s="5">
        <f t="shared" si="1026"/>
        <v>2025</v>
      </c>
      <c r="D4003" s="105" t="s">
        <v>3743</v>
      </c>
      <c r="E4003" s="5" t="str">
        <f>VLOOKUP(F4003,'Set up'!$A$2:$C$70,2,FALSE)</f>
        <v>C00000019</v>
      </c>
      <c r="F4003" s="99" t="s">
        <v>400</v>
      </c>
      <c r="G4003" s="99" t="s">
        <v>2449</v>
      </c>
      <c r="H4003" s="105">
        <v>1</v>
      </c>
      <c r="I4003" s="5" t="str">
        <f>VLOOKUP(F4003,'Set up'!$A$2:$C$70,3,FALSE)</f>
        <v>Cash</v>
      </c>
      <c r="J4003" s="5">
        <f>VLOOKUP(F4003,'Set up'!$A$2:$D$70,4,FALSE)</f>
        <v>0</v>
      </c>
      <c r="K4003" s="4">
        <f t="shared" si="1022"/>
        <v>45804</v>
      </c>
      <c r="L4003" s="5">
        <f t="shared" si="1028"/>
        <v>5</v>
      </c>
      <c r="M4003" s="5">
        <f t="shared" si="1029"/>
        <v>2025</v>
      </c>
      <c r="N4003" s="135">
        <v>420</v>
      </c>
      <c r="P4003" s="12">
        <f t="shared" si="1031"/>
        <v>420</v>
      </c>
      <c r="Q4003" s="7">
        <f t="shared" si="1027"/>
        <v>6626874.6500000032</v>
      </c>
      <c r="R4003" s="44" t="str">
        <f>VLOOKUP(F4003,'Set up'!$A$2:$E$70,5,FALSE)</f>
        <v>Trsf</v>
      </c>
    </row>
    <row r="4004" spans="1:18" ht="16.25" customHeight="1" x14ac:dyDescent="0.35">
      <c r="A4004" s="105" t="s">
        <v>3742</v>
      </c>
      <c r="B4004" s="5">
        <f t="shared" si="1025"/>
        <v>5</v>
      </c>
      <c r="C4004" s="5">
        <f t="shared" si="1026"/>
        <v>2025</v>
      </c>
      <c r="D4004" s="105" t="s">
        <v>3743</v>
      </c>
      <c r="E4004" s="5" t="str">
        <f>VLOOKUP(F4004,'Set up'!$A$2:$C$70,2,FALSE)</f>
        <v>C00000019</v>
      </c>
      <c r="F4004" s="99" t="s">
        <v>400</v>
      </c>
      <c r="G4004" s="99" t="s">
        <v>1469</v>
      </c>
      <c r="H4004" s="105">
        <v>1</v>
      </c>
      <c r="I4004" s="5" t="str">
        <f>VLOOKUP(F4004,'Set up'!$A$2:$C$70,3,FALSE)</f>
        <v>Cash</v>
      </c>
      <c r="J4004" s="5">
        <f>VLOOKUP(F4004,'Set up'!$A$2:$D$70,4,FALSE)</f>
        <v>0</v>
      </c>
      <c r="K4004" s="4">
        <f t="shared" ref="K4004:K4067" si="1032">A4004+J4004</f>
        <v>45804</v>
      </c>
      <c r="L4004" s="5">
        <f t="shared" si="1028"/>
        <v>5</v>
      </c>
      <c r="M4004" s="5">
        <f t="shared" si="1029"/>
        <v>2025</v>
      </c>
      <c r="N4004" s="135">
        <v>390</v>
      </c>
      <c r="P4004" s="12">
        <f t="shared" si="1031"/>
        <v>390</v>
      </c>
      <c r="Q4004" s="7">
        <f t="shared" si="1027"/>
        <v>6627264.6500000032</v>
      </c>
      <c r="R4004" s="44" t="str">
        <f>VLOOKUP(F4004,'Set up'!$A$2:$E$70,5,FALSE)</f>
        <v>Trsf</v>
      </c>
    </row>
    <row r="4005" spans="1:18" ht="16.25" customHeight="1" x14ac:dyDescent="0.35">
      <c r="A4005" s="105" t="s">
        <v>3742</v>
      </c>
      <c r="B4005" s="5">
        <f t="shared" si="1025"/>
        <v>5</v>
      </c>
      <c r="C4005" s="5">
        <f t="shared" si="1026"/>
        <v>2025</v>
      </c>
      <c r="D4005" s="105" t="s">
        <v>3743</v>
      </c>
      <c r="E4005" s="5" t="str">
        <f>VLOOKUP(F4005,'Set up'!$A$2:$C$70,2,FALSE)</f>
        <v>C00000019</v>
      </c>
      <c r="F4005" s="99" t="s">
        <v>400</v>
      </c>
      <c r="G4005" s="99" t="s">
        <v>2635</v>
      </c>
      <c r="H4005" s="105">
        <v>3</v>
      </c>
      <c r="I4005" s="5" t="str">
        <f>VLOOKUP(F4005,'Set up'!$A$2:$C$70,3,FALSE)</f>
        <v>Cash</v>
      </c>
      <c r="J4005" s="5">
        <f>VLOOKUP(F4005,'Set up'!$A$2:$D$70,4,FALSE)</f>
        <v>0</v>
      </c>
      <c r="K4005" s="4">
        <f t="shared" si="1032"/>
        <v>45804</v>
      </c>
      <c r="L4005" s="5">
        <f t="shared" si="1028"/>
        <v>5</v>
      </c>
      <c r="M4005" s="5">
        <f t="shared" si="1029"/>
        <v>2025</v>
      </c>
      <c r="N4005" s="135">
        <v>187.5</v>
      </c>
      <c r="P4005" s="12">
        <f t="shared" si="1031"/>
        <v>187.5</v>
      </c>
      <c r="Q4005" s="7">
        <f t="shared" si="1027"/>
        <v>6627452.1500000032</v>
      </c>
      <c r="R4005" s="44" t="str">
        <f>VLOOKUP(F4005,'Set up'!$A$2:$E$70,5,FALSE)</f>
        <v>Trsf</v>
      </c>
    </row>
    <row r="4006" spans="1:18" ht="16.25" customHeight="1" x14ac:dyDescent="0.35">
      <c r="A4006" s="105" t="s">
        <v>3742</v>
      </c>
      <c r="B4006" s="5">
        <f t="shared" si="1025"/>
        <v>5</v>
      </c>
      <c r="C4006" s="5">
        <f t="shared" si="1026"/>
        <v>2025</v>
      </c>
      <c r="D4006" s="105" t="s">
        <v>3744</v>
      </c>
      <c r="E4006" s="5" t="str">
        <f>VLOOKUP(F4006,'Set up'!$A$2:$C$70,2,FALSE)</f>
        <v>C00000042</v>
      </c>
      <c r="F4006" s="99" t="s">
        <v>2012</v>
      </c>
      <c r="G4006" s="99" t="s">
        <v>2646</v>
      </c>
      <c r="H4006" s="105">
        <v>2</v>
      </c>
      <c r="I4006" s="5" t="str">
        <f>VLOOKUP(F4006,'Set up'!$A$2:$C$70,3,FALSE)</f>
        <v>Cash</v>
      </c>
      <c r="J4006" s="5">
        <f>VLOOKUP(F4006,'Set up'!$A$2:$D$70,4,FALSE)</f>
        <v>0</v>
      </c>
      <c r="K4006" s="4">
        <f t="shared" si="1032"/>
        <v>45804</v>
      </c>
      <c r="L4006" s="5">
        <f t="shared" si="1028"/>
        <v>5</v>
      </c>
      <c r="M4006" s="5">
        <f t="shared" si="1029"/>
        <v>2025</v>
      </c>
      <c r="N4006" s="135">
        <v>125</v>
      </c>
      <c r="P4006" s="12">
        <f t="shared" si="1031"/>
        <v>125</v>
      </c>
      <c r="Q4006" s="7">
        <f t="shared" si="1027"/>
        <v>6627577.1500000032</v>
      </c>
      <c r="R4006" s="44" t="str">
        <f>VLOOKUP(F4006,'Set up'!$A$2:$E$70,5,FALSE)</f>
        <v>Trsf</v>
      </c>
    </row>
    <row r="4007" spans="1:18" ht="16.25" customHeight="1" x14ac:dyDescent="0.35">
      <c r="A4007" s="105" t="s">
        <v>3742</v>
      </c>
      <c r="B4007" s="5">
        <f t="shared" si="1025"/>
        <v>5</v>
      </c>
      <c r="C4007" s="5">
        <f t="shared" si="1026"/>
        <v>2025</v>
      </c>
      <c r="D4007" s="105" t="s">
        <v>3745</v>
      </c>
      <c r="E4007" s="5" t="str">
        <f>VLOOKUP(F4007,'Set up'!$A$2:$C$70,2,FALSE)</f>
        <v>C00000042</v>
      </c>
      <c r="F4007" s="99" t="s">
        <v>2012</v>
      </c>
      <c r="G4007" s="99" t="s">
        <v>3217</v>
      </c>
      <c r="H4007" s="105">
        <v>3</v>
      </c>
      <c r="I4007" s="5" t="str">
        <f>VLOOKUP(F4007,'Set up'!$A$2:$C$70,3,FALSE)</f>
        <v>Cash</v>
      </c>
      <c r="J4007" s="5">
        <f>VLOOKUP(F4007,'Set up'!$A$2:$D$70,4,FALSE)</f>
        <v>0</v>
      </c>
      <c r="K4007" s="4">
        <f t="shared" si="1032"/>
        <v>45804</v>
      </c>
      <c r="L4007" s="5">
        <f t="shared" si="1028"/>
        <v>5</v>
      </c>
      <c r="M4007" s="5">
        <f t="shared" si="1029"/>
        <v>2025</v>
      </c>
      <c r="N4007" s="135">
        <v>4860</v>
      </c>
      <c r="P4007" s="12">
        <f t="shared" si="1031"/>
        <v>4860</v>
      </c>
      <c r="Q4007" s="7">
        <f t="shared" si="1027"/>
        <v>6632437.1500000032</v>
      </c>
      <c r="R4007" s="44" t="str">
        <f>VLOOKUP(F4007,'Set up'!$A$2:$E$70,5,FALSE)</f>
        <v>Trsf</v>
      </c>
    </row>
    <row r="4008" spans="1:18" ht="16.25" customHeight="1" x14ac:dyDescent="0.35">
      <c r="A4008" s="105" t="s">
        <v>3742</v>
      </c>
      <c r="B4008" s="5">
        <f t="shared" si="1025"/>
        <v>5</v>
      </c>
      <c r="C4008" s="5">
        <f t="shared" si="1026"/>
        <v>2025</v>
      </c>
      <c r="D4008" s="105" t="s">
        <v>3745</v>
      </c>
      <c r="E4008" s="5" t="str">
        <f>VLOOKUP(F4008,'Set up'!$A$2:$C$70,2,FALSE)</f>
        <v>C00000042</v>
      </c>
      <c r="F4008" s="99" t="s">
        <v>2012</v>
      </c>
      <c r="G4008" s="99" t="s">
        <v>2129</v>
      </c>
      <c r="H4008" s="105">
        <v>9</v>
      </c>
      <c r="I4008" s="5" t="str">
        <f>VLOOKUP(F4008,'Set up'!$A$2:$C$70,3,FALSE)</f>
        <v>Cash</v>
      </c>
      <c r="J4008" s="5">
        <f>VLOOKUP(F4008,'Set up'!$A$2:$D$70,4,FALSE)</f>
        <v>0</v>
      </c>
      <c r="K4008" s="4">
        <f t="shared" si="1032"/>
        <v>45804</v>
      </c>
      <c r="L4008" s="5">
        <f t="shared" si="1028"/>
        <v>5</v>
      </c>
      <c r="M4008" s="5">
        <f t="shared" si="1029"/>
        <v>2025</v>
      </c>
      <c r="N4008" s="135">
        <v>1964.7</v>
      </c>
      <c r="P4008" s="12">
        <f t="shared" si="1031"/>
        <v>1964.7</v>
      </c>
      <c r="Q4008" s="7">
        <f t="shared" si="1027"/>
        <v>6634401.8500000034</v>
      </c>
      <c r="R4008" s="44" t="str">
        <f>VLOOKUP(F4008,'Set up'!$A$2:$E$70,5,FALSE)</f>
        <v>Trsf</v>
      </c>
    </row>
    <row r="4009" spans="1:18" ht="16.25" customHeight="1" x14ac:dyDescent="0.35">
      <c r="A4009" s="105" t="s">
        <v>3742</v>
      </c>
      <c r="B4009" s="5">
        <f t="shared" si="1025"/>
        <v>5</v>
      </c>
      <c r="C4009" s="5">
        <f t="shared" si="1026"/>
        <v>2025</v>
      </c>
      <c r="D4009" s="105" t="s">
        <v>3745</v>
      </c>
      <c r="E4009" s="5" t="str">
        <f>VLOOKUP(F4009,'Set up'!$A$2:$C$70,2,FALSE)</f>
        <v>C00000042</v>
      </c>
      <c r="F4009" s="99" t="s">
        <v>2012</v>
      </c>
      <c r="G4009" s="99" t="s">
        <v>1922</v>
      </c>
      <c r="H4009" s="105">
        <v>4</v>
      </c>
      <c r="I4009" s="5" t="str">
        <f>VLOOKUP(F4009,'Set up'!$A$2:$C$70,3,FALSE)</f>
        <v>Cash</v>
      </c>
      <c r="J4009" s="5">
        <f>VLOOKUP(F4009,'Set up'!$A$2:$D$70,4,FALSE)</f>
        <v>0</v>
      </c>
      <c r="K4009" s="4">
        <f t="shared" si="1032"/>
        <v>45804</v>
      </c>
      <c r="L4009" s="5">
        <f t="shared" si="1028"/>
        <v>5</v>
      </c>
      <c r="M4009" s="5">
        <f t="shared" si="1029"/>
        <v>2025</v>
      </c>
      <c r="N4009" s="135">
        <v>990</v>
      </c>
      <c r="P4009" s="12">
        <f t="shared" si="1031"/>
        <v>990</v>
      </c>
      <c r="Q4009" s="7">
        <f t="shared" si="1027"/>
        <v>6635391.8500000034</v>
      </c>
      <c r="R4009" s="44" t="str">
        <f>VLOOKUP(F4009,'Set up'!$A$2:$E$70,5,FALSE)</f>
        <v>Trsf</v>
      </c>
    </row>
    <row r="4010" spans="1:18" ht="16.25" customHeight="1" x14ac:dyDescent="0.35">
      <c r="A4010" s="105" t="s">
        <v>3746</v>
      </c>
      <c r="B4010" s="5">
        <f t="shared" si="1025"/>
        <v>5</v>
      </c>
      <c r="C4010" s="5">
        <f t="shared" si="1026"/>
        <v>2025</v>
      </c>
      <c r="D4010" s="105" t="s">
        <v>3747</v>
      </c>
      <c r="E4010" s="5" t="str">
        <f>VLOOKUP(F4010,'Set up'!$A$2:$C$70,2,FALSE)</f>
        <v>C00000042</v>
      </c>
      <c r="F4010" s="99" t="s">
        <v>2012</v>
      </c>
      <c r="G4010" s="99" t="s">
        <v>2646</v>
      </c>
      <c r="H4010" s="105">
        <v>2</v>
      </c>
      <c r="I4010" s="5" t="str">
        <f>VLOOKUP(F4010,'Set up'!$A$2:$C$70,3,FALSE)</f>
        <v>Cash</v>
      </c>
      <c r="J4010" s="5">
        <f>VLOOKUP(F4010,'Set up'!$A$2:$D$70,4,FALSE)</f>
        <v>0</v>
      </c>
      <c r="K4010" s="4">
        <f t="shared" si="1032"/>
        <v>45806</v>
      </c>
      <c r="L4010" s="5">
        <f t="shared" si="1028"/>
        <v>5</v>
      </c>
      <c r="M4010" s="5">
        <f t="shared" si="1029"/>
        <v>2025</v>
      </c>
      <c r="N4010" s="135">
        <v>125</v>
      </c>
      <c r="P4010" s="12">
        <f t="shared" si="1031"/>
        <v>125</v>
      </c>
      <c r="Q4010" s="7">
        <f t="shared" si="1027"/>
        <v>6635516.8500000034</v>
      </c>
      <c r="R4010" s="44" t="str">
        <f>VLOOKUP(F4010,'Set up'!$A$2:$E$70,5,FALSE)</f>
        <v>Trsf</v>
      </c>
    </row>
    <row r="4011" spans="1:18" ht="16.25" customHeight="1" x14ac:dyDescent="0.35">
      <c r="A4011" s="105" t="s">
        <v>3746</v>
      </c>
      <c r="B4011" s="5">
        <f t="shared" si="1025"/>
        <v>5</v>
      </c>
      <c r="C4011" s="5">
        <f t="shared" si="1026"/>
        <v>2025</v>
      </c>
      <c r="D4011" s="105" t="s">
        <v>3748</v>
      </c>
      <c r="E4011" s="5" t="str">
        <f>VLOOKUP(F4011,'Set up'!$A$2:$C$70,2,FALSE)</f>
        <v>C00000042</v>
      </c>
      <c r="F4011" s="99" t="s">
        <v>2012</v>
      </c>
      <c r="G4011" s="99" t="s">
        <v>3217</v>
      </c>
      <c r="H4011" s="105">
        <v>5</v>
      </c>
      <c r="I4011" s="5" t="str">
        <f>VLOOKUP(F4011,'Set up'!$A$2:$C$70,3,FALSE)</f>
        <v>Cash</v>
      </c>
      <c r="J4011" s="5">
        <f>VLOOKUP(F4011,'Set up'!$A$2:$D$70,4,FALSE)</f>
        <v>0</v>
      </c>
      <c r="K4011" s="4">
        <f t="shared" si="1032"/>
        <v>45806</v>
      </c>
      <c r="L4011" s="5">
        <f t="shared" si="1028"/>
        <v>5</v>
      </c>
      <c r="M4011" s="5">
        <f t="shared" si="1029"/>
        <v>2025</v>
      </c>
      <c r="N4011" s="135">
        <v>8100</v>
      </c>
      <c r="P4011" s="12">
        <f t="shared" si="1031"/>
        <v>8100</v>
      </c>
      <c r="Q4011" s="7">
        <f t="shared" si="1027"/>
        <v>6643616.8500000034</v>
      </c>
      <c r="R4011" s="44" t="str">
        <f>VLOOKUP(F4011,'Set up'!$A$2:$E$70,5,FALSE)</f>
        <v>Trsf</v>
      </c>
    </row>
    <row r="4012" spans="1:18" ht="16.25" customHeight="1" x14ac:dyDescent="0.35">
      <c r="A4012" s="105" t="s">
        <v>3746</v>
      </c>
      <c r="B4012" s="5">
        <f t="shared" si="1025"/>
        <v>5</v>
      </c>
      <c r="C4012" s="5">
        <f t="shared" si="1026"/>
        <v>2025</v>
      </c>
      <c r="D4012" s="105" t="s">
        <v>3748</v>
      </c>
      <c r="E4012" s="5" t="str">
        <f>VLOOKUP(F4012,'Set up'!$A$2:$C$70,2,FALSE)</f>
        <v>C00000042</v>
      </c>
      <c r="F4012" s="99" t="s">
        <v>2012</v>
      </c>
      <c r="G4012" s="99" t="s">
        <v>2129</v>
      </c>
      <c r="H4012" s="105">
        <v>6</v>
      </c>
      <c r="I4012" s="5" t="str">
        <f>VLOOKUP(F4012,'Set up'!$A$2:$C$70,3,FALSE)</f>
        <v>Cash</v>
      </c>
      <c r="J4012" s="5">
        <f>VLOOKUP(F4012,'Set up'!$A$2:$D$70,4,FALSE)</f>
        <v>0</v>
      </c>
      <c r="K4012" s="4">
        <f t="shared" si="1032"/>
        <v>45806</v>
      </c>
      <c r="L4012" s="5">
        <f t="shared" si="1028"/>
        <v>5</v>
      </c>
      <c r="M4012" s="5">
        <f t="shared" si="1029"/>
        <v>2025</v>
      </c>
      <c r="N4012" s="135">
        <v>1309.8</v>
      </c>
      <c r="P4012" s="12">
        <f t="shared" si="1031"/>
        <v>1309.8</v>
      </c>
      <c r="Q4012" s="7">
        <f t="shared" si="1027"/>
        <v>6644926.6500000032</v>
      </c>
      <c r="R4012" s="44" t="str">
        <f>VLOOKUP(F4012,'Set up'!$A$2:$E$70,5,FALSE)</f>
        <v>Trsf</v>
      </c>
    </row>
    <row r="4013" spans="1:18" ht="16.25" customHeight="1" x14ac:dyDescent="0.35">
      <c r="A4013" s="105" t="s">
        <v>3746</v>
      </c>
      <c r="B4013" s="5">
        <f t="shared" si="1025"/>
        <v>5</v>
      </c>
      <c r="C4013" s="5">
        <f t="shared" si="1026"/>
        <v>2025</v>
      </c>
      <c r="D4013" s="105" t="s">
        <v>3748</v>
      </c>
      <c r="E4013" s="5" t="str">
        <f>VLOOKUP(F4013,'Set up'!$A$2:$C$70,2,FALSE)</f>
        <v>C00000042</v>
      </c>
      <c r="F4013" s="99" t="s">
        <v>2012</v>
      </c>
      <c r="G4013" s="99" t="s">
        <v>1922</v>
      </c>
      <c r="H4013" s="105">
        <v>7</v>
      </c>
      <c r="I4013" s="5" t="str">
        <f>VLOOKUP(F4013,'Set up'!$A$2:$C$70,3,FALSE)</f>
        <v>Cash</v>
      </c>
      <c r="J4013" s="5">
        <f>VLOOKUP(F4013,'Set up'!$A$2:$D$70,4,FALSE)</f>
        <v>0</v>
      </c>
      <c r="K4013" s="4">
        <f t="shared" si="1032"/>
        <v>45806</v>
      </c>
      <c r="L4013" s="5">
        <f t="shared" si="1028"/>
        <v>5</v>
      </c>
      <c r="M4013" s="5">
        <f t="shared" si="1029"/>
        <v>2025</v>
      </c>
      <c r="N4013" s="135">
        <v>1732.5</v>
      </c>
      <c r="P4013" s="12">
        <f t="shared" si="1031"/>
        <v>1732.5</v>
      </c>
      <c r="Q4013" s="7">
        <f t="shared" si="1027"/>
        <v>6646659.1500000032</v>
      </c>
      <c r="R4013" s="44" t="str">
        <f>VLOOKUP(F4013,'Set up'!$A$2:$E$70,5,FALSE)</f>
        <v>Trsf</v>
      </c>
    </row>
    <row r="4014" spans="1:18" ht="16.25" customHeight="1" x14ac:dyDescent="0.35">
      <c r="A4014" s="105" t="s">
        <v>3746</v>
      </c>
      <c r="B4014" s="5">
        <f t="shared" si="1025"/>
        <v>5</v>
      </c>
      <c r="C4014" s="5">
        <f t="shared" si="1026"/>
        <v>2025</v>
      </c>
      <c r="D4014" s="105" t="s">
        <v>3748</v>
      </c>
      <c r="E4014" s="5" t="str">
        <f>VLOOKUP(F4014,'Set up'!$A$2:$C$70,2,FALSE)</f>
        <v>C00000042</v>
      </c>
      <c r="F4014" s="99" t="s">
        <v>2012</v>
      </c>
      <c r="G4014" s="99" t="s">
        <v>46</v>
      </c>
      <c r="H4014" s="105">
        <v>4</v>
      </c>
      <c r="I4014" s="5" t="str">
        <f>VLOOKUP(F4014,'Set up'!$A$2:$C$70,3,FALSE)</f>
        <v>Cash</v>
      </c>
      <c r="J4014" s="5">
        <f>VLOOKUP(F4014,'Set up'!$A$2:$D$70,4,FALSE)</f>
        <v>0</v>
      </c>
      <c r="K4014" s="4">
        <f t="shared" si="1032"/>
        <v>45806</v>
      </c>
      <c r="L4014" s="5">
        <f t="shared" si="1028"/>
        <v>5</v>
      </c>
      <c r="M4014" s="5">
        <f t="shared" si="1029"/>
        <v>2025</v>
      </c>
      <c r="N4014" s="135">
        <v>460</v>
      </c>
      <c r="P4014" s="12">
        <f t="shared" si="1031"/>
        <v>460</v>
      </c>
      <c r="Q4014" s="7">
        <f t="shared" si="1027"/>
        <v>6647119.1500000032</v>
      </c>
      <c r="R4014" s="44" t="str">
        <f>VLOOKUP(F4014,'Set up'!$A$2:$E$70,5,FALSE)</f>
        <v>Trsf</v>
      </c>
    </row>
    <row r="4015" spans="1:18" ht="16.25" customHeight="1" x14ac:dyDescent="0.35">
      <c r="A4015" s="105" t="s">
        <v>3746</v>
      </c>
      <c r="B4015" s="5">
        <f t="shared" si="1025"/>
        <v>5</v>
      </c>
      <c r="C4015" s="5">
        <f t="shared" si="1026"/>
        <v>2025</v>
      </c>
      <c r="D4015" s="105" t="s">
        <v>3748</v>
      </c>
      <c r="E4015" s="5" t="str">
        <f>VLOOKUP(F4015,'Set up'!$A$2:$C$70,2,FALSE)</f>
        <v>C00000042</v>
      </c>
      <c r="F4015" s="99" t="s">
        <v>2012</v>
      </c>
      <c r="G4015" s="99" t="s">
        <v>2744</v>
      </c>
      <c r="H4015" s="105">
        <v>1</v>
      </c>
      <c r="I4015" s="5" t="str">
        <f>VLOOKUP(F4015,'Set up'!$A$2:$C$70,3,FALSE)</f>
        <v>Cash</v>
      </c>
      <c r="J4015" s="5">
        <f>VLOOKUP(F4015,'Set up'!$A$2:$D$70,4,FALSE)</f>
        <v>0</v>
      </c>
      <c r="K4015" s="4">
        <f t="shared" si="1032"/>
        <v>45806</v>
      </c>
      <c r="L4015" s="5">
        <f t="shared" si="1028"/>
        <v>5</v>
      </c>
      <c r="M4015" s="5">
        <f t="shared" si="1029"/>
        <v>2025</v>
      </c>
      <c r="N4015" s="135">
        <v>975</v>
      </c>
      <c r="P4015" s="12">
        <f t="shared" si="1031"/>
        <v>975</v>
      </c>
      <c r="Q4015" s="7">
        <f t="shared" si="1027"/>
        <v>6648094.1500000032</v>
      </c>
      <c r="R4015" s="44" t="str">
        <f>VLOOKUP(F4015,'Set up'!$A$2:$E$70,5,FALSE)</f>
        <v>Trsf</v>
      </c>
    </row>
    <row r="4016" spans="1:18" ht="16.25" customHeight="1" x14ac:dyDescent="0.35">
      <c r="A4016" s="105" t="s">
        <v>3749</v>
      </c>
      <c r="B4016" s="5">
        <f t="shared" si="1025"/>
        <v>5</v>
      </c>
      <c r="C4016" s="5">
        <f t="shared" si="1026"/>
        <v>2025</v>
      </c>
      <c r="D4016" s="105" t="s">
        <v>3750</v>
      </c>
      <c r="E4016" s="5" t="str">
        <f>VLOOKUP(F4016,'Set up'!$A$2:$C$70,2,FALSE)</f>
        <v>C00000010</v>
      </c>
      <c r="F4016" s="99" t="s">
        <v>62</v>
      </c>
      <c r="G4016" s="99" t="s">
        <v>3645</v>
      </c>
      <c r="H4016" s="105">
        <v>10</v>
      </c>
      <c r="I4016" s="5">
        <f>VLOOKUP(F4016,'Set up'!$A$2:$C$70,3,FALSE)</f>
        <v>120</v>
      </c>
      <c r="J4016" s="5">
        <f>VLOOKUP(F4016,'Set up'!$A$2:$D$70,4,FALSE)</f>
        <v>120</v>
      </c>
      <c r="K4016" s="4">
        <f t="shared" si="1032"/>
        <v>45927</v>
      </c>
      <c r="L4016" s="5">
        <f t="shared" si="1028"/>
        <v>9</v>
      </c>
      <c r="M4016" s="5">
        <f t="shared" si="1029"/>
        <v>2025</v>
      </c>
      <c r="N4016" s="135">
        <v>15525</v>
      </c>
      <c r="P4016" s="12">
        <f t="shared" si="1031"/>
        <v>15525</v>
      </c>
      <c r="Q4016" s="7">
        <f t="shared" si="1027"/>
        <v>6663619.1500000032</v>
      </c>
      <c r="R4016" s="44" t="str">
        <f>VLOOKUP(F4016,'Set up'!$A$2:$E$70,5,FALSE)</f>
        <v>Trsf</v>
      </c>
    </row>
    <row r="4017" spans="1:19" ht="16.25" customHeight="1" x14ac:dyDescent="0.35">
      <c r="A4017" s="105" t="s">
        <v>3749</v>
      </c>
      <c r="B4017" s="5">
        <f t="shared" si="1025"/>
        <v>5</v>
      </c>
      <c r="C4017" s="5">
        <f t="shared" si="1026"/>
        <v>2025</v>
      </c>
      <c r="D4017" s="105" t="s">
        <v>3750</v>
      </c>
      <c r="E4017" s="5" t="str">
        <f>VLOOKUP(F4017,'Set up'!$A$2:$C$70,2,FALSE)</f>
        <v>C00000010</v>
      </c>
      <c r="F4017" s="99" t="s">
        <v>62</v>
      </c>
      <c r="G4017" s="99" t="s">
        <v>1543</v>
      </c>
      <c r="H4017" s="105">
        <v>10</v>
      </c>
      <c r="I4017" s="5">
        <f>VLOOKUP(F4017,'Set up'!$A$2:$C$70,3,FALSE)</f>
        <v>120</v>
      </c>
      <c r="J4017" s="5">
        <f>VLOOKUP(F4017,'Set up'!$A$2:$D$70,4,FALSE)</f>
        <v>120</v>
      </c>
      <c r="K4017" s="4">
        <f t="shared" si="1032"/>
        <v>45927</v>
      </c>
      <c r="L4017" s="5">
        <f t="shared" si="1028"/>
        <v>9</v>
      </c>
      <c r="M4017" s="5">
        <f t="shared" si="1029"/>
        <v>2025</v>
      </c>
      <c r="N4017" s="135">
        <v>1740</v>
      </c>
      <c r="P4017" s="12">
        <f t="shared" si="1031"/>
        <v>1740</v>
      </c>
      <c r="Q4017" s="7">
        <f t="shared" si="1027"/>
        <v>6665359.1500000032</v>
      </c>
      <c r="R4017" s="44" t="str">
        <f>VLOOKUP(F4017,'Set up'!$A$2:$E$70,5,FALSE)</f>
        <v>Trsf</v>
      </c>
    </row>
    <row r="4018" spans="1:19" ht="16.25" customHeight="1" x14ac:dyDescent="0.35">
      <c r="A4018" s="105" t="s">
        <v>3749</v>
      </c>
      <c r="B4018" s="5">
        <f t="shared" si="1025"/>
        <v>5</v>
      </c>
      <c r="C4018" s="5">
        <f t="shared" si="1026"/>
        <v>2025</v>
      </c>
      <c r="D4018" s="105" t="s">
        <v>3750</v>
      </c>
      <c r="E4018" s="5" t="str">
        <f>VLOOKUP(F4018,'Set up'!$A$2:$C$70,2,FALSE)</f>
        <v>C00000010</v>
      </c>
      <c r="F4018" s="99" t="s">
        <v>62</v>
      </c>
      <c r="G4018" s="99" t="s">
        <v>2635</v>
      </c>
      <c r="H4018" s="105">
        <v>20</v>
      </c>
      <c r="I4018" s="5">
        <f>VLOOKUP(F4018,'Set up'!$A$2:$C$70,3,FALSE)</f>
        <v>120</v>
      </c>
      <c r="J4018" s="5">
        <f>VLOOKUP(F4018,'Set up'!$A$2:$D$70,4,FALSE)</f>
        <v>120</v>
      </c>
      <c r="K4018" s="4">
        <f t="shared" si="1032"/>
        <v>45927</v>
      </c>
      <c r="L4018" s="5">
        <f t="shared" si="1028"/>
        <v>9</v>
      </c>
      <c r="M4018" s="5">
        <f t="shared" si="1029"/>
        <v>2025</v>
      </c>
      <c r="N4018" s="135">
        <v>1150</v>
      </c>
      <c r="P4018" s="12">
        <f t="shared" si="1031"/>
        <v>1150</v>
      </c>
      <c r="Q4018" s="7">
        <f t="shared" si="1027"/>
        <v>6666509.1500000032</v>
      </c>
      <c r="R4018" s="44" t="str">
        <f>VLOOKUP(F4018,'Set up'!$A$2:$E$70,5,FALSE)</f>
        <v>Trsf</v>
      </c>
    </row>
    <row r="4019" spans="1:19" ht="16.25" customHeight="1" x14ac:dyDescent="0.35">
      <c r="A4019" s="105" t="s">
        <v>3749</v>
      </c>
      <c r="B4019" s="5">
        <f t="shared" si="1025"/>
        <v>5</v>
      </c>
      <c r="C4019" s="5">
        <f t="shared" si="1026"/>
        <v>2025</v>
      </c>
      <c r="D4019" s="105" t="s">
        <v>3750</v>
      </c>
      <c r="E4019" s="5" t="str">
        <f>VLOOKUP(F4019,'Set up'!$A$2:$C$70,2,FALSE)</f>
        <v>C00000010</v>
      </c>
      <c r="F4019" s="99" t="s">
        <v>62</v>
      </c>
      <c r="G4019" s="99" t="s">
        <v>46</v>
      </c>
      <c r="H4019" s="105">
        <v>8</v>
      </c>
      <c r="I4019" s="5">
        <f>VLOOKUP(F4019,'Set up'!$A$2:$C$70,3,FALSE)</f>
        <v>120</v>
      </c>
      <c r="J4019" s="5">
        <f>VLOOKUP(F4019,'Set up'!$A$2:$D$70,4,FALSE)</f>
        <v>120</v>
      </c>
      <c r="K4019" s="4">
        <f t="shared" si="1032"/>
        <v>45927</v>
      </c>
      <c r="L4019" s="5">
        <f t="shared" si="1028"/>
        <v>9</v>
      </c>
      <c r="M4019" s="5">
        <f t="shared" si="1029"/>
        <v>2025</v>
      </c>
      <c r="N4019" s="135">
        <v>880</v>
      </c>
      <c r="P4019" s="12">
        <f t="shared" si="1031"/>
        <v>880</v>
      </c>
      <c r="Q4019" s="7">
        <f t="shared" si="1027"/>
        <v>6667389.1500000032</v>
      </c>
      <c r="R4019" s="44" t="str">
        <f>VLOOKUP(F4019,'Set up'!$A$2:$E$70,5,FALSE)</f>
        <v>Trsf</v>
      </c>
    </row>
    <row r="4020" spans="1:19" ht="16.25" customHeight="1" x14ac:dyDescent="0.35">
      <c r="A4020" s="105" t="s">
        <v>3749</v>
      </c>
      <c r="B4020" s="5">
        <f t="shared" si="1025"/>
        <v>5</v>
      </c>
      <c r="C4020" s="5">
        <f t="shared" si="1026"/>
        <v>2025</v>
      </c>
      <c r="D4020" s="105" t="s">
        <v>3750</v>
      </c>
      <c r="E4020" s="5" t="str">
        <f>VLOOKUP(F4020,'Set up'!$A$2:$C$70,2,FALSE)</f>
        <v>C00000010</v>
      </c>
      <c r="F4020" s="99" t="s">
        <v>62</v>
      </c>
      <c r="G4020" s="99" t="s">
        <v>2449</v>
      </c>
      <c r="H4020" s="105">
        <v>2</v>
      </c>
      <c r="I4020" s="5">
        <f>VLOOKUP(F4020,'Set up'!$A$2:$C$70,3,FALSE)</f>
        <v>120</v>
      </c>
      <c r="J4020" s="5">
        <f>VLOOKUP(F4020,'Set up'!$A$2:$D$70,4,FALSE)</f>
        <v>120</v>
      </c>
      <c r="K4020" s="4">
        <f t="shared" si="1032"/>
        <v>45927</v>
      </c>
      <c r="L4020" s="5">
        <f t="shared" si="1028"/>
        <v>9</v>
      </c>
      <c r="M4020" s="5">
        <f t="shared" si="1029"/>
        <v>2025</v>
      </c>
      <c r="N4020" s="135">
        <v>840</v>
      </c>
      <c r="P4020" s="12">
        <f t="shared" si="1031"/>
        <v>840</v>
      </c>
      <c r="Q4020" s="7">
        <f t="shared" si="1027"/>
        <v>6668229.1500000032</v>
      </c>
      <c r="R4020" s="44" t="str">
        <f>VLOOKUP(F4020,'Set up'!$A$2:$E$70,5,FALSE)</f>
        <v>Trsf</v>
      </c>
    </row>
    <row r="4021" spans="1:19" ht="16.25" customHeight="1" x14ac:dyDescent="0.35">
      <c r="A4021" s="105" t="s">
        <v>3749</v>
      </c>
      <c r="B4021" s="5">
        <f t="shared" si="1025"/>
        <v>5</v>
      </c>
      <c r="C4021" s="5">
        <f t="shared" si="1026"/>
        <v>2025</v>
      </c>
      <c r="D4021" s="105" t="s">
        <v>3750</v>
      </c>
      <c r="E4021" s="5" t="str">
        <f>VLOOKUP(F4021,'Set up'!$A$2:$C$70,2,FALSE)</f>
        <v>C00000010</v>
      </c>
      <c r="F4021" s="99" t="s">
        <v>62</v>
      </c>
      <c r="G4021" s="99" t="s">
        <v>614</v>
      </c>
      <c r="H4021" s="105">
        <v>1</v>
      </c>
      <c r="I4021" s="5">
        <f>VLOOKUP(F4021,'Set up'!$A$2:$C$70,3,FALSE)</f>
        <v>120</v>
      </c>
      <c r="J4021" s="5">
        <f>VLOOKUP(F4021,'Set up'!$A$2:$D$70,4,FALSE)</f>
        <v>120</v>
      </c>
      <c r="K4021" s="4">
        <f t="shared" si="1032"/>
        <v>45927</v>
      </c>
      <c r="L4021" s="5">
        <f t="shared" si="1028"/>
        <v>9</v>
      </c>
      <c r="M4021" s="5">
        <f t="shared" si="1029"/>
        <v>2025</v>
      </c>
      <c r="N4021" s="135">
        <v>395</v>
      </c>
      <c r="P4021" s="12">
        <f t="shared" si="1031"/>
        <v>395</v>
      </c>
      <c r="Q4021" s="7">
        <f t="shared" si="1027"/>
        <v>6668624.1500000032</v>
      </c>
      <c r="R4021" s="44" t="str">
        <f>VLOOKUP(F4021,'Set up'!$A$2:$E$70,5,FALSE)</f>
        <v>Trsf</v>
      </c>
    </row>
    <row r="4022" spans="1:19" ht="16.25" customHeight="1" x14ac:dyDescent="0.35">
      <c r="A4022" s="105" t="s">
        <v>3832</v>
      </c>
      <c r="B4022" s="5">
        <f t="shared" si="1025"/>
        <v>6</v>
      </c>
      <c r="C4022" s="5">
        <f t="shared" si="1026"/>
        <v>2025</v>
      </c>
      <c r="D4022" s="105" t="s">
        <v>3833</v>
      </c>
      <c r="E4022" s="5" t="str">
        <f>VLOOKUP(F4022,'Set up'!$A$2:$C$70,2,FALSE)</f>
        <v>C00000042</v>
      </c>
      <c r="F4022" s="99" t="s">
        <v>2012</v>
      </c>
      <c r="G4022" s="99" t="s">
        <v>2646</v>
      </c>
      <c r="H4022" s="105">
        <v>3</v>
      </c>
      <c r="I4022" s="5" t="str">
        <f>VLOOKUP(F4022,'Set up'!$A$2:$C$70,3,FALSE)</f>
        <v>Cash</v>
      </c>
      <c r="J4022" s="5">
        <f>VLOOKUP(F4022,'Set up'!$A$2:$D$70,4,FALSE)</f>
        <v>0</v>
      </c>
      <c r="K4022" s="4">
        <f t="shared" si="1032"/>
        <v>45811</v>
      </c>
      <c r="L4022" s="5">
        <f t="shared" si="1028"/>
        <v>6</v>
      </c>
      <c r="M4022" s="5">
        <f t="shared" si="1029"/>
        <v>2025</v>
      </c>
      <c r="N4022" s="135">
        <v>187.5</v>
      </c>
      <c r="P4022" s="12">
        <f t="shared" si="1031"/>
        <v>187.5</v>
      </c>
      <c r="Q4022" s="7">
        <f t="shared" si="1027"/>
        <v>6668811.6500000032</v>
      </c>
      <c r="R4022" s="44" t="str">
        <f>VLOOKUP(F4022,'Set up'!$A$2:$E$70,5,FALSE)</f>
        <v>Trsf</v>
      </c>
    </row>
    <row r="4023" spans="1:19" ht="16.25" customHeight="1" x14ac:dyDescent="0.35">
      <c r="A4023" s="105" t="s">
        <v>3832</v>
      </c>
      <c r="B4023" s="5">
        <f t="shared" si="1025"/>
        <v>6</v>
      </c>
      <c r="C4023" s="5">
        <f t="shared" si="1026"/>
        <v>2025</v>
      </c>
      <c r="D4023" s="105" t="s">
        <v>3834</v>
      </c>
      <c r="E4023" s="5" t="str">
        <f>VLOOKUP(F4023,'Set up'!$A$2:$C$70,2,FALSE)</f>
        <v>C00000042</v>
      </c>
      <c r="F4023" s="99" t="s">
        <v>2012</v>
      </c>
      <c r="G4023" s="99" t="s">
        <v>3217</v>
      </c>
      <c r="H4023" s="105">
        <v>5</v>
      </c>
      <c r="I4023" s="5" t="str">
        <f>VLOOKUP(F4023,'Set up'!$A$2:$C$70,3,FALSE)</f>
        <v>Cash</v>
      </c>
      <c r="J4023" s="5">
        <f>VLOOKUP(F4023,'Set up'!$A$2:$D$70,4,FALSE)</f>
        <v>0</v>
      </c>
      <c r="K4023" s="4">
        <f t="shared" si="1032"/>
        <v>45811</v>
      </c>
      <c r="L4023" s="5">
        <f t="shared" si="1028"/>
        <v>6</v>
      </c>
      <c r="M4023" s="5">
        <f t="shared" si="1029"/>
        <v>2025</v>
      </c>
      <c r="N4023" s="135">
        <v>8100</v>
      </c>
      <c r="P4023" s="12">
        <f t="shared" si="1031"/>
        <v>8100</v>
      </c>
      <c r="Q4023" s="7">
        <f t="shared" si="1027"/>
        <v>6676911.6500000032</v>
      </c>
      <c r="R4023" s="44" t="str">
        <f>VLOOKUP(F4023,'Set up'!$A$2:$E$70,5,FALSE)</f>
        <v>Trsf</v>
      </c>
    </row>
    <row r="4024" spans="1:19" ht="16.25" customHeight="1" x14ac:dyDescent="0.35">
      <c r="A4024" s="105" t="s">
        <v>3832</v>
      </c>
      <c r="B4024" s="5">
        <f t="shared" si="1025"/>
        <v>6</v>
      </c>
      <c r="C4024" s="5">
        <f t="shared" si="1026"/>
        <v>2025</v>
      </c>
      <c r="D4024" s="105" t="s">
        <v>3834</v>
      </c>
      <c r="E4024" s="5" t="str">
        <f>VLOOKUP(F4024,'Set up'!$A$2:$C$70,2,FALSE)</f>
        <v>C00000042</v>
      </c>
      <c r="F4024" s="99" t="s">
        <v>2012</v>
      </c>
      <c r="G4024" s="99" t="s">
        <v>2129</v>
      </c>
      <c r="H4024" s="105">
        <v>15</v>
      </c>
      <c r="I4024" s="5" t="str">
        <f>VLOOKUP(F4024,'Set up'!$A$2:$C$70,3,FALSE)</f>
        <v>Cash</v>
      </c>
      <c r="J4024" s="5">
        <f>VLOOKUP(F4024,'Set up'!$A$2:$D$70,4,FALSE)</f>
        <v>0</v>
      </c>
      <c r="K4024" s="4">
        <f t="shared" si="1032"/>
        <v>45811</v>
      </c>
      <c r="L4024" s="5">
        <f t="shared" si="1028"/>
        <v>6</v>
      </c>
      <c r="M4024" s="5">
        <f t="shared" si="1029"/>
        <v>2025</v>
      </c>
      <c r="N4024" s="135">
        <v>3274.5</v>
      </c>
      <c r="P4024" s="12">
        <f t="shared" si="1031"/>
        <v>3274.5</v>
      </c>
      <c r="Q4024" s="7">
        <f t="shared" si="1027"/>
        <v>6680186.1500000032</v>
      </c>
      <c r="R4024" s="44" t="str">
        <f>VLOOKUP(F4024,'Set up'!$A$2:$E$70,5,FALSE)</f>
        <v>Trsf</v>
      </c>
    </row>
    <row r="4025" spans="1:19" ht="16.25" customHeight="1" x14ac:dyDescent="0.35">
      <c r="A4025" s="105" t="s">
        <v>3832</v>
      </c>
      <c r="B4025" s="5">
        <f t="shared" si="1025"/>
        <v>6</v>
      </c>
      <c r="C4025" s="5">
        <f t="shared" si="1026"/>
        <v>2025</v>
      </c>
      <c r="D4025" s="105" t="s">
        <v>3834</v>
      </c>
      <c r="E4025" s="5" t="str">
        <f>VLOOKUP(F4025,'Set up'!$A$2:$C$70,2,FALSE)</f>
        <v>C00000042</v>
      </c>
      <c r="F4025" s="99" t="s">
        <v>2012</v>
      </c>
      <c r="G4025" s="99" t="s">
        <v>1922</v>
      </c>
      <c r="H4025" s="105">
        <v>7</v>
      </c>
      <c r="I4025" s="5" t="str">
        <f>VLOOKUP(F4025,'Set up'!$A$2:$C$70,3,FALSE)</f>
        <v>Cash</v>
      </c>
      <c r="J4025" s="5">
        <f>VLOOKUP(F4025,'Set up'!$A$2:$D$70,4,FALSE)</f>
        <v>0</v>
      </c>
      <c r="K4025" s="4">
        <f t="shared" si="1032"/>
        <v>45811</v>
      </c>
      <c r="L4025" s="5">
        <f t="shared" si="1028"/>
        <v>6</v>
      </c>
      <c r="M4025" s="5">
        <f t="shared" si="1029"/>
        <v>2025</v>
      </c>
      <c r="N4025" s="135">
        <v>1732.5</v>
      </c>
      <c r="P4025" s="12">
        <f t="shared" si="1031"/>
        <v>1732.5</v>
      </c>
      <c r="Q4025" s="7">
        <f t="shared" si="1027"/>
        <v>6681918.6500000032</v>
      </c>
      <c r="R4025" s="44" t="str">
        <f>VLOOKUP(F4025,'Set up'!$A$2:$E$70,5,FALSE)</f>
        <v>Trsf</v>
      </c>
    </row>
    <row r="4026" spans="1:19" ht="16.25" customHeight="1" x14ac:dyDescent="0.35">
      <c r="A4026" s="105" t="s">
        <v>3832</v>
      </c>
      <c r="B4026" s="5">
        <f t="shared" si="1025"/>
        <v>6</v>
      </c>
      <c r="C4026" s="5">
        <f t="shared" si="1026"/>
        <v>2025</v>
      </c>
      <c r="D4026" s="105" t="s">
        <v>3834</v>
      </c>
      <c r="E4026" s="5" t="str">
        <f>VLOOKUP(F4026,'Set up'!$A$2:$C$70,2,FALSE)</f>
        <v>C00000042</v>
      </c>
      <c r="F4026" s="99" t="s">
        <v>2012</v>
      </c>
      <c r="G4026" s="99" t="s">
        <v>2744</v>
      </c>
      <c r="H4026" s="105">
        <v>1</v>
      </c>
      <c r="I4026" s="5" t="str">
        <f>VLOOKUP(F4026,'Set up'!$A$2:$C$70,3,FALSE)</f>
        <v>Cash</v>
      </c>
      <c r="J4026" s="5">
        <f>VLOOKUP(F4026,'Set up'!$A$2:$D$70,4,FALSE)</f>
        <v>0</v>
      </c>
      <c r="K4026" s="4">
        <f t="shared" si="1032"/>
        <v>45811</v>
      </c>
      <c r="L4026" s="5">
        <f t="shared" si="1028"/>
        <v>6</v>
      </c>
      <c r="M4026" s="5">
        <f t="shared" si="1029"/>
        <v>2025</v>
      </c>
      <c r="N4026" s="135">
        <v>975</v>
      </c>
      <c r="P4026" s="12">
        <f t="shared" si="1031"/>
        <v>975</v>
      </c>
      <c r="Q4026" s="7">
        <f t="shared" si="1027"/>
        <v>6682893.6500000032</v>
      </c>
      <c r="R4026" s="44" t="str">
        <f>VLOOKUP(F4026,'Set up'!$A$2:$E$70,5,FALSE)</f>
        <v>Trsf</v>
      </c>
    </row>
    <row r="4027" spans="1:19" ht="16.25" customHeight="1" x14ac:dyDescent="0.35">
      <c r="A4027" s="105" t="s">
        <v>3835</v>
      </c>
      <c r="B4027" s="5">
        <f t="shared" si="1025"/>
        <v>6</v>
      </c>
      <c r="C4027" s="5">
        <f t="shared" si="1026"/>
        <v>2025</v>
      </c>
      <c r="D4027" s="105" t="s">
        <v>3836</v>
      </c>
      <c r="E4027" s="5" t="str">
        <f>VLOOKUP(F4027,'Set up'!$A$2:$C$70,2,FALSE)</f>
        <v>C00000063</v>
      </c>
      <c r="F4027" s="99" t="s">
        <v>3837</v>
      </c>
      <c r="G4027" s="99" t="s">
        <v>1443</v>
      </c>
      <c r="H4027" s="105">
        <v>2</v>
      </c>
      <c r="I4027" s="5" t="str">
        <f>VLOOKUP(F4027,'Set up'!$A$2:$C$70,3,FALSE)</f>
        <v>Cash</v>
      </c>
      <c r="J4027" s="5">
        <f>VLOOKUP(F4027,'Set up'!$A$2:$D$70,4,FALSE)</f>
        <v>0</v>
      </c>
      <c r="K4027" s="4">
        <f t="shared" si="1032"/>
        <v>45812</v>
      </c>
      <c r="L4027" s="5">
        <f t="shared" si="1028"/>
        <v>6</v>
      </c>
      <c r="M4027" s="5">
        <f t="shared" si="1029"/>
        <v>2025</v>
      </c>
      <c r="N4027" s="135">
        <v>777.6</v>
      </c>
      <c r="O4027" s="6">
        <f t="shared" ref="O4027:O4037" si="1033">-N4027</f>
        <v>-777.6</v>
      </c>
      <c r="P4027" s="12">
        <f t="shared" si="1031"/>
        <v>0</v>
      </c>
      <c r="Q4027" s="7">
        <f t="shared" si="1027"/>
        <v>6683671.2500000028</v>
      </c>
      <c r="R4027" s="44" t="str">
        <f>VLOOKUP(F4027,'Set up'!$A$2:$E$70,5,FALSE)</f>
        <v>Cash</v>
      </c>
      <c r="S4027" s="1" t="s">
        <v>3946</v>
      </c>
    </row>
    <row r="4028" spans="1:19" ht="16.25" customHeight="1" x14ac:dyDescent="0.35">
      <c r="A4028" s="105" t="s">
        <v>3835</v>
      </c>
      <c r="B4028" s="5">
        <f t="shared" si="1025"/>
        <v>6</v>
      </c>
      <c r="C4028" s="5">
        <f t="shared" si="1026"/>
        <v>2025</v>
      </c>
      <c r="D4028" s="105" t="s">
        <v>3836</v>
      </c>
      <c r="E4028" s="5" t="str">
        <f>VLOOKUP(F4028,'Set up'!$A$2:$C$70,2,FALSE)</f>
        <v>C00000063</v>
      </c>
      <c r="F4028" s="99" t="s">
        <v>3837</v>
      </c>
      <c r="G4028" s="99" t="s">
        <v>1444</v>
      </c>
      <c r="H4028" s="105">
        <v>1</v>
      </c>
      <c r="I4028" s="5" t="str">
        <f>VLOOKUP(F4028,'Set up'!$A$2:$C$70,3,FALSE)</f>
        <v>Cash</v>
      </c>
      <c r="J4028" s="5">
        <f>VLOOKUP(F4028,'Set up'!$A$2:$D$70,4,FALSE)</f>
        <v>0</v>
      </c>
      <c r="K4028" s="4">
        <f t="shared" si="1032"/>
        <v>45812</v>
      </c>
      <c r="L4028" s="5">
        <f t="shared" si="1028"/>
        <v>6</v>
      </c>
      <c r="M4028" s="5">
        <f t="shared" si="1029"/>
        <v>2025</v>
      </c>
      <c r="N4028" s="135">
        <v>388.8</v>
      </c>
      <c r="O4028" s="6">
        <f t="shared" si="1033"/>
        <v>-388.8</v>
      </c>
      <c r="P4028" s="12">
        <f t="shared" si="1031"/>
        <v>0</v>
      </c>
      <c r="Q4028" s="7">
        <f t="shared" si="1027"/>
        <v>6684060.0500000026</v>
      </c>
      <c r="R4028" s="44" t="str">
        <f>VLOOKUP(F4028,'Set up'!$A$2:$E$70,5,FALSE)</f>
        <v>Cash</v>
      </c>
      <c r="S4028" s="1" t="s">
        <v>3946</v>
      </c>
    </row>
    <row r="4029" spans="1:19" ht="16.25" customHeight="1" x14ac:dyDescent="0.35">
      <c r="A4029" s="105" t="s">
        <v>3835</v>
      </c>
      <c r="B4029" s="5">
        <f t="shared" si="1025"/>
        <v>6</v>
      </c>
      <c r="C4029" s="5">
        <f t="shared" si="1026"/>
        <v>2025</v>
      </c>
      <c r="D4029" s="105" t="s">
        <v>3836</v>
      </c>
      <c r="E4029" s="5" t="str">
        <f>VLOOKUP(F4029,'Set up'!$A$2:$C$70,2,FALSE)</f>
        <v>C00000063</v>
      </c>
      <c r="F4029" s="99" t="s">
        <v>3837</v>
      </c>
      <c r="G4029" s="99" t="s">
        <v>3838</v>
      </c>
      <c r="H4029" s="105">
        <v>2</v>
      </c>
      <c r="I4029" s="5" t="str">
        <f>VLOOKUP(F4029,'Set up'!$A$2:$C$70,3,FALSE)</f>
        <v>Cash</v>
      </c>
      <c r="J4029" s="5">
        <f>VLOOKUP(F4029,'Set up'!$A$2:$D$70,4,FALSE)</f>
        <v>0</v>
      </c>
      <c r="K4029" s="4">
        <f t="shared" si="1032"/>
        <v>45812</v>
      </c>
      <c r="L4029" s="5">
        <f t="shared" si="1028"/>
        <v>6</v>
      </c>
      <c r="M4029" s="5">
        <f t="shared" si="1029"/>
        <v>2025</v>
      </c>
      <c r="N4029" s="135">
        <v>640</v>
      </c>
      <c r="O4029" s="6">
        <f t="shared" si="1033"/>
        <v>-640</v>
      </c>
      <c r="P4029" s="12">
        <f t="shared" si="1031"/>
        <v>0</v>
      </c>
      <c r="Q4029" s="7">
        <f t="shared" si="1027"/>
        <v>6684700.0500000026</v>
      </c>
      <c r="R4029" s="44" t="str">
        <f>VLOOKUP(F4029,'Set up'!$A$2:$E$70,5,FALSE)</f>
        <v>Cash</v>
      </c>
      <c r="S4029" s="1" t="s">
        <v>3946</v>
      </c>
    </row>
    <row r="4030" spans="1:19" ht="16.25" customHeight="1" x14ac:dyDescent="0.35">
      <c r="A4030" s="105" t="s">
        <v>3835</v>
      </c>
      <c r="B4030" s="5">
        <f t="shared" si="1025"/>
        <v>6</v>
      </c>
      <c r="C4030" s="5">
        <f t="shared" si="1026"/>
        <v>2025</v>
      </c>
      <c r="D4030" s="105" t="s">
        <v>3836</v>
      </c>
      <c r="E4030" s="5" t="str">
        <f>VLOOKUP(F4030,'Set up'!$A$2:$C$70,2,FALSE)</f>
        <v>C00000063</v>
      </c>
      <c r="F4030" s="99" t="s">
        <v>3837</v>
      </c>
      <c r="G4030" s="99" t="s">
        <v>1446</v>
      </c>
      <c r="H4030" s="105">
        <v>4</v>
      </c>
      <c r="I4030" s="5" t="str">
        <f>VLOOKUP(F4030,'Set up'!$A$2:$C$70,3,FALSE)</f>
        <v>Cash</v>
      </c>
      <c r="J4030" s="5">
        <f>VLOOKUP(F4030,'Set up'!$A$2:$D$70,4,FALSE)</f>
        <v>0</v>
      </c>
      <c r="K4030" s="4">
        <f t="shared" si="1032"/>
        <v>45812</v>
      </c>
      <c r="L4030" s="5">
        <f t="shared" si="1028"/>
        <v>6</v>
      </c>
      <c r="M4030" s="5">
        <f t="shared" si="1029"/>
        <v>2025</v>
      </c>
      <c r="N4030" s="135">
        <v>240</v>
      </c>
      <c r="O4030" s="6">
        <f t="shared" si="1033"/>
        <v>-240</v>
      </c>
      <c r="P4030" s="12">
        <f t="shared" si="1031"/>
        <v>0</v>
      </c>
      <c r="Q4030" s="7">
        <f t="shared" si="1027"/>
        <v>6684940.0500000026</v>
      </c>
      <c r="R4030" s="44" t="str">
        <f>VLOOKUP(F4030,'Set up'!$A$2:$E$70,5,FALSE)</f>
        <v>Cash</v>
      </c>
      <c r="S4030" s="1" t="s">
        <v>3946</v>
      </c>
    </row>
    <row r="4031" spans="1:19" ht="16.25" customHeight="1" x14ac:dyDescent="0.35">
      <c r="A4031" s="105" t="s">
        <v>3835</v>
      </c>
      <c r="B4031" s="5">
        <f t="shared" si="1025"/>
        <v>6</v>
      </c>
      <c r="C4031" s="5">
        <f t="shared" si="1026"/>
        <v>2025</v>
      </c>
      <c r="D4031" s="105" t="s">
        <v>3836</v>
      </c>
      <c r="E4031" s="5" t="str">
        <f>VLOOKUP(F4031,'Set up'!$A$2:$C$70,2,FALSE)</f>
        <v>C00000063</v>
      </c>
      <c r="F4031" s="99" t="s">
        <v>3837</v>
      </c>
      <c r="G4031" s="99" t="s">
        <v>3839</v>
      </c>
      <c r="H4031" s="105">
        <v>2</v>
      </c>
      <c r="I4031" s="5" t="str">
        <f>VLOOKUP(F4031,'Set up'!$A$2:$C$70,3,FALSE)</f>
        <v>Cash</v>
      </c>
      <c r="J4031" s="5">
        <f>VLOOKUP(F4031,'Set up'!$A$2:$D$70,4,FALSE)</f>
        <v>0</v>
      </c>
      <c r="K4031" s="4">
        <f t="shared" si="1032"/>
        <v>45812</v>
      </c>
      <c r="L4031" s="5">
        <f t="shared" si="1028"/>
        <v>6</v>
      </c>
      <c r="M4031" s="5">
        <f t="shared" si="1029"/>
        <v>2025</v>
      </c>
      <c r="N4031" s="135">
        <v>320</v>
      </c>
      <c r="O4031" s="6">
        <f t="shared" si="1033"/>
        <v>-320</v>
      </c>
      <c r="P4031" s="12">
        <f t="shared" si="1031"/>
        <v>0</v>
      </c>
      <c r="Q4031" s="7">
        <f t="shared" si="1027"/>
        <v>6685260.0500000026</v>
      </c>
      <c r="R4031" s="44" t="str">
        <f>VLOOKUP(F4031,'Set up'!$A$2:$E$70,5,FALSE)</f>
        <v>Cash</v>
      </c>
      <c r="S4031" s="1" t="s">
        <v>3946</v>
      </c>
    </row>
    <row r="4032" spans="1:19" ht="16.25" customHeight="1" x14ac:dyDescent="0.35">
      <c r="A4032" s="105" t="s">
        <v>3835</v>
      </c>
      <c r="B4032" s="5">
        <f t="shared" si="1025"/>
        <v>6</v>
      </c>
      <c r="C4032" s="5">
        <f t="shared" si="1026"/>
        <v>2025</v>
      </c>
      <c r="D4032" s="105" t="s">
        <v>3836</v>
      </c>
      <c r="E4032" s="5" t="str">
        <f>VLOOKUP(F4032,'Set up'!$A$2:$C$70,2,FALSE)</f>
        <v>C00000063</v>
      </c>
      <c r="F4032" s="99" t="s">
        <v>3837</v>
      </c>
      <c r="G4032" s="99" t="s">
        <v>1637</v>
      </c>
      <c r="H4032" s="105">
        <v>1</v>
      </c>
      <c r="I4032" s="5" t="str">
        <f>VLOOKUP(F4032,'Set up'!$A$2:$C$70,3,FALSE)</f>
        <v>Cash</v>
      </c>
      <c r="J4032" s="5">
        <f>VLOOKUP(F4032,'Set up'!$A$2:$D$70,4,FALSE)</f>
        <v>0</v>
      </c>
      <c r="K4032" s="4">
        <f t="shared" si="1032"/>
        <v>45812</v>
      </c>
      <c r="L4032" s="5">
        <f t="shared" si="1028"/>
        <v>6</v>
      </c>
      <c r="M4032" s="5">
        <f t="shared" si="1029"/>
        <v>2025</v>
      </c>
      <c r="N4032" s="135">
        <v>390</v>
      </c>
      <c r="O4032" s="6">
        <f t="shared" si="1033"/>
        <v>-390</v>
      </c>
      <c r="P4032" s="12">
        <f t="shared" si="1031"/>
        <v>0</v>
      </c>
      <c r="Q4032" s="7">
        <f t="shared" si="1027"/>
        <v>6685650.0500000026</v>
      </c>
      <c r="R4032" s="44" t="str">
        <f>VLOOKUP(F4032,'Set up'!$A$2:$E$70,5,FALSE)</f>
        <v>Cash</v>
      </c>
      <c r="S4032" s="1" t="s">
        <v>3946</v>
      </c>
    </row>
    <row r="4033" spans="1:19" ht="16.25" customHeight="1" x14ac:dyDescent="0.35">
      <c r="A4033" s="105" t="s">
        <v>3835</v>
      </c>
      <c r="B4033" s="5">
        <f t="shared" si="1025"/>
        <v>6</v>
      </c>
      <c r="C4033" s="5">
        <f t="shared" si="1026"/>
        <v>2025</v>
      </c>
      <c r="D4033" s="105" t="s">
        <v>3836</v>
      </c>
      <c r="E4033" s="5" t="str">
        <f>VLOOKUP(F4033,'Set up'!$A$2:$C$70,2,FALSE)</f>
        <v>C00000063</v>
      </c>
      <c r="F4033" s="99" t="s">
        <v>3837</v>
      </c>
      <c r="G4033" s="99" t="s">
        <v>1449</v>
      </c>
      <c r="H4033" s="105">
        <v>2</v>
      </c>
      <c r="I4033" s="5" t="str">
        <f>VLOOKUP(F4033,'Set up'!$A$2:$C$70,3,FALSE)</f>
        <v>Cash</v>
      </c>
      <c r="J4033" s="5">
        <f>VLOOKUP(F4033,'Set up'!$A$2:$D$70,4,FALSE)</f>
        <v>0</v>
      </c>
      <c r="K4033" s="4">
        <f t="shared" si="1032"/>
        <v>45812</v>
      </c>
      <c r="L4033" s="5">
        <f t="shared" si="1028"/>
        <v>6</v>
      </c>
      <c r="M4033" s="5">
        <f t="shared" si="1029"/>
        <v>2025</v>
      </c>
      <c r="N4033" s="135">
        <v>230</v>
      </c>
      <c r="O4033" s="6">
        <f t="shared" si="1033"/>
        <v>-230</v>
      </c>
      <c r="P4033" s="12">
        <f t="shared" si="1031"/>
        <v>0</v>
      </c>
      <c r="Q4033" s="7">
        <f t="shared" si="1027"/>
        <v>6685880.0500000026</v>
      </c>
      <c r="R4033" s="44" t="str">
        <f>VLOOKUP(F4033,'Set up'!$A$2:$E$70,5,FALSE)</f>
        <v>Cash</v>
      </c>
      <c r="S4033" s="1" t="s">
        <v>3946</v>
      </c>
    </row>
    <row r="4034" spans="1:19" ht="16.25" customHeight="1" x14ac:dyDescent="0.35">
      <c r="A4034" s="105" t="s">
        <v>3835</v>
      </c>
      <c r="B4034" s="5">
        <f t="shared" si="1025"/>
        <v>6</v>
      </c>
      <c r="C4034" s="5">
        <f t="shared" si="1026"/>
        <v>2025</v>
      </c>
      <c r="D4034" s="105" t="s">
        <v>3836</v>
      </c>
      <c r="E4034" s="5" t="str">
        <f>VLOOKUP(F4034,'Set up'!$A$2:$C$70,2,FALSE)</f>
        <v>C00000063</v>
      </c>
      <c r="F4034" s="99" t="s">
        <v>3837</v>
      </c>
      <c r="G4034" s="99" t="s">
        <v>1450</v>
      </c>
      <c r="H4034" s="105">
        <v>1</v>
      </c>
      <c r="I4034" s="5" t="str">
        <f>VLOOKUP(F4034,'Set up'!$A$2:$C$70,3,FALSE)</f>
        <v>Cash</v>
      </c>
      <c r="J4034" s="5">
        <f>VLOOKUP(F4034,'Set up'!$A$2:$D$70,4,FALSE)</f>
        <v>0</v>
      </c>
      <c r="K4034" s="4">
        <f t="shared" si="1032"/>
        <v>45812</v>
      </c>
      <c r="L4034" s="5">
        <f t="shared" si="1028"/>
        <v>6</v>
      </c>
      <c r="M4034" s="5">
        <f t="shared" si="1029"/>
        <v>2025</v>
      </c>
      <c r="N4034" s="135">
        <v>60</v>
      </c>
      <c r="O4034" s="6">
        <f t="shared" si="1033"/>
        <v>-60</v>
      </c>
      <c r="P4034" s="12">
        <f t="shared" si="1031"/>
        <v>0</v>
      </c>
      <c r="Q4034" s="7">
        <f t="shared" si="1027"/>
        <v>6685940.0500000026</v>
      </c>
      <c r="R4034" s="44" t="str">
        <f>VLOOKUP(F4034,'Set up'!$A$2:$E$70,5,FALSE)</f>
        <v>Cash</v>
      </c>
      <c r="S4034" s="1" t="s">
        <v>3946</v>
      </c>
    </row>
    <row r="4035" spans="1:19" ht="16.25" customHeight="1" x14ac:dyDescent="0.35">
      <c r="A4035" s="105" t="s">
        <v>3835</v>
      </c>
      <c r="B4035" s="5">
        <f t="shared" ref="B4035:B4098" si="1034">MONTH(A4035)</f>
        <v>6</v>
      </c>
      <c r="C4035" s="5">
        <f t="shared" ref="C4035:C4098" si="1035">YEAR(A4035)</f>
        <v>2025</v>
      </c>
      <c r="D4035" s="105" t="s">
        <v>3836</v>
      </c>
      <c r="E4035" s="5" t="str">
        <f>VLOOKUP(F4035,'Set up'!$A$2:$C$70,2,FALSE)</f>
        <v>C00000063</v>
      </c>
      <c r="F4035" s="99" t="s">
        <v>3837</v>
      </c>
      <c r="G4035" s="99" t="s">
        <v>3840</v>
      </c>
      <c r="H4035" s="105">
        <v>1</v>
      </c>
      <c r="I4035" s="5" t="str">
        <f>VLOOKUP(F4035,'Set up'!$A$2:$C$70,3,FALSE)</f>
        <v>Cash</v>
      </c>
      <c r="J4035" s="5">
        <f>VLOOKUP(F4035,'Set up'!$A$2:$D$70,4,FALSE)</f>
        <v>0</v>
      </c>
      <c r="K4035" s="4">
        <f t="shared" si="1032"/>
        <v>45812</v>
      </c>
      <c r="L4035" s="5">
        <f t="shared" si="1028"/>
        <v>6</v>
      </c>
      <c r="M4035" s="5">
        <f t="shared" si="1029"/>
        <v>2025</v>
      </c>
      <c r="N4035" s="135">
        <v>240</v>
      </c>
      <c r="O4035" s="6">
        <f t="shared" si="1033"/>
        <v>-240</v>
      </c>
      <c r="P4035" s="12">
        <f t="shared" si="1031"/>
        <v>0</v>
      </c>
      <c r="Q4035" s="7">
        <f t="shared" si="1027"/>
        <v>6686180.0500000026</v>
      </c>
      <c r="R4035" s="44" t="str">
        <f>VLOOKUP(F4035,'Set up'!$A$2:$E$70,5,FALSE)</f>
        <v>Cash</v>
      </c>
      <c r="S4035" s="1" t="s">
        <v>3946</v>
      </c>
    </row>
    <row r="4036" spans="1:19" ht="16.25" customHeight="1" x14ac:dyDescent="0.35">
      <c r="A4036" s="105" t="s">
        <v>3835</v>
      </c>
      <c r="B4036" s="5">
        <f t="shared" si="1034"/>
        <v>6</v>
      </c>
      <c r="C4036" s="5">
        <f t="shared" si="1035"/>
        <v>2025</v>
      </c>
      <c r="D4036" s="105" t="s">
        <v>3836</v>
      </c>
      <c r="E4036" s="5" t="str">
        <f>VLOOKUP(F4036,'Set up'!$A$2:$C$70,2,FALSE)</f>
        <v>C00000063</v>
      </c>
      <c r="F4036" s="99" t="s">
        <v>3837</v>
      </c>
      <c r="G4036" s="99" t="s">
        <v>3841</v>
      </c>
      <c r="H4036" s="105">
        <v>1</v>
      </c>
      <c r="I4036" s="5" t="str">
        <f>VLOOKUP(F4036,'Set up'!$A$2:$C$70,3,FALSE)</f>
        <v>Cash</v>
      </c>
      <c r="J4036" s="5">
        <f>VLOOKUP(F4036,'Set up'!$A$2:$D$70,4,FALSE)</f>
        <v>0</v>
      </c>
      <c r="K4036" s="4">
        <f t="shared" si="1032"/>
        <v>45812</v>
      </c>
      <c r="L4036" s="5">
        <f t="shared" si="1028"/>
        <v>6</v>
      </c>
      <c r="M4036" s="5">
        <f t="shared" si="1029"/>
        <v>2025</v>
      </c>
      <c r="N4036" s="135">
        <v>300</v>
      </c>
      <c r="O4036" s="6">
        <f t="shared" si="1033"/>
        <v>-300</v>
      </c>
      <c r="P4036" s="12">
        <f t="shared" si="1031"/>
        <v>0</v>
      </c>
      <c r="Q4036" s="7">
        <f t="shared" si="1027"/>
        <v>6686480.0500000026</v>
      </c>
      <c r="R4036" s="44" t="str">
        <f>VLOOKUP(F4036,'Set up'!$A$2:$E$70,5,FALSE)</f>
        <v>Cash</v>
      </c>
      <c r="S4036" s="1" t="s">
        <v>3946</v>
      </c>
    </row>
    <row r="4037" spans="1:19" ht="16.25" customHeight="1" x14ac:dyDescent="0.35">
      <c r="A4037" s="105" t="s">
        <v>3835</v>
      </c>
      <c r="B4037" s="5">
        <f t="shared" si="1034"/>
        <v>6</v>
      </c>
      <c r="C4037" s="5">
        <f t="shared" si="1035"/>
        <v>2025</v>
      </c>
      <c r="D4037" s="105" t="s">
        <v>3836</v>
      </c>
      <c r="E4037" s="5" t="str">
        <f>VLOOKUP(F4037,'Set up'!$A$2:$C$70,2,FALSE)</f>
        <v>C00000063</v>
      </c>
      <c r="F4037" s="99" t="s">
        <v>3837</v>
      </c>
      <c r="G4037" s="99" t="s">
        <v>3842</v>
      </c>
      <c r="H4037" s="105">
        <v>1</v>
      </c>
      <c r="I4037" s="5" t="str">
        <f>VLOOKUP(F4037,'Set up'!$A$2:$C$70,3,FALSE)</f>
        <v>Cash</v>
      </c>
      <c r="J4037" s="5">
        <f>VLOOKUP(F4037,'Set up'!$A$2:$D$70,4,FALSE)</f>
        <v>0</v>
      </c>
      <c r="K4037" s="4">
        <f t="shared" si="1032"/>
        <v>45812</v>
      </c>
      <c r="L4037" s="5">
        <f t="shared" si="1028"/>
        <v>6</v>
      </c>
      <c r="M4037" s="5">
        <f t="shared" si="1029"/>
        <v>2025</v>
      </c>
      <c r="N4037" s="135">
        <v>170</v>
      </c>
      <c r="O4037" s="6">
        <f t="shared" si="1033"/>
        <v>-170</v>
      </c>
      <c r="P4037" s="12">
        <f t="shared" si="1031"/>
        <v>0</v>
      </c>
      <c r="Q4037" s="7">
        <f t="shared" si="1027"/>
        <v>6686650.0500000026</v>
      </c>
      <c r="R4037" s="44" t="str">
        <f>VLOOKUP(F4037,'Set up'!$A$2:$E$70,5,FALSE)</f>
        <v>Cash</v>
      </c>
      <c r="S4037" s="1" t="s">
        <v>3946</v>
      </c>
    </row>
    <row r="4038" spans="1:19" ht="16.25" customHeight="1" x14ac:dyDescent="0.35">
      <c r="A4038" s="105" t="s">
        <v>3843</v>
      </c>
      <c r="B4038" s="5">
        <f t="shared" si="1034"/>
        <v>6</v>
      </c>
      <c r="C4038" s="5">
        <f t="shared" si="1035"/>
        <v>2025</v>
      </c>
      <c r="D4038" s="105" t="s">
        <v>3844</v>
      </c>
      <c r="E4038" s="5" t="str">
        <f>VLOOKUP(F4038,'Set up'!$A$2:$C$70,2,FALSE)</f>
        <v>C00000042</v>
      </c>
      <c r="F4038" s="99" t="s">
        <v>2012</v>
      </c>
      <c r="G4038" s="99" t="s">
        <v>2646</v>
      </c>
      <c r="H4038" s="105">
        <v>1</v>
      </c>
      <c r="I4038" s="5" t="str">
        <f>VLOOKUP(F4038,'Set up'!$A$2:$C$70,3,FALSE)</f>
        <v>Cash</v>
      </c>
      <c r="J4038" s="5">
        <f>VLOOKUP(F4038,'Set up'!$A$2:$D$70,4,FALSE)</f>
        <v>0</v>
      </c>
      <c r="K4038" s="4">
        <f t="shared" si="1032"/>
        <v>45813</v>
      </c>
      <c r="L4038" s="5">
        <f t="shared" si="1028"/>
        <v>6</v>
      </c>
      <c r="M4038" s="5">
        <f t="shared" si="1029"/>
        <v>2025</v>
      </c>
      <c r="N4038" s="135">
        <v>62.5</v>
      </c>
      <c r="P4038" s="12">
        <f t="shared" si="1031"/>
        <v>62.5</v>
      </c>
      <c r="Q4038" s="7">
        <f t="shared" ref="Q4038:Q4101" si="1036">SUM(Q4037+N4038)</f>
        <v>6686712.5500000026</v>
      </c>
      <c r="R4038" s="44" t="str">
        <f>VLOOKUP(F4038,'Set up'!$A$2:$E$70,5,FALSE)</f>
        <v>Trsf</v>
      </c>
    </row>
    <row r="4039" spans="1:19" ht="16.25" customHeight="1" x14ac:dyDescent="0.35">
      <c r="A4039" s="144" t="s">
        <v>3843</v>
      </c>
      <c r="B4039" s="5">
        <f t="shared" si="1034"/>
        <v>6</v>
      </c>
      <c r="C4039" s="5">
        <f t="shared" si="1035"/>
        <v>2025</v>
      </c>
      <c r="D4039" s="105" t="s">
        <v>3845</v>
      </c>
      <c r="E4039" s="5" t="str">
        <f>VLOOKUP(F4039,'Set up'!$A$2:$C$70,2,FALSE)</f>
        <v>C00000042</v>
      </c>
      <c r="F4039" s="99" t="s">
        <v>2012</v>
      </c>
      <c r="G4039" s="99" t="s">
        <v>3217</v>
      </c>
      <c r="H4039" s="105">
        <v>3</v>
      </c>
      <c r="I4039" s="5" t="str">
        <f>VLOOKUP(F4039,'Set up'!$A$2:$C$70,3,FALSE)</f>
        <v>Cash</v>
      </c>
      <c r="J4039" s="5">
        <f>VLOOKUP(F4039,'Set up'!$A$2:$D$70,4,FALSE)</f>
        <v>0</v>
      </c>
      <c r="K4039" s="4">
        <f t="shared" si="1032"/>
        <v>45813</v>
      </c>
      <c r="L4039" s="5">
        <f t="shared" ref="L4039:L4102" si="1037">MONTH(K4039)</f>
        <v>6</v>
      </c>
      <c r="M4039" s="5">
        <f t="shared" ref="M4039:M4102" si="1038">YEAR(K4039)</f>
        <v>2025</v>
      </c>
      <c r="N4039" s="135">
        <v>4860</v>
      </c>
      <c r="P4039" s="12">
        <f t="shared" si="1031"/>
        <v>4860</v>
      </c>
      <c r="Q4039" s="7">
        <f t="shared" si="1036"/>
        <v>6691572.5500000026</v>
      </c>
      <c r="R4039" s="44" t="str">
        <f>VLOOKUP(F4039,'Set up'!$A$2:$E$70,5,FALSE)</f>
        <v>Trsf</v>
      </c>
    </row>
    <row r="4040" spans="1:19" ht="16.25" customHeight="1" x14ac:dyDescent="0.35">
      <c r="A4040" s="144" t="s">
        <v>3843</v>
      </c>
      <c r="B4040" s="5">
        <f t="shared" si="1034"/>
        <v>6</v>
      </c>
      <c r="C4040" s="5">
        <f t="shared" si="1035"/>
        <v>2025</v>
      </c>
      <c r="D4040" s="105" t="s">
        <v>3845</v>
      </c>
      <c r="E4040" s="5" t="str">
        <f>VLOOKUP(F4040,'Set up'!$A$2:$C$70,2,FALSE)</f>
        <v>C00000042</v>
      </c>
      <c r="F4040" s="99" t="s">
        <v>2012</v>
      </c>
      <c r="G4040" s="99" t="s">
        <v>2129</v>
      </c>
      <c r="H4040" s="105">
        <v>9</v>
      </c>
      <c r="I4040" s="5" t="str">
        <f>VLOOKUP(F4040,'Set up'!$A$2:$C$70,3,FALSE)</f>
        <v>Cash</v>
      </c>
      <c r="J4040" s="5">
        <f>VLOOKUP(F4040,'Set up'!$A$2:$D$70,4,FALSE)</f>
        <v>0</v>
      </c>
      <c r="K4040" s="4">
        <f t="shared" si="1032"/>
        <v>45813</v>
      </c>
      <c r="L4040" s="5">
        <f t="shared" si="1037"/>
        <v>6</v>
      </c>
      <c r="M4040" s="5">
        <f t="shared" si="1038"/>
        <v>2025</v>
      </c>
      <c r="N4040" s="135">
        <v>1964.7</v>
      </c>
      <c r="P4040" s="12">
        <f t="shared" si="1031"/>
        <v>1964.7</v>
      </c>
      <c r="Q4040" s="7">
        <f t="shared" si="1036"/>
        <v>6693537.2500000028</v>
      </c>
      <c r="R4040" s="44" t="str">
        <f>VLOOKUP(F4040,'Set up'!$A$2:$E$70,5,FALSE)</f>
        <v>Trsf</v>
      </c>
    </row>
    <row r="4041" spans="1:19" ht="16.25" customHeight="1" x14ac:dyDescent="0.35">
      <c r="A4041" s="144" t="s">
        <v>3843</v>
      </c>
      <c r="B4041" s="5">
        <f t="shared" si="1034"/>
        <v>6</v>
      </c>
      <c r="C4041" s="5">
        <f t="shared" si="1035"/>
        <v>2025</v>
      </c>
      <c r="D4041" s="105" t="s">
        <v>3845</v>
      </c>
      <c r="E4041" s="5" t="str">
        <f>VLOOKUP(F4041,'Set up'!$A$2:$C$70,2,FALSE)</f>
        <v>C00000042</v>
      </c>
      <c r="F4041" s="99" t="s">
        <v>2012</v>
      </c>
      <c r="G4041" s="99" t="s">
        <v>1922</v>
      </c>
      <c r="H4041" s="105">
        <v>4</v>
      </c>
      <c r="I4041" s="5" t="str">
        <f>VLOOKUP(F4041,'Set up'!$A$2:$C$70,3,FALSE)</f>
        <v>Cash</v>
      </c>
      <c r="J4041" s="5">
        <f>VLOOKUP(F4041,'Set up'!$A$2:$D$70,4,FALSE)</f>
        <v>0</v>
      </c>
      <c r="K4041" s="4">
        <f t="shared" si="1032"/>
        <v>45813</v>
      </c>
      <c r="L4041" s="5">
        <f t="shared" si="1037"/>
        <v>6</v>
      </c>
      <c r="M4041" s="5">
        <f t="shared" si="1038"/>
        <v>2025</v>
      </c>
      <c r="N4041" s="135">
        <v>990</v>
      </c>
      <c r="P4041" s="12">
        <f t="shared" si="1031"/>
        <v>990</v>
      </c>
      <c r="Q4041" s="7">
        <f t="shared" si="1036"/>
        <v>6694527.2500000028</v>
      </c>
      <c r="R4041" s="44" t="str">
        <f>VLOOKUP(F4041,'Set up'!$A$2:$E$70,5,FALSE)</f>
        <v>Trsf</v>
      </c>
    </row>
    <row r="4042" spans="1:19" ht="16.25" customHeight="1" x14ac:dyDescent="0.35">
      <c r="A4042" s="144" t="s">
        <v>3843</v>
      </c>
      <c r="B4042" s="5">
        <f t="shared" si="1034"/>
        <v>6</v>
      </c>
      <c r="C4042" s="5">
        <f t="shared" si="1035"/>
        <v>2025</v>
      </c>
      <c r="D4042" s="105" t="s">
        <v>3845</v>
      </c>
      <c r="E4042" s="5" t="str">
        <f>VLOOKUP(F4042,'Set up'!$A$2:$C$70,2,FALSE)</f>
        <v>C00000042</v>
      </c>
      <c r="F4042" s="99" t="s">
        <v>2012</v>
      </c>
      <c r="G4042" s="99" t="s">
        <v>46</v>
      </c>
      <c r="H4042" s="105">
        <v>4</v>
      </c>
      <c r="I4042" s="5" t="str">
        <f>VLOOKUP(F4042,'Set up'!$A$2:$C$70,3,FALSE)</f>
        <v>Cash</v>
      </c>
      <c r="J4042" s="5">
        <f>VLOOKUP(F4042,'Set up'!$A$2:$D$70,4,FALSE)</f>
        <v>0</v>
      </c>
      <c r="K4042" s="4">
        <f t="shared" si="1032"/>
        <v>45813</v>
      </c>
      <c r="L4042" s="5">
        <f t="shared" si="1037"/>
        <v>6</v>
      </c>
      <c r="M4042" s="5">
        <f t="shared" si="1038"/>
        <v>2025</v>
      </c>
      <c r="N4042" s="135">
        <v>460</v>
      </c>
      <c r="P4042" s="12">
        <f t="shared" si="1031"/>
        <v>460</v>
      </c>
      <c r="Q4042" s="7">
        <f t="shared" si="1036"/>
        <v>6694987.2500000028</v>
      </c>
      <c r="R4042" s="44" t="str">
        <f>VLOOKUP(F4042,'Set up'!$A$2:$E$70,5,FALSE)</f>
        <v>Trsf</v>
      </c>
    </row>
    <row r="4043" spans="1:19" ht="16.25" customHeight="1" x14ac:dyDescent="0.35">
      <c r="A4043" s="144" t="s">
        <v>3843</v>
      </c>
      <c r="B4043" s="5">
        <f t="shared" si="1034"/>
        <v>6</v>
      </c>
      <c r="C4043" s="5">
        <f t="shared" si="1035"/>
        <v>2025</v>
      </c>
      <c r="D4043" s="105" t="s">
        <v>3845</v>
      </c>
      <c r="E4043" s="5" t="str">
        <f>VLOOKUP(F4043,'Set up'!$A$2:$C$70,2,FALSE)</f>
        <v>C00000042</v>
      </c>
      <c r="F4043" s="99" t="s">
        <v>2012</v>
      </c>
      <c r="G4043" s="99" t="s">
        <v>3645</v>
      </c>
      <c r="H4043" s="105">
        <v>1</v>
      </c>
      <c r="I4043" s="5" t="str">
        <f>VLOOKUP(F4043,'Set up'!$A$2:$C$70,3,FALSE)</f>
        <v>Cash</v>
      </c>
      <c r="J4043" s="5">
        <f>VLOOKUP(F4043,'Set up'!$A$2:$D$70,4,FALSE)</f>
        <v>0</v>
      </c>
      <c r="K4043" s="4">
        <f t="shared" si="1032"/>
        <v>45813</v>
      </c>
      <c r="L4043" s="5">
        <f t="shared" si="1037"/>
        <v>6</v>
      </c>
      <c r="M4043" s="5">
        <f t="shared" si="1038"/>
        <v>2025</v>
      </c>
      <c r="N4043" s="135">
        <v>1620</v>
      </c>
      <c r="P4043" s="12">
        <f t="shared" si="1031"/>
        <v>1620</v>
      </c>
      <c r="Q4043" s="7">
        <f t="shared" si="1036"/>
        <v>6696607.2500000028</v>
      </c>
      <c r="R4043" s="44" t="str">
        <f>VLOOKUP(F4043,'Set up'!$A$2:$E$70,5,FALSE)</f>
        <v>Trsf</v>
      </c>
    </row>
    <row r="4044" spans="1:19" ht="16.25" customHeight="1" x14ac:dyDescent="0.35">
      <c r="A4044" s="105" t="s">
        <v>3846</v>
      </c>
      <c r="B4044" s="5">
        <f t="shared" si="1034"/>
        <v>6</v>
      </c>
      <c r="C4044" s="5">
        <f t="shared" si="1035"/>
        <v>2025</v>
      </c>
      <c r="D4044" s="105" t="s">
        <v>3847</v>
      </c>
      <c r="E4044" s="5" t="str">
        <f>VLOOKUP(F4044,'Set up'!$A$2:$C$70,2,FALSE)</f>
        <v>C00000042</v>
      </c>
      <c r="F4044" s="99" t="s">
        <v>2012</v>
      </c>
      <c r="G4044" s="99" t="s">
        <v>2646</v>
      </c>
      <c r="H4044" s="105">
        <v>1</v>
      </c>
      <c r="I4044" s="5" t="str">
        <f>VLOOKUP(F4044,'Set up'!$A$2:$C$70,3,FALSE)</f>
        <v>Cash</v>
      </c>
      <c r="J4044" s="5">
        <f>VLOOKUP(F4044,'Set up'!$A$2:$D$70,4,FALSE)</f>
        <v>0</v>
      </c>
      <c r="K4044" s="4">
        <f t="shared" si="1032"/>
        <v>45814</v>
      </c>
      <c r="L4044" s="5">
        <f t="shared" si="1037"/>
        <v>6</v>
      </c>
      <c r="M4044" s="5">
        <f t="shared" si="1038"/>
        <v>2025</v>
      </c>
      <c r="N4044" s="135">
        <v>62.5</v>
      </c>
      <c r="P4044" s="12">
        <f t="shared" si="1031"/>
        <v>62.5</v>
      </c>
      <c r="Q4044" s="7">
        <f t="shared" si="1036"/>
        <v>6696669.7500000028</v>
      </c>
      <c r="R4044" s="44" t="str">
        <f>VLOOKUP(F4044,'Set up'!$A$2:$E$70,5,FALSE)</f>
        <v>Trsf</v>
      </c>
    </row>
    <row r="4045" spans="1:19" ht="16.25" customHeight="1" x14ac:dyDescent="0.35">
      <c r="A4045" s="105" t="s">
        <v>3846</v>
      </c>
      <c r="B4045" s="5">
        <f t="shared" si="1034"/>
        <v>6</v>
      </c>
      <c r="C4045" s="5">
        <f t="shared" si="1035"/>
        <v>2025</v>
      </c>
      <c r="D4045" s="105" t="s">
        <v>3848</v>
      </c>
      <c r="E4045" s="5" t="str">
        <f>VLOOKUP(F4045,'Set up'!$A$2:$C$70,2,FALSE)</f>
        <v>C00000042</v>
      </c>
      <c r="F4045" s="99" t="s">
        <v>2012</v>
      </c>
      <c r="G4045" s="99" t="s">
        <v>3217</v>
      </c>
      <c r="H4045" s="105">
        <v>2</v>
      </c>
      <c r="I4045" s="5" t="str">
        <f>VLOOKUP(F4045,'Set up'!$A$2:$C$70,3,FALSE)</f>
        <v>Cash</v>
      </c>
      <c r="J4045" s="5">
        <f>VLOOKUP(F4045,'Set up'!$A$2:$D$70,4,FALSE)</f>
        <v>0</v>
      </c>
      <c r="K4045" s="4">
        <f t="shared" si="1032"/>
        <v>45814</v>
      </c>
      <c r="L4045" s="5">
        <f t="shared" si="1037"/>
        <v>6</v>
      </c>
      <c r="M4045" s="5">
        <f t="shared" si="1038"/>
        <v>2025</v>
      </c>
      <c r="N4045" s="135">
        <v>3240</v>
      </c>
      <c r="P4045" s="12">
        <f t="shared" si="1031"/>
        <v>3240</v>
      </c>
      <c r="Q4045" s="7">
        <f t="shared" si="1036"/>
        <v>6699909.7500000028</v>
      </c>
      <c r="R4045" s="44" t="str">
        <f>VLOOKUP(F4045,'Set up'!$A$2:$E$70,5,FALSE)</f>
        <v>Trsf</v>
      </c>
    </row>
    <row r="4046" spans="1:19" ht="16.25" customHeight="1" x14ac:dyDescent="0.35">
      <c r="A4046" s="105" t="s">
        <v>3846</v>
      </c>
      <c r="B4046" s="5">
        <f t="shared" si="1034"/>
        <v>6</v>
      </c>
      <c r="C4046" s="5">
        <f t="shared" si="1035"/>
        <v>2025</v>
      </c>
      <c r="D4046" s="105" t="s">
        <v>3848</v>
      </c>
      <c r="E4046" s="5" t="str">
        <f>VLOOKUP(F4046,'Set up'!$A$2:$C$70,2,FALSE)</f>
        <v>C00000042</v>
      </c>
      <c r="F4046" s="99" t="s">
        <v>2012</v>
      </c>
      <c r="G4046" s="99" t="s">
        <v>2129</v>
      </c>
      <c r="H4046" s="105">
        <v>6</v>
      </c>
      <c r="I4046" s="5" t="str">
        <f>VLOOKUP(F4046,'Set up'!$A$2:$C$70,3,FALSE)</f>
        <v>Cash</v>
      </c>
      <c r="J4046" s="5">
        <f>VLOOKUP(F4046,'Set up'!$A$2:$D$70,4,FALSE)</f>
        <v>0</v>
      </c>
      <c r="K4046" s="4">
        <f t="shared" si="1032"/>
        <v>45814</v>
      </c>
      <c r="L4046" s="5">
        <f t="shared" si="1037"/>
        <v>6</v>
      </c>
      <c r="M4046" s="5">
        <f t="shared" si="1038"/>
        <v>2025</v>
      </c>
      <c r="N4046" s="135">
        <v>1309.8</v>
      </c>
      <c r="P4046" s="12">
        <f t="shared" si="1031"/>
        <v>1309.8</v>
      </c>
      <c r="Q4046" s="7">
        <f t="shared" si="1036"/>
        <v>6701219.5500000026</v>
      </c>
      <c r="R4046" s="44" t="str">
        <f>VLOOKUP(F4046,'Set up'!$A$2:$E$70,5,FALSE)</f>
        <v>Trsf</v>
      </c>
    </row>
    <row r="4047" spans="1:19" ht="16.25" customHeight="1" x14ac:dyDescent="0.35">
      <c r="A4047" s="105" t="s">
        <v>3846</v>
      </c>
      <c r="B4047" s="5">
        <f t="shared" si="1034"/>
        <v>6</v>
      </c>
      <c r="C4047" s="5">
        <f t="shared" si="1035"/>
        <v>2025</v>
      </c>
      <c r="D4047" s="105" t="s">
        <v>3848</v>
      </c>
      <c r="E4047" s="5" t="str">
        <f>VLOOKUP(F4047,'Set up'!$A$2:$C$70,2,FALSE)</f>
        <v>C00000042</v>
      </c>
      <c r="F4047" s="99" t="s">
        <v>2012</v>
      </c>
      <c r="G4047" s="99" t="s">
        <v>1922</v>
      </c>
      <c r="H4047" s="105">
        <v>3</v>
      </c>
      <c r="I4047" s="5" t="str">
        <f>VLOOKUP(F4047,'Set up'!$A$2:$C$70,3,FALSE)</f>
        <v>Cash</v>
      </c>
      <c r="J4047" s="5">
        <f>VLOOKUP(F4047,'Set up'!$A$2:$D$70,4,FALSE)</f>
        <v>0</v>
      </c>
      <c r="K4047" s="4">
        <f t="shared" si="1032"/>
        <v>45814</v>
      </c>
      <c r="L4047" s="5">
        <f t="shared" si="1037"/>
        <v>6</v>
      </c>
      <c r="M4047" s="5">
        <f t="shared" si="1038"/>
        <v>2025</v>
      </c>
      <c r="N4047" s="135">
        <v>742.5</v>
      </c>
      <c r="P4047" s="12">
        <f t="shared" si="1031"/>
        <v>742.5</v>
      </c>
      <c r="Q4047" s="7">
        <f t="shared" si="1036"/>
        <v>6701962.0500000026</v>
      </c>
      <c r="R4047" s="44" t="str">
        <f>VLOOKUP(F4047,'Set up'!$A$2:$E$70,5,FALSE)</f>
        <v>Trsf</v>
      </c>
    </row>
    <row r="4048" spans="1:19" ht="16.25" customHeight="1" x14ac:dyDescent="0.35">
      <c r="A4048" s="105" t="s">
        <v>3846</v>
      </c>
      <c r="B4048" s="5">
        <f t="shared" si="1034"/>
        <v>6</v>
      </c>
      <c r="C4048" s="5">
        <f t="shared" si="1035"/>
        <v>2025</v>
      </c>
      <c r="D4048" s="105" t="s">
        <v>3848</v>
      </c>
      <c r="E4048" s="5" t="str">
        <f>VLOOKUP(F4048,'Set up'!$A$2:$C$70,2,FALSE)</f>
        <v>C00000042</v>
      </c>
      <c r="F4048" s="99" t="s">
        <v>2012</v>
      </c>
      <c r="G4048" s="99" t="s">
        <v>1073</v>
      </c>
      <c r="H4048" s="105">
        <v>1</v>
      </c>
      <c r="I4048" s="5" t="str">
        <f>VLOOKUP(F4048,'Set up'!$A$2:$C$70,3,FALSE)</f>
        <v>Cash</v>
      </c>
      <c r="J4048" s="5">
        <f>VLOOKUP(F4048,'Set up'!$A$2:$D$70,4,FALSE)</f>
        <v>0</v>
      </c>
      <c r="K4048" s="4">
        <f t="shared" si="1032"/>
        <v>45814</v>
      </c>
      <c r="L4048" s="5">
        <f t="shared" si="1037"/>
        <v>6</v>
      </c>
      <c r="M4048" s="5">
        <f t="shared" si="1038"/>
        <v>2025</v>
      </c>
      <c r="N4048" s="135">
        <v>1000</v>
      </c>
      <c r="P4048" s="12">
        <f t="shared" si="1031"/>
        <v>1000</v>
      </c>
      <c r="Q4048" s="7">
        <f t="shared" si="1036"/>
        <v>6702962.0500000026</v>
      </c>
      <c r="R4048" s="44" t="str">
        <f>VLOOKUP(F4048,'Set up'!$A$2:$E$70,5,FALSE)</f>
        <v>Trsf</v>
      </c>
    </row>
    <row r="4049" spans="1:19" ht="16.25" customHeight="1" x14ac:dyDescent="0.35">
      <c r="A4049" s="105" t="s">
        <v>3846</v>
      </c>
      <c r="B4049" s="5">
        <f t="shared" si="1034"/>
        <v>6</v>
      </c>
      <c r="C4049" s="5">
        <f t="shared" si="1035"/>
        <v>2025</v>
      </c>
      <c r="D4049" s="105" t="s">
        <v>3849</v>
      </c>
      <c r="E4049" s="5" t="str">
        <f>VLOOKUP(F4049,'Set up'!$A$2:$C$70,2,FALSE)</f>
        <v>C00000019</v>
      </c>
      <c r="F4049" s="99" t="s">
        <v>400</v>
      </c>
      <c r="G4049" s="99" t="s">
        <v>3122</v>
      </c>
      <c r="H4049" s="105">
        <v>1</v>
      </c>
      <c r="I4049" s="5" t="str">
        <f>VLOOKUP(F4049,'Set up'!$A$2:$C$70,3,FALSE)</f>
        <v>Cash</v>
      </c>
      <c r="J4049" s="5">
        <f>VLOOKUP(F4049,'Set up'!$A$2:$D$70,4,FALSE)</f>
        <v>0</v>
      </c>
      <c r="K4049" s="4">
        <f t="shared" si="1032"/>
        <v>45814</v>
      </c>
      <c r="L4049" s="5">
        <f t="shared" si="1037"/>
        <v>6</v>
      </c>
      <c r="M4049" s="5">
        <f t="shared" si="1038"/>
        <v>2025</v>
      </c>
      <c r="N4049" s="135">
        <v>1710</v>
      </c>
      <c r="P4049" s="12">
        <f t="shared" si="1031"/>
        <v>1710</v>
      </c>
      <c r="Q4049" s="7">
        <f t="shared" si="1036"/>
        <v>6704672.0500000026</v>
      </c>
      <c r="R4049" s="44" t="str">
        <f>VLOOKUP(F4049,'Set up'!$A$2:$E$70,5,FALSE)</f>
        <v>Trsf</v>
      </c>
    </row>
    <row r="4050" spans="1:19" ht="16.25" customHeight="1" x14ac:dyDescent="0.35">
      <c r="A4050" s="105" t="s">
        <v>3846</v>
      </c>
      <c r="B4050" s="5">
        <f t="shared" si="1034"/>
        <v>6</v>
      </c>
      <c r="C4050" s="5">
        <f t="shared" si="1035"/>
        <v>2025</v>
      </c>
      <c r="D4050" s="105" t="s">
        <v>3849</v>
      </c>
      <c r="E4050" s="5" t="str">
        <f>VLOOKUP(F4050,'Set up'!$A$2:$C$70,2,FALSE)</f>
        <v>C00000019</v>
      </c>
      <c r="F4050" s="99" t="s">
        <v>400</v>
      </c>
      <c r="G4050" s="99" t="s">
        <v>46</v>
      </c>
      <c r="H4050" s="105">
        <v>1</v>
      </c>
      <c r="I4050" s="5" t="str">
        <f>VLOOKUP(F4050,'Set up'!$A$2:$C$70,3,FALSE)</f>
        <v>Cash</v>
      </c>
      <c r="J4050" s="5">
        <f>VLOOKUP(F4050,'Set up'!$A$2:$D$70,4,FALSE)</f>
        <v>0</v>
      </c>
      <c r="K4050" s="4">
        <f t="shared" si="1032"/>
        <v>45814</v>
      </c>
      <c r="L4050" s="5">
        <f t="shared" si="1037"/>
        <v>6</v>
      </c>
      <c r="M4050" s="5">
        <f t="shared" si="1038"/>
        <v>2025</v>
      </c>
      <c r="N4050" s="135">
        <v>110</v>
      </c>
      <c r="P4050" s="12">
        <f t="shared" si="1031"/>
        <v>110</v>
      </c>
      <c r="Q4050" s="7">
        <f t="shared" si="1036"/>
        <v>6704782.0500000026</v>
      </c>
      <c r="R4050" s="44" t="str">
        <f>VLOOKUP(F4050,'Set up'!$A$2:$E$70,5,FALSE)</f>
        <v>Trsf</v>
      </c>
    </row>
    <row r="4051" spans="1:19" ht="16.25" customHeight="1" x14ac:dyDescent="0.35">
      <c r="A4051" s="105" t="s">
        <v>3846</v>
      </c>
      <c r="B4051" s="5">
        <f t="shared" si="1034"/>
        <v>6</v>
      </c>
      <c r="C4051" s="5">
        <f t="shared" si="1035"/>
        <v>2025</v>
      </c>
      <c r="D4051" s="105" t="s">
        <v>3849</v>
      </c>
      <c r="E4051" s="5" t="str">
        <f>VLOOKUP(F4051,'Set up'!$A$2:$C$70,2,FALSE)</f>
        <v>C00000019</v>
      </c>
      <c r="F4051" s="99" t="s">
        <v>400</v>
      </c>
      <c r="G4051" s="99" t="s">
        <v>1469</v>
      </c>
      <c r="H4051" s="105">
        <v>1</v>
      </c>
      <c r="I4051" s="5" t="str">
        <f>VLOOKUP(F4051,'Set up'!$A$2:$C$70,3,FALSE)</f>
        <v>Cash</v>
      </c>
      <c r="J4051" s="5">
        <f>VLOOKUP(F4051,'Set up'!$A$2:$D$70,4,FALSE)</f>
        <v>0</v>
      </c>
      <c r="K4051" s="4">
        <f t="shared" si="1032"/>
        <v>45814</v>
      </c>
      <c r="L4051" s="5">
        <f t="shared" si="1037"/>
        <v>6</v>
      </c>
      <c r="M4051" s="5">
        <f t="shared" si="1038"/>
        <v>2025</v>
      </c>
      <c r="N4051" s="135">
        <v>390</v>
      </c>
      <c r="P4051" s="12">
        <f t="shared" si="1031"/>
        <v>390</v>
      </c>
      <c r="Q4051" s="7">
        <f t="shared" si="1036"/>
        <v>6705172.0500000026</v>
      </c>
      <c r="R4051" s="44" t="str">
        <f>VLOOKUP(F4051,'Set up'!$A$2:$E$70,5,FALSE)</f>
        <v>Trsf</v>
      </c>
    </row>
    <row r="4052" spans="1:19" ht="16.25" customHeight="1" x14ac:dyDescent="0.35">
      <c r="A4052" s="105" t="s">
        <v>3846</v>
      </c>
      <c r="B4052" s="5">
        <f t="shared" si="1034"/>
        <v>6</v>
      </c>
      <c r="C4052" s="5">
        <f t="shared" si="1035"/>
        <v>2025</v>
      </c>
      <c r="D4052" s="105" t="s">
        <v>3849</v>
      </c>
      <c r="E4052" s="5" t="str">
        <f>VLOOKUP(F4052,'Set up'!$A$2:$C$70,2,FALSE)</f>
        <v>C00000019</v>
      </c>
      <c r="F4052" s="99" t="s">
        <v>400</v>
      </c>
      <c r="G4052" s="99" t="s">
        <v>894</v>
      </c>
      <c r="H4052" s="105">
        <v>1</v>
      </c>
      <c r="I4052" s="5" t="str">
        <f>VLOOKUP(F4052,'Set up'!$A$2:$C$70,3,FALSE)</f>
        <v>Cash</v>
      </c>
      <c r="J4052" s="5">
        <f>VLOOKUP(F4052,'Set up'!$A$2:$D$70,4,FALSE)</f>
        <v>0</v>
      </c>
      <c r="K4052" s="4">
        <f t="shared" si="1032"/>
        <v>45814</v>
      </c>
      <c r="L4052" s="5">
        <f t="shared" si="1037"/>
        <v>6</v>
      </c>
      <c r="M4052" s="5">
        <f t="shared" si="1038"/>
        <v>2025</v>
      </c>
      <c r="N4052" s="135">
        <v>150</v>
      </c>
      <c r="P4052" s="12">
        <f t="shared" si="1031"/>
        <v>150</v>
      </c>
      <c r="Q4052" s="7">
        <f t="shared" si="1036"/>
        <v>6705322.0500000026</v>
      </c>
      <c r="R4052" s="44" t="str">
        <f>VLOOKUP(F4052,'Set up'!$A$2:$E$70,5,FALSE)</f>
        <v>Trsf</v>
      </c>
    </row>
    <row r="4053" spans="1:19" ht="16" customHeight="1" x14ac:dyDescent="0.35">
      <c r="A4053" s="105" t="s">
        <v>3850</v>
      </c>
      <c r="B4053" s="5">
        <f t="shared" si="1034"/>
        <v>6</v>
      </c>
      <c r="C4053" s="5">
        <f t="shared" si="1035"/>
        <v>2025</v>
      </c>
      <c r="D4053" s="105" t="s">
        <v>3851</v>
      </c>
      <c r="E4053" s="5" t="str">
        <f>VLOOKUP(F4053,'Set up'!$A$2:$C$70,2,FALSE)</f>
        <v>C00000061</v>
      </c>
      <c r="F4053" s="99" t="s">
        <v>3532</v>
      </c>
      <c r="G4053" s="99" t="s">
        <v>3122</v>
      </c>
      <c r="H4053" s="105">
        <v>1</v>
      </c>
      <c r="I4053" s="5" t="str">
        <f>VLOOKUP(F4053,'Set up'!$A$2:$C$70,3,FALSE)</f>
        <v>Cash</v>
      </c>
      <c r="J4053" s="5">
        <f>VLOOKUP(F4053,'Set up'!$A$2:$D$70,4,FALSE)</f>
        <v>0</v>
      </c>
      <c r="K4053" s="4">
        <f t="shared" si="1032"/>
        <v>45815</v>
      </c>
      <c r="L4053" s="5">
        <f t="shared" si="1037"/>
        <v>6</v>
      </c>
      <c r="M4053" s="5">
        <f t="shared" si="1038"/>
        <v>2025</v>
      </c>
      <c r="N4053" s="135">
        <v>1642.5</v>
      </c>
      <c r="P4053" s="12">
        <f t="shared" si="1031"/>
        <v>1642.5</v>
      </c>
      <c r="Q4053" s="7">
        <f t="shared" si="1036"/>
        <v>6706964.5500000026</v>
      </c>
      <c r="R4053" s="44" t="str">
        <f>VLOOKUP(F4053,'Set up'!$A$2:$E$70,5,FALSE)</f>
        <v>Cash</v>
      </c>
    </row>
    <row r="4054" spans="1:19" ht="16.25" customHeight="1" x14ac:dyDescent="0.35">
      <c r="A4054" s="105" t="s">
        <v>3850</v>
      </c>
      <c r="B4054" s="5">
        <f t="shared" si="1034"/>
        <v>6</v>
      </c>
      <c r="C4054" s="5">
        <f t="shared" si="1035"/>
        <v>2025</v>
      </c>
      <c r="D4054" s="105" t="s">
        <v>3851</v>
      </c>
      <c r="E4054" s="5" t="str">
        <f>VLOOKUP(F4054,'Set up'!$A$2:$C$70,2,FALSE)</f>
        <v>C00000061</v>
      </c>
      <c r="F4054" s="99" t="s">
        <v>3532</v>
      </c>
      <c r="G4054" s="99" t="s">
        <v>3639</v>
      </c>
      <c r="H4054" s="105">
        <v>1</v>
      </c>
      <c r="I4054" s="5" t="str">
        <f>VLOOKUP(F4054,'Set up'!$A$2:$C$70,3,FALSE)</f>
        <v>Cash</v>
      </c>
      <c r="J4054" s="5">
        <f>VLOOKUP(F4054,'Set up'!$A$2:$D$70,4,FALSE)</f>
        <v>0</v>
      </c>
      <c r="K4054" s="4">
        <f t="shared" si="1032"/>
        <v>45815</v>
      </c>
      <c r="L4054" s="5">
        <f t="shared" si="1037"/>
        <v>6</v>
      </c>
      <c r="M4054" s="5">
        <f t="shared" si="1038"/>
        <v>2025</v>
      </c>
      <c r="N4054" s="135">
        <v>408.7</v>
      </c>
      <c r="P4054" s="12">
        <f t="shared" si="1031"/>
        <v>408.7</v>
      </c>
      <c r="Q4054" s="7">
        <f t="shared" si="1036"/>
        <v>6707373.2500000028</v>
      </c>
      <c r="R4054" s="44" t="str">
        <f>VLOOKUP(F4054,'Set up'!$A$2:$E$70,5,FALSE)</f>
        <v>Cash</v>
      </c>
    </row>
    <row r="4055" spans="1:19" ht="16.25" customHeight="1" x14ac:dyDescent="0.35">
      <c r="A4055" s="105" t="s">
        <v>3852</v>
      </c>
      <c r="B4055" s="5">
        <f t="shared" si="1034"/>
        <v>6</v>
      </c>
      <c r="C4055" s="5">
        <f t="shared" si="1035"/>
        <v>2025</v>
      </c>
      <c r="D4055" s="105" t="s">
        <v>3853</v>
      </c>
      <c r="E4055" s="5" t="str">
        <f>VLOOKUP(F4055,'Set up'!$A$2:$C$70,2,FALSE)</f>
        <v>C00000063</v>
      </c>
      <c r="F4055" s="99" t="s">
        <v>3837</v>
      </c>
      <c r="G4055" s="99" t="s">
        <v>3854</v>
      </c>
      <c r="H4055" s="105">
        <v>1</v>
      </c>
      <c r="I4055" s="5" t="str">
        <f>VLOOKUP(F4055,'Set up'!$A$2:$C$70,3,FALSE)</f>
        <v>Cash</v>
      </c>
      <c r="J4055" s="5">
        <f>VLOOKUP(F4055,'Set up'!$A$2:$D$70,4,FALSE)</f>
        <v>0</v>
      </c>
      <c r="K4055" s="4">
        <f t="shared" si="1032"/>
        <v>45817</v>
      </c>
      <c r="L4055" s="5">
        <f t="shared" si="1037"/>
        <v>6</v>
      </c>
      <c r="M4055" s="5">
        <f t="shared" si="1038"/>
        <v>2025</v>
      </c>
      <c r="N4055" s="135">
        <v>55</v>
      </c>
      <c r="O4055" s="6">
        <f>-N4055</f>
        <v>-55</v>
      </c>
      <c r="P4055" s="12">
        <f t="shared" si="1031"/>
        <v>0</v>
      </c>
      <c r="Q4055" s="7">
        <f t="shared" si="1036"/>
        <v>6707428.2500000028</v>
      </c>
      <c r="R4055" s="44" t="str">
        <f>VLOOKUP(F4055,'Set up'!$A$2:$E$70,5,FALSE)</f>
        <v>Cash</v>
      </c>
      <c r="S4055" s="1" t="s">
        <v>3952</v>
      </c>
    </row>
    <row r="4056" spans="1:19" ht="16.25" customHeight="1" x14ac:dyDescent="0.35">
      <c r="A4056" s="105" t="s">
        <v>3855</v>
      </c>
      <c r="B4056" s="5">
        <f t="shared" si="1034"/>
        <v>6</v>
      </c>
      <c r="C4056" s="5">
        <f t="shared" si="1035"/>
        <v>2025</v>
      </c>
      <c r="D4056" s="105" t="s">
        <v>3856</v>
      </c>
      <c r="E4056" s="5" t="str">
        <f>VLOOKUP(F4056,'Set up'!$A$2:$C$70,2,FALSE)</f>
        <v>C00000042</v>
      </c>
      <c r="F4056" s="99" t="s">
        <v>2012</v>
      </c>
      <c r="G4056" s="99" t="s">
        <v>2646</v>
      </c>
      <c r="H4056" s="105">
        <v>2</v>
      </c>
      <c r="I4056" s="5" t="str">
        <f>VLOOKUP(F4056,'Set up'!$A$2:$C$70,3,FALSE)</f>
        <v>Cash</v>
      </c>
      <c r="J4056" s="5">
        <f>VLOOKUP(F4056,'Set up'!$A$2:$D$70,4,FALSE)</f>
        <v>0</v>
      </c>
      <c r="K4056" s="4">
        <f t="shared" si="1032"/>
        <v>45818</v>
      </c>
      <c r="L4056" s="5">
        <f t="shared" si="1037"/>
        <v>6</v>
      </c>
      <c r="M4056" s="5">
        <f t="shared" si="1038"/>
        <v>2025</v>
      </c>
      <c r="N4056" s="135">
        <v>125</v>
      </c>
      <c r="P4056" s="12">
        <f t="shared" si="1031"/>
        <v>125</v>
      </c>
      <c r="Q4056" s="7">
        <f t="shared" si="1036"/>
        <v>6707553.2500000028</v>
      </c>
      <c r="R4056" s="44" t="str">
        <f>VLOOKUP(F4056,'Set up'!$A$2:$E$70,5,FALSE)</f>
        <v>Trsf</v>
      </c>
    </row>
    <row r="4057" spans="1:19" ht="16.25" customHeight="1" x14ac:dyDescent="0.35">
      <c r="A4057" s="105" t="s">
        <v>3855</v>
      </c>
      <c r="B4057" s="5">
        <f t="shared" si="1034"/>
        <v>6</v>
      </c>
      <c r="C4057" s="5">
        <f t="shared" si="1035"/>
        <v>2025</v>
      </c>
      <c r="D4057" s="105" t="s">
        <v>3857</v>
      </c>
      <c r="E4057" s="5" t="str">
        <f>VLOOKUP(F4057,'Set up'!$A$2:$C$70,2,FALSE)</f>
        <v>C00000042</v>
      </c>
      <c r="F4057" s="99" t="s">
        <v>2012</v>
      </c>
      <c r="G4057" s="99" t="s">
        <v>3645</v>
      </c>
      <c r="H4057" s="105">
        <v>5</v>
      </c>
      <c r="I4057" s="5" t="str">
        <f>VLOOKUP(F4057,'Set up'!$A$2:$C$70,3,FALSE)</f>
        <v>Cash</v>
      </c>
      <c r="J4057" s="5">
        <f>VLOOKUP(F4057,'Set up'!$A$2:$D$70,4,FALSE)</f>
        <v>0</v>
      </c>
      <c r="K4057" s="4">
        <f t="shared" si="1032"/>
        <v>45818</v>
      </c>
      <c r="L4057" s="5">
        <f t="shared" si="1037"/>
        <v>6</v>
      </c>
      <c r="M4057" s="5">
        <f t="shared" si="1038"/>
        <v>2025</v>
      </c>
      <c r="N4057" s="135">
        <v>8100</v>
      </c>
      <c r="P4057" s="12">
        <f t="shared" si="1031"/>
        <v>8100</v>
      </c>
      <c r="Q4057" s="7">
        <f t="shared" si="1036"/>
        <v>6715653.2500000028</v>
      </c>
      <c r="R4057" s="44" t="str">
        <f>VLOOKUP(F4057,'Set up'!$A$2:$E$70,5,FALSE)</f>
        <v>Trsf</v>
      </c>
    </row>
    <row r="4058" spans="1:19" ht="16.25" customHeight="1" x14ac:dyDescent="0.35">
      <c r="A4058" s="105" t="s">
        <v>3855</v>
      </c>
      <c r="B4058" s="5">
        <f t="shared" si="1034"/>
        <v>6</v>
      </c>
      <c r="C4058" s="5">
        <f t="shared" si="1035"/>
        <v>2025</v>
      </c>
      <c r="D4058" s="105" t="s">
        <v>3857</v>
      </c>
      <c r="E4058" s="5" t="str">
        <f>VLOOKUP(F4058,'Set up'!$A$2:$C$70,2,FALSE)</f>
        <v>C00000042</v>
      </c>
      <c r="F4058" s="99" t="s">
        <v>2012</v>
      </c>
      <c r="G4058" s="99" t="s">
        <v>2129</v>
      </c>
      <c r="H4058" s="105">
        <v>15</v>
      </c>
      <c r="I4058" s="5" t="str">
        <f>VLOOKUP(F4058,'Set up'!$A$2:$C$70,3,FALSE)</f>
        <v>Cash</v>
      </c>
      <c r="J4058" s="5">
        <f>VLOOKUP(F4058,'Set up'!$A$2:$D$70,4,FALSE)</f>
        <v>0</v>
      </c>
      <c r="K4058" s="4">
        <f t="shared" si="1032"/>
        <v>45818</v>
      </c>
      <c r="L4058" s="5">
        <f t="shared" si="1037"/>
        <v>6</v>
      </c>
      <c r="M4058" s="5">
        <f t="shared" si="1038"/>
        <v>2025</v>
      </c>
      <c r="N4058" s="135">
        <v>3274.5</v>
      </c>
      <c r="P4058" s="12">
        <f t="shared" si="1031"/>
        <v>3274.5</v>
      </c>
      <c r="Q4058" s="7">
        <f t="shared" si="1036"/>
        <v>6718927.7500000028</v>
      </c>
      <c r="R4058" s="44" t="str">
        <f>VLOOKUP(F4058,'Set up'!$A$2:$E$70,5,FALSE)</f>
        <v>Trsf</v>
      </c>
    </row>
    <row r="4059" spans="1:19" ht="16.25" customHeight="1" x14ac:dyDescent="0.35">
      <c r="A4059" s="105" t="s">
        <v>3855</v>
      </c>
      <c r="B4059" s="5">
        <f t="shared" si="1034"/>
        <v>6</v>
      </c>
      <c r="C4059" s="5">
        <f t="shared" si="1035"/>
        <v>2025</v>
      </c>
      <c r="D4059" s="105" t="s">
        <v>3857</v>
      </c>
      <c r="E4059" s="5" t="str">
        <f>VLOOKUP(F4059,'Set up'!$A$2:$C$70,2,FALSE)</f>
        <v>C00000042</v>
      </c>
      <c r="F4059" s="99" t="s">
        <v>2012</v>
      </c>
      <c r="G4059" s="99" t="s">
        <v>1922</v>
      </c>
      <c r="H4059" s="105">
        <v>8</v>
      </c>
      <c r="I4059" s="5" t="str">
        <f>VLOOKUP(F4059,'Set up'!$A$2:$C$70,3,FALSE)</f>
        <v>Cash</v>
      </c>
      <c r="J4059" s="5">
        <f>VLOOKUP(F4059,'Set up'!$A$2:$D$70,4,FALSE)</f>
        <v>0</v>
      </c>
      <c r="K4059" s="4">
        <f t="shared" si="1032"/>
        <v>45818</v>
      </c>
      <c r="L4059" s="5">
        <f t="shared" si="1037"/>
        <v>6</v>
      </c>
      <c r="M4059" s="5">
        <f t="shared" si="1038"/>
        <v>2025</v>
      </c>
      <c r="N4059" s="135">
        <v>1980</v>
      </c>
      <c r="P4059" s="12">
        <f t="shared" si="1031"/>
        <v>1980</v>
      </c>
      <c r="Q4059" s="7">
        <f t="shared" si="1036"/>
        <v>6720907.7500000028</v>
      </c>
      <c r="R4059" s="44" t="str">
        <f>VLOOKUP(F4059,'Set up'!$A$2:$E$70,5,FALSE)</f>
        <v>Trsf</v>
      </c>
    </row>
    <row r="4060" spans="1:19" ht="16.25" customHeight="1" x14ac:dyDescent="0.35">
      <c r="A4060" s="105" t="s">
        <v>3855</v>
      </c>
      <c r="B4060" s="5">
        <f t="shared" si="1034"/>
        <v>6</v>
      </c>
      <c r="C4060" s="5">
        <f t="shared" si="1035"/>
        <v>2025</v>
      </c>
      <c r="D4060" s="105" t="s">
        <v>3857</v>
      </c>
      <c r="E4060" s="5" t="str">
        <f>VLOOKUP(F4060,'Set up'!$A$2:$C$70,2,FALSE)</f>
        <v>C00000042</v>
      </c>
      <c r="F4060" s="99" t="s">
        <v>2012</v>
      </c>
      <c r="G4060" s="99" t="s">
        <v>46</v>
      </c>
      <c r="H4060" s="105">
        <v>4</v>
      </c>
      <c r="I4060" s="5" t="str">
        <f>VLOOKUP(F4060,'Set up'!$A$2:$C$70,3,FALSE)</f>
        <v>Cash</v>
      </c>
      <c r="J4060" s="5">
        <f>VLOOKUP(F4060,'Set up'!$A$2:$D$70,4,FALSE)</f>
        <v>0</v>
      </c>
      <c r="K4060" s="4">
        <f t="shared" si="1032"/>
        <v>45818</v>
      </c>
      <c r="L4060" s="5">
        <f t="shared" si="1037"/>
        <v>6</v>
      </c>
      <c r="M4060" s="5">
        <f t="shared" si="1038"/>
        <v>2025</v>
      </c>
      <c r="N4060" s="135">
        <v>460</v>
      </c>
      <c r="P4060" s="12">
        <f t="shared" si="1031"/>
        <v>460</v>
      </c>
      <c r="Q4060" s="7">
        <f t="shared" si="1036"/>
        <v>6721367.7500000028</v>
      </c>
      <c r="R4060" s="44" t="str">
        <f>VLOOKUP(F4060,'Set up'!$A$2:$E$70,5,FALSE)</f>
        <v>Trsf</v>
      </c>
    </row>
    <row r="4061" spans="1:19" ht="16.25" customHeight="1" x14ac:dyDescent="0.35">
      <c r="A4061" s="105" t="s">
        <v>3855</v>
      </c>
      <c r="B4061" s="5">
        <f t="shared" si="1034"/>
        <v>6</v>
      </c>
      <c r="C4061" s="5">
        <f t="shared" si="1035"/>
        <v>2025</v>
      </c>
      <c r="D4061" s="105" t="s">
        <v>3857</v>
      </c>
      <c r="E4061" s="5" t="str">
        <f>VLOOKUP(F4061,'Set up'!$A$2:$C$70,2,FALSE)</f>
        <v>C00000042</v>
      </c>
      <c r="F4061" s="99" t="s">
        <v>2012</v>
      </c>
      <c r="G4061" s="99" t="s">
        <v>1073</v>
      </c>
      <c r="H4061" s="105">
        <v>1</v>
      </c>
      <c r="I4061" s="5" t="str">
        <f>VLOOKUP(F4061,'Set up'!$A$2:$C$70,3,FALSE)</f>
        <v>Cash</v>
      </c>
      <c r="J4061" s="5">
        <f>VLOOKUP(F4061,'Set up'!$A$2:$D$70,4,FALSE)</f>
        <v>0</v>
      </c>
      <c r="K4061" s="4">
        <f t="shared" si="1032"/>
        <v>45818</v>
      </c>
      <c r="L4061" s="5">
        <f t="shared" si="1037"/>
        <v>6</v>
      </c>
      <c r="M4061" s="5">
        <f t="shared" si="1038"/>
        <v>2025</v>
      </c>
      <c r="N4061" s="135">
        <v>1000</v>
      </c>
      <c r="P4061" s="12">
        <f t="shared" si="1031"/>
        <v>1000</v>
      </c>
      <c r="Q4061" s="7">
        <f t="shared" si="1036"/>
        <v>6722367.7500000028</v>
      </c>
      <c r="R4061" s="44" t="str">
        <f>VLOOKUP(F4061,'Set up'!$A$2:$E$70,5,FALSE)</f>
        <v>Trsf</v>
      </c>
    </row>
    <row r="4062" spans="1:19" ht="16.25" customHeight="1" x14ac:dyDescent="0.35">
      <c r="A4062" s="105" t="s">
        <v>3855</v>
      </c>
      <c r="B4062" s="5">
        <f t="shared" si="1034"/>
        <v>6</v>
      </c>
      <c r="C4062" s="5">
        <f t="shared" si="1035"/>
        <v>2025</v>
      </c>
      <c r="D4062" s="105" t="s">
        <v>3857</v>
      </c>
      <c r="E4062" s="5" t="str">
        <f>VLOOKUP(F4062,'Set up'!$A$2:$C$70,2,FALSE)</f>
        <v>C00000042</v>
      </c>
      <c r="F4062" s="99" t="s">
        <v>2012</v>
      </c>
      <c r="G4062" s="99" t="s">
        <v>1061</v>
      </c>
      <c r="H4062" s="105">
        <v>4</v>
      </c>
      <c r="I4062" s="5" t="str">
        <f>VLOOKUP(F4062,'Set up'!$A$2:$C$70,3,FALSE)</f>
        <v>Cash</v>
      </c>
      <c r="J4062" s="5">
        <f>VLOOKUP(F4062,'Set up'!$A$2:$D$70,4,FALSE)</f>
        <v>0</v>
      </c>
      <c r="K4062" s="4">
        <f t="shared" si="1032"/>
        <v>45818</v>
      </c>
      <c r="L4062" s="5">
        <f t="shared" si="1037"/>
        <v>6</v>
      </c>
      <c r="M4062" s="5">
        <f t="shared" si="1038"/>
        <v>2025</v>
      </c>
      <c r="N4062" s="135">
        <v>380</v>
      </c>
      <c r="P4062" s="12">
        <f t="shared" si="1031"/>
        <v>380</v>
      </c>
      <c r="Q4062" s="7">
        <f t="shared" si="1036"/>
        <v>6722747.7500000028</v>
      </c>
      <c r="R4062" s="44" t="str">
        <f>VLOOKUP(F4062,'Set up'!$A$2:$E$70,5,FALSE)</f>
        <v>Trsf</v>
      </c>
    </row>
    <row r="4063" spans="1:19" ht="16.25" customHeight="1" x14ac:dyDescent="0.35">
      <c r="A4063" s="105" t="s">
        <v>3858</v>
      </c>
      <c r="B4063" s="5">
        <f t="shared" si="1034"/>
        <v>6</v>
      </c>
      <c r="C4063" s="5">
        <f t="shared" si="1035"/>
        <v>2025</v>
      </c>
      <c r="D4063" s="105" t="s">
        <v>3859</v>
      </c>
      <c r="E4063" s="5" t="str">
        <f>VLOOKUP(F4063,'Set up'!$A$2:$C$70,2,FALSE)</f>
        <v>C00000042</v>
      </c>
      <c r="F4063" s="99" t="s">
        <v>2012</v>
      </c>
      <c r="G4063" s="99" t="s">
        <v>2646</v>
      </c>
      <c r="H4063" s="105">
        <v>4</v>
      </c>
      <c r="I4063" s="5" t="str">
        <f>VLOOKUP(F4063,'Set up'!$A$2:$C$70,3,FALSE)</f>
        <v>Cash</v>
      </c>
      <c r="J4063" s="5">
        <f>VLOOKUP(F4063,'Set up'!$A$2:$D$70,4,FALSE)</f>
        <v>0</v>
      </c>
      <c r="K4063" s="4">
        <f t="shared" si="1032"/>
        <v>45820</v>
      </c>
      <c r="L4063" s="5">
        <f t="shared" si="1037"/>
        <v>6</v>
      </c>
      <c r="M4063" s="5">
        <f t="shared" si="1038"/>
        <v>2025</v>
      </c>
      <c r="N4063" s="135">
        <v>250</v>
      </c>
      <c r="P4063" s="12">
        <f t="shared" si="1031"/>
        <v>250</v>
      </c>
      <c r="Q4063" s="7">
        <f t="shared" si="1036"/>
        <v>6722997.7500000028</v>
      </c>
      <c r="R4063" s="44" t="str">
        <f>VLOOKUP(F4063,'Set up'!$A$2:$E$70,5,FALSE)</f>
        <v>Trsf</v>
      </c>
    </row>
    <row r="4064" spans="1:19" ht="16.25" customHeight="1" x14ac:dyDescent="0.35">
      <c r="A4064" s="105" t="s">
        <v>3858</v>
      </c>
      <c r="B4064" s="5">
        <f t="shared" si="1034"/>
        <v>6</v>
      </c>
      <c r="C4064" s="5">
        <f t="shared" si="1035"/>
        <v>2025</v>
      </c>
      <c r="D4064" s="105" t="s">
        <v>3860</v>
      </c>
      <c r="E4064" s="5" t="str">
        <f>VLOOKUP(F4064,'Set up'!$A$2:$C$70,2,FALSE)</f>
        <v>C00000042</v>
      </c>
      <c r="F4064" s="99" t="s">
        <v>2012</v>
      </c>
      <c r="G4064" s="99" t="s">
        <v>3122</v>
      </c>
      <c r="H4064" s="105">
        <v>8</v>
      </c>
      <c r="I4064" s="5" t="str">
        <f>VLOOKUP(F4064,'Set up'!$A$2:$C$70,3,FALSE)</f>
        <v>Cash</v>
      </c>
      <c r="J4064" s="5">
        <f>VLOOKUP(F4064,'Set up'!$A$2:$D$70,4,FALSE)</f>
        <v>0</v>
      </c>
      <c r="K4064" s="4">
        <f t="shared" si="1032"/>
        <v>45820</v>
      </c>
      <c r="L4064" s="5">
        <f t="shared" si="1037"/>
        <v>6</v>
      </c>
      <c r="M4064" s="5">
        <f t="shared" si="1038"/>
        <v>2025</v>
      </c>
      <c r="N4064" s="135">
        <v>12960</v>
      </c>
      <c r="P4064" s="12">
        <f t="shared" ref="P4064:P4125" si="1039">SUM(N4064+O4064)</f>
        <v>12960</v>
      </c>
      <c r="Q4064" s="7">
        <f t="shared" si="1036"/>
        <v>6735957.7500000028</v>
      </c>
      <c r="R4064" s="44" t="str">
        <f>VLOOKUP(F4064,'Set up'!$A$2:$E$70,5,FALSE)</f>
        <v>Trsf</v>
      </c>
    </row>
    <row r="4065" spans="1:19" ht="16.25" customHeight="1" x14ac:dyDescent="0.35">
      <c r="A4065" s="105" t="s">
        <v>3858</v>
      </c>
      <c r="B4065" s="5">
        <f t="shared" si="1034"/>
        <v>6</v>
      </c>
      <c r="C4065" s="5">
        <f t="shared" si="1035"/>
        <v>2025</v>
      </c>
      <c r="D4065" s="105" t="s">
        <v>3860</v>
      </c>
      <c r="E4065" s="5" t="str">
        <f>VLOOKUP(F4065,'Set up'!$A$2:$C$70,2,FALSE)</f>
        <v>C00000042</v>
      </c>
      <c r="F4065" s="99" t="s">
        <v>2012</v>
      </c>
      <c r="G4065" s="99" t="s">
        <v>1392</v>
      </c>
      <c r="H4065" s="105">
        <v>12</v>
      </c>
      <c r="I4065" s="5" t="str">
        <f>VLOOKUP(F4065,'Set up'!$A$2:$C$70,3,FALSE)</f>
        <v>Cash</v>
      </c>
      <c r="J4065" s="5">
        <f>VLOOKUP(F4065,'Set up'!$A$2:$D$70,4,FALSE)</f>
        <v>0</v>
      </c>
      <c r="K4065" s="4">
        <f t="shared" si="1032"/>
        <v>45820</v>
      </c>
      <c r="L4065" s="5">
        <f t="shared" si="1037"/>
        <v>6</v>
      </c>
      <c r="M4065" s="5">
        <f t="shared" si="1038"/>
        <v>2025</v>
      </c>
      <c r="N4065" s="135">
        <v>2124</v>
      </c>
      <c r="P4065" s="12">
        <f t="shared" si="1039"/>
        <v>2124</v>
      </c>
      <c r="Q4065" s="7">
        <f t="shared" si="1036"/>
        <v>6738081.7500000028</v>
      </c>
      <c r="R4065" s="44" t="str">
        <f>VLOOKUP(F4065,'Set up'!$A$2:$E$70,5,FALSE)</f>
        <v>Trsf</v>
      </c>
    </row>
    <row r="4066" spans="1:19" ht="16.25" customHeight="1" x14ac:dyDescent="0.35">
      <c r="A4066" s="105" t="s">
        <v>3858</v>
      </c>
      <c r="B4066" s="5">
        <f t="shared" si="1034"/>
        <v>6</v>
      </c>
      <c r="C4066" s="5">
        <f t="shared" si="1035"/>
        <v>2025</v>
      </c>
      <c r="D4066" s="105" t="s">
        <v>3860</v>
      </c>
      <c r="E4066" s="5" t="str">
        <f>VLOOKUP(F4066,'Set up'!$A$2:$C$70,2,FALSE)</f>
        <v>C00000042</v>
      </c>
      <c r="F4066" s="99" t="s">
        <v>2012</v>
      </c>
      <c r="G4066" s="99" t="s">
        <v>1922</v>
      </c>
      <c r="H4066" s="105">
        <v>15</v>
      </c>
      <c r="I4066" s="5" t="str">
        <f>VLOOKUP(F4066,'Set up'!$A$2:$C$70,3,FALSE)</f>
        <v>Cash</v>
      </c>
      <c r="J4066" s="5">
        <f>VLOOKUP(F4066,'Set up'!$A$2:$D$70,4,FALSE)</f>
        <v>0</v>
      </c>
      <c r="K4066" s="4">
        <f t="shared" si="1032"/>
        <v>45820</v>
      </c>
      <c r="L4066" s="5">
        <f t="shared" si="1037"/>
        <v>6</v>
      </c>
      <c r="M4066" s="5">
        <f t="shared" si="1038"/>
        <v>2025</v>
      </c>
      <c r="N4066" s="135">
        <v>3712.5</v>
      </c>
      <c r="P4066" s="12">
        <f t="shared" si="1039"/>
        <v>3712.5</v>
      </c>
      <c r="Q4066" s="7">
        <f t="shared" si="1036"/>
        <v>6741794.2500000028</v>
      </c>
      <c r="R4066" s="44" t="str">
        <f>VLOOKUP(F4066,'Set up'!$A$2:$E$70,5,FALSE)</f>
        <v>Trsf</v>
      </c>
    </row>
    <row r="4067" spans="1:19" ht="16.25" customHeight="1" x14ac:dyDescent="0.35">
      <c r="A4067" s="105" t="s">
        <v>3861</v>
      </c>
      <c r="B4067" s="5">
        <f t="shared" si="1034"/>
        <v>6</v>
      </c>
      <c r="C4067" s="5">
        <f t="shared" si="1035"/>
        <v>2025</v>
      </c>
      <c r="D4067" s="105" t="s">
        <v>3862</v>
      </c>
      <c r="E4067" s="5" t="str">
        <f>VLOOKUP(F4067,'Set up'!$A$2:$C$70,2,FALSE)</f>
        <v>C00000044</v>
      </c>
      <c r="F4067" s="99" t="s">
        <v>2929</v>
      </c>
      <c r="G4067" s="99" t="s">
        <v>3615</v>
      </c>
      <c r="H4067" s="105">
        <v>1</v>
      </c>
      <c r="I4067" s="5" t="str">
        <f>VLOOKUP(F4067,'Set up'!$A$2:$C$70,3,FALSE)</f>
        <v>Cash</v>
      </c>
      <c r="J4067" s="5">
        <f>VLOOKUP(F4067,'Set up'!$A$2:$D$70,4,FALSE)</f>
        <v>0</v>
      </c>
      <c r="K4067" s="4">
        <f t="shared" si="1032"/>
        <v>45821</v>
      </c>
      <c r="L4067" s="5">
        <f t="shared" si="1037"/>
        <v>6</v>
      </c>
      <c r="M4067" s="5">
        <f t="shared" si="1038"/>
        <v>2025</v>
      </c>
      <c r="N4067" s="135">
        <v>1687.5</v>
      </c>
      <c r="O4067" s="6">
        <f>-N4067</f>
        <v>-1687.5</v>
      </c>
      <c r="P4067" s="12">
        <f t="shared" si="1039"/>
        <v>0</v>
      </c>
      <c r="Q4067" s="7">
        <f t="shared" si="1036"/>
        <v>6743481.7500000028</v>
      </c>
      <c r="R4067" s="44" t="str">
        <f>VLOOKUP(F4067,'Set up'!$A$2:$E$70,5,FALSE)</f>
        <v>Cash</v>
      </c>
      <c r="S4067" s="1" t="s">
        <v>3953</v>
      </c>
    </row>
    <row r="4068" spans="1:19" ht="16.25" customHeight="1" x14ac:dyDescent="0.35">
      <c r="A4068" s="105" t="s">
        <v>3861</v>
      </c>
      <c r="B4068" s="5">
        <f t="shared" si="1034"/>
        <v>6</v>
      </c>
      <c r="C4068" s="5">
        <f t="shared" si="1035"/>
        <v>2025</v>
      </c>
      <c r="D4068" s="105" t="s">
        <v>3862</v>
      </c>
      <c r="E4068" s="5" t="str">
        <f>VLOOKUP(F4068,'Set up'!$A$2:$C$70,2,FALSE)</f>
        <v>C00000044</v>
      </c>
      <c r="F4068" s="99" t="s">
        <v>2929</v>
      </c>
      <c r="G4068" s="99" t="s">
        <v>2570</v>
      </c>
      <c r="H4068" s="105">
        <v>2</v>
      </c>
      <c r="I4068" s="5" t="str">
        <f>VLOOKUP(F4068,'Set up'!$A$2:$C$70,3,FALSE)</f>
        <v>Cash</v>
      </c>
      <c r="J4068" s="5">
        <f>VLOOKUP(F4068,'Set up'!$A$2:$D$70,4,FALSE)</f>
        <v>0</v>
      </c>
      <c r="K4068" s="4">
        <f t="shared" ref="K4068:K4125" si="1040">A4068+J4068</f>
        <v>45821</v>
      </c>
      <c r="L4068" s="5">
        <f t="shared" si="1037"/>
        <v>6</v>
      </c>
      <c r="M4068" s="5">
        <f t="shared" si="1038"/>
        <v>2025</v>
      </c>
      <c r="N4068" s="135">
        <v>432</v>
      </c>
      <c r="O4068" s="6">
        <f>-N4068</f>
        <v>-432</v>
      </c>
      <c r="P4068" s="12">
        <f t="shared" si="1039"/>
        <v>0</v>
      </c>
      <c r="Q4068" s="7">
        <f t="shared" si="1036"/>
        <v>6743913.7500000028</v>
      </c>
      <c r="R4068" s="44" t="str">
        <f>VLOOKUP(F4068,'Set up'!$A$2:$E$70,5,FALSE)</f>
        <v>Cash</v>
      </c>
      <c r="S4068" s="1" t="s">
        <v>3953</v>
      </c>
    </row>
    <row r="4069" spans="1:19" ht="16.25" customHeight="1" x14ac:dyDescent="0.35">
      <c r="A4069" s="105" t="s">
        <v>3861</v>
      </c>
      <c r="B4069" s="5">
        <f t="shared" si="1034"/>
        <v>6</v>
      </c>
      <c r="C4069" s="5">
        <f t="shared" si="1035"/>
        <v>2025</v>
      </c>
      <c r="D4069" s="105" t="s">
        <v>3862</v>
      </c>
      <c r="E4069" s="5" t="str">
        <f>VLOOKUP(F4069,'Set up'!$A$2:$C$70,2,FALSE)</f>
        <v>C00000044</v>
      </c>
      <c r="F4069" s="99" t="s">
        <v>2929</v>
      </c>
      <c r="G4069" s="99" t="s">
        <v>1715</v>
      </c>
      <c r="H4069" s="105">
        <v>1</v>
      </c>
      <c r="I4069" s="5" t="str">
        <f>VLOOKUP(F4069,'Set up'!$A$2:$C$70,3,FALSE)</f>
        <v>Cash</v>
      </c>
      <c r="J4069" s="5">
        <f>VLOOKUP(F4069,'Set up'!$A$2:$D$70,4,FALSE)</f>
        <v>0</v>
      </c>
      <c r="K4069" s="4">
        <f t="shared" si="1040"/>
        <v>45821</v>
      </c>
      <c r="L4069" s="5">
        <f t="shared" si="1037"/>
        <v>6</v>
      </c>
      <c r="M4069" s="5">
        <f t="shared" si="1038"/>
        <v>2025</v>
      </c>
      <c r="N4069" s="135">
        <v>165</v>
      </c>
      <c r="O4069" s="6">
        <f>-N4069</f>
        <v>-165</v>
      </c>
      <c r="P4069" s="12">
        <f t="shared" si="1039"/>
        <v>0</v>
      </c>
      <c r="Q4069" s="7">
        <f t="shared" si="1036"/>
        <v>6744078.7500000028</v>
      </c>
      <c r="R4069" s="44" t="str">
        <f>VLOOKUP(F4069,'Set up'!$A$2:$E$70,5,FALSE)</f>
        <v>Cash</v>
      </c>
      <c r="S4069" s="1" t="s">
        <v>3953</v>
      </c>
    </row>
    <row r="4070" spans="1:19" ht="16.25" customHeight="1" x14ac:dyDescent="0.35">
      <c r="A4070" s="105" t="s">
        <v>3861</v>
      </c>
      <c r="B4070" s="5">
        <f t="shared" si="1034"/>
        <v>6</v>
      </c>
      <c r="C4070" s="5">
        <f t="shared" si="1035"/>
        <v>2025</v>
      </c>
      <c r="D4070" s="105" t="s">
        <v>3862</v>
      </c>
      <c r="E4070" s="5" t="str">
        <f>VLOOKUP(F4070,'Set up'!$A$2:$C$70,2,FALSE)</f>
        <v>C00000044</v>
      </c>
      <c r="F4070" s="99" t="s">
        <v>2929</v>
      </c>
      <c r="G4070" s="99" t="s">
        <v>3255</v>
      </c>
      <c r="H4070" s="105">
        <v>2</v>
      </c>
      <c r="I4070" s="5" t="str">
        <f>VLOOKUP(F4070,'Set up'!$A$2:$C$70,3,FALSE)</f>
        <v>Cash</v>
      </c>
      <c r="J4070" s="5">
        <f>VLOOKUP(F4070,'Set up'!$A$2:$D$70,4,FALSE)</f>
        <v>0</v>
      </c>
      <c r="K4070" s="4">
        <f t="shared" si="1040"/>
        <v>45821</v>
      </c>
      <c r="L4070" s="5">
        <f t="shared" si="1037"/>
        <v>6</v>
      </c>
      <c r="M4070" s="5">
        <f t="shared" si="1038"/>
        <v>2025</v>
      </c>
      <c r="N4070" s="135">
        <v>350</v>
      </c>
      <c r="O4070" s="6">
        <f>-N4070</f>
        <v>-350</v>
      </c>
      <c r="P4070" s="12">
        <f t="shared" si="1039"/>
        <v>0</v>
      </c>
      <c r="Q4070" s="7">
        <f t="shared" si="1036"/>
        <v>6744428.7500000028</v>
      </c>
      <c r="R4070" s="44" t="str">
        <f>VLOOKUP(F4070,'Set up'!$A$2:$E$70,5,FALSE)</f>
        <v>Cash</v>
      </c>
      <c r="S4070" s="1" t="s">
        <v>3953</v>
      </c>
    </row>
    <row r="4071" spans="1:19" ht="16.25" customHeight="1" x14ac:dyDescent="0.35">
      <c r="A4071" s="105" t="s">
        <v>3861</v>
      </c>
      <c r="B4071" s="5">
        <f t="shared" si="1034"/>
        <v>6</v>
      </c>
      <c r="C4071" s="5">
        <f t="shared" si="1035"/>
        <v>2025</v>
      </c>
      <c r="D4071" s="105" t="s">
        <v>3862</v>
      </c>
      <c r="E4071" s="5" t="str">
        <f>VLOOKUP(F4071,'Set up'!$A$2:$C$70,2,FALSE)</f>
        <v>C00000044</v>
      </c>
      <c r="F4071" s="99" t="s">
        <v>2929</v>
      </c>
      <c r="G4071" s="99" t="s">
        <v>2646</v>
      </c>
      <c r="H4071" s="105">
        <v>1</v>
      </c>
      <c r="I4071" s="5" t="str">
        <f>VLOOKUP(F4071,'Set up'!$A$2:$C$70,3,FALSE)</f>
        <v>Cash</v>
      </c>
      <c r="J4071" s="5">
        <f>VLOOKUP(F4071,'Set up'!$A$2:$D$70,4,FALSE)</f>
        <v>0</v>
      </c>
      <c r="K4071" s="4">
        <f t="shared" si="1040"/>
        <v>45821</v>
      </c>
      <c r="L4071" s="5">
        <f t="shared" si="1037"/>
        <v>6</v>
      </c>
      <c r="M4071" s="5">
        <f t="shared" si="1038"/>
        <v>2025</v>
      </c>
      <c r="N4071" s="135">
        <v>62.5</v>
      </c>
      <c r="O4071" s="6">
        <f>-N4071</f>
        <v>-62.5</v>
      </c>
      <c r="P4071" s="12">
        <f t="shared" si="1039"/>
        <v>0</v>
      </c>
      <c r="Q4071" s="7">
        <f t="shared" si="1036"/>
        <v>6744491.2500000028</v>
      </c>
      <c r="R4071" s="44" t="str">
        <f>VLOOKUP(F4071,'Set up'!$A$2:$E$70,5,FALSE)</f>
        <v>Cash</v>
      </c>
      <c r="S4071" s="1" t="s">
        <v>3953</v>
      </c>
    </row>
    <row r="4072" spans="1:19" ht="16.25" customHeight="1" x14ac:dyDescent="0.35">
      <c r="A4072" s="105" t="s">
        <v>3861</v>
      </c>
      <c r="B4072" s="5">
        <f t="shared" si="1034"/>
        <v>6</v>
      </c>
      <c r="C4072" s="5">
        <f t="shared" si="1035"/>
        <v>2025</v>
      </c>
      <c r="D4072" s="105" t="s">
        <v>3863</v>
      </c>
      <c r="E4072" s="5" t="str">
        <f>VLOOKUP(F4072,'Set up'!$A$2:$C$70,2,FALSE)</f>
        <v>C00000041</v>
      </c>
      <c r="F4072" s="99" t="s">
        <v>1704</v>
      </c>
      <c r="G4072" s="99" t="s">
        <v>3864</v>
      </c>
      <c r="H4072" s="105">
        <v>1</v>
      </c>
      <c r="I4072" s="5" t="str">
        <f>VLOOKUP(F4072,'Set up'!$A$2:$C$70,3,FALSE)</f>
        <v>Cash</v>
      </c>
      <c r="J4072" s="5">
        <f>VLOOKUP(F4072,'Set up'!$A$2:$D$70,4,FALSE)</f>
        <v>0</v>
      </c>
      <c r="K4072" s="4">
        <f t="shared" si="1040"/>
        <v>45821</v>
      </c>
      <c r="L4072" s="5">
        <f t="shared" si="1037"/>
        <v>6</v>
      </c>
      <c r="M4072" s="5">
        <f t="shared" si="1038"/>
        <v>2025</v>
      </c>
      <c r="N4072" s="135">
        <v>1687.5</v>
      </c>
      <c r="O4072" s="6">
        <f t="shared" ref="O4072:O4077" si="1041">-N4072</f>
        <v>-1687.5</v>
      </c>
      <c r="P4072" s="12">
        <f t="shared" si="1039"/>
        <v>0</v>
      </c>
      <c r="Q4072" s="7">
        <f t="shared" si="1036"/>
        <v>6746178.7500000028</v>
      </c>
      <c r="R4072" s="44" t="str">
        <f>VLOOKUP(F4072,'Set up'!$A$2:$E$70,5,FALSE)</f>
        <v>Trsf</v>
      </c>
      <c r="S4072" s="1" t="s">
        <v>3950</v>
      </c>
    </row>
    <row r="4073" spans="1:19" ht="16.25" customHeight="1" x14ac:dyDescent="0.35">
      <c r="A4073" s="105" t="s">
        <v>3861</v>
      </c>
      <c r="B4073" s="5">
        <f t="shared" si="1034"/>
        <v>6</v>
      </c>
      <c r="C4073" s="5">
        <f t="shared" si="1035"/>
        <v>2025</v>
      </c>
      <c r="D4073" s="105" t="s">
        <v>3863</v>
      </c>
      <c r="E4073" s="5" t="str">
        <f>VLOOKUP(F4073,'Set up'!$A$2:$C$70,2,FALSE)</f>
        <v>C00000041</v>
      </c>
      <c r="F4073" s="99" t="s">
        <v>1704</v>
      </c>
      <c r="G4073" s="99" t="s">
        <v>2652</v>
      </c>
      <c r="H4073" s="105">
        <v>1</v>
      </c>
      <c r="I4073" s="5" t="str">
        <f>VLOOKUP(F4073,'Set up'!$A$2:$C$70,3,FALSE)</f>
        <v>Cash</v>
      </c>
      <c r="J4073" s="5">
        <f>VLOOKUP(F4073,'Set up'!$A$2:$D$70,4,FALSE)</f>
        <v>0</v>
      </c>
      <c r="K4073" s="4">
        <f t="shared" si="1040"/>
        <v>45821</v>
      </c>
      <c r="L4073" s="5">
        <f t="shared" si="1037"/>
        <v>6</v>
      </c>
      <c r="M4073" s="5">
        <f t="shared" si="1038"/>
        <v>2025</v>
      </c>
      <c r="N4073" s="135">
        <v>48</v>
      </c>
      <c r="O4073" s="6">
        <f t="shared" si="1041"/>
        <v>-48</v>
      </c>
      <c r="P4073" s="12">
        <f t="shared" si="1039"/>
        <v>0</v>
      </c>
      <c r="Q4073" s="7">
        <f t="shared" si="1036"/>
        <v>6746226.7500000028</v>
      </c>
      <c r="R4073" s="44" t="str">
        <f>VLOOKUP(F4073,'Set up'!$A$2:$E$70,5,FALSE)</f>
        <v>Trsf</v>
      </c>
      <c r="S4073" s="1" t="s">
        <v>3950</v>
      </c>
    </row>
    <row r="4074" spans="1:19" ht="16.25" customHeight="1" x14ac:dyDescent="0.35">
      <c r="A4074" s="105" t="s">
        <v>3861</v>
      </c>
      <c r="B4074" s="5">
        <f t="shared" si="1034"/>
        <v>6</v>
      </c>
      <c r="C4074" s="5">
        <f t="shared" si="1035"/>
        <v>2025</v>
      </c>
      <c r="D4074" s="105" t="s">
        <v>3863</v>
      </c>
      <c r="E4074" s="5" t="str">
        <f>VLOOKUP(F4074,'Set up'!$A$2:$C$70,2,FALSE)</f>
        <v>C00000041</v>
      </c>
      <c r="F4074" s="99" t="s">
        <v>1704</v>
      </c>
      <c r="G4074" s="99" t="s">
        <v>2523</v>
      </c>
      <c r="H4074" s="105">
        <v>2</v>
      </c>
      <c r="I4074" s="5" t="str">
        <f>VLOOKUP(F4074,'Set up'!$A$2:$C$70,3,FALSE)</f>
        <v>Cash</v>
      </c>
      <c r="J4074" s="5">
        <f>VLOOKUP(F4074,'Set up'!$A$2:$D$70,4,FALSE)</f>
        <v>0</v>
      </c>
      <c r="K4074" s="4">
        <f t="shared" si="1040"/>
        <v>45821</v>
      </c>
      <c r="L4074" s="5">
        <f t="shared" si="1037"/>
        <v>6</v>
      </c>
      <c r="M4074" s="5">
        <f t="shared" si="1038"/>
        <v>2025</v>
      </c>
      <c r="N4074" s="135">
        <v>438</v>
      </c>
      <c r="O4074" s="6">
        <f t="shared" si="1041"/>
        <v>-438</v>
      </c>
      <c r="P4074" s="12">
        <f t="shared" si="1039"/>
        <v>0</v>
      </c>
      <c r="Q4074" s="7">
        <f t="shared" si="1036"/>
        <v>6746664.7500000028</v>
      </c>
      <c r="R4074" s="44" t="str">
        <f>VLOOKUP(F4074,'Set up'!$A$2:$E$70,5,FALSE)</f>
        <v>Trsf</v>
      </c>
      <c r="S4074" s="1" t="s">
        <v>3950</v>
      </c>
    </row>
    <row r="4075" spans="1:19" ht="16.25" customHeight="1" x14ac:dyDescent="0.35">
      <c r="A4075" s="105" t="s">
        <v>3865</v>
      </c>
      <c r="B4075" s="5">
        <f t="shared" si="1034"/>
        <v>6</v>
      </c>
      <c r="C4075" s="5">
        <f t="shared" si="1035"/>
        <v>2025</v>
      </c>
      <c r="D4075" s="105" t="s">
        <v>3866</v>
      </c>
      <c r="E4075" s="5" t="str">
        <f>VLOOKUP(F4075,'Set up'!$A$2:$C$70,2,FALSE)</f>
        <v>C00000062</v>
      </c>
      <c r="F4075" s="99" t="s">
        <v>3867</v>
      </c>
      <c r="G4075" s="99" t="s">
        <v>3533</v>
      </c>
      <c r="H4075" s="105">
        <v>1</v>
      </c>
      <c r="I4075" s="5" t="str">
        <f>VLOOKUP(F4075,'Set up'!$A$2:$C$70,3,FALSE)</f>
        <v>Cash</v>
      </c>
      <c r="J4075" s="5">
        <f>VLOOKUP(F4075,'Set up'!$A$2:$D$70,4,FALSE)</f>
        <v>0</v>
      </c>
      <c r="K4075" s="4">
        <f t="shared" si="1040"/>
        <v>45824</v>
      </c>
      <c r="L4075" s="5">
        <f t="shared" si="1037"/>
        <v>6</v>
      </c>
      <c r="M4075" s="5">
        <f t="shared" si="1038"/>
        <v>2025</v>
      </c>
      <c r="N4075" s="135">
        <v>1732.5</v>
      </c>
      <c r="O4075" s="6">
        <f t="shared" si="1041"/>
        <v>-1732.5</v>
      </c>
      <c r="P4075" s="12">
        <f t="shared" si="1039"/>
        <v>0</v>
      </c>
      <c r="Q4075" s="7">
        <f t="shared" si="1036"/>
        <v>6748397.2500000028</v>
      </c>
      <c r="R4075" s="44" t="str">
        <f>VLOOKUP(F4075,'Set up'!$A$2:$E$70,5,FALSE)</f>
        <v>Cash</v>
      </c>
      <c r="S4075" s="1" t="s">
        <v>3951</v>
      </c>
    </row>
    <row r="4076" spans="1:19" ht="16.25" customHeight="1" x14ac:dyDescent="0.35">
      <c r="A4076" s="105" t="s">
        <v>3865</v>
      </c>
      <c r="B4076" s="5">
        <f t="shared" si="1034"/>
        <v>6</v>
      </c>
      <c r="C4076" s="5">
        <f t="shared" si="1035"/>
        <v>2025</v>
      </c>
      <c r="D4076" s="105" t="s">
        <v>3866</v>
      </c>
      <c r="E4076" s="5" t="str">
        <f>VLOOKUP(F4076,'Set up'!$A$2:$C$70,2,FALSE)</f>
        <v>C00000062</v>
      </c>
      <c r="F4076" s="99" t="s">
        <v>3867</v>
      </c>
      <c r="G4076" s="99" t="s">
        <v>3868</v>
      </c>
      <c r="H4076" s="105">
        <v>1</v>
      </c>
      <c r="I4076" s="5" t="str">
        <f>VLOOKUP(F4076,'Set up'!$A$2:$C$70,3,FALSE)</f>
        <v>Cash</v>
      </c>
      <c r="J4076" s="5">
        <f>VLOOKUP(F4076,'Set up'!$A$2:$D$70,4,FALSE)</f>
        <v>0</v>
      </c>
      <c r="K4076" s="4">
        <f t="shared" si="1040"/>
        <v>45824</v>
      </c>
      <c r="L4076" s="5">
        <f t="shared" si="1037"/>
        <v>6</v>
      </c>
      <c r="M4076" s="5">
        <f t="shared" si="1038"/>
        <v>2025</v>
      </c>
      <c r="N4076" s="135">
        <v>2812.5</v>
      </c>
      <c r="O4076" s="6">
        <f t="shared" si="1041"/>
        <v>-2812.5</v>
      </c>
      <c r="P4076" s="12">
        <f t="shared" si="1039"/>
        <v>0</v>
      </c>
      <c r="Q4076" s="7">
        <f t="shared" si="1036"/>
        <v>6751209.7500000028</v>
      </c>
      <c r="R4076" s="44" t="str">
        <f>VLOOKUP(F4076,'Set up'!$A$2:$E$70,5,FALSE)</f>
        <v>Cash</v>
      </c>
      <c r="S4076" s="1" t="s">
        <v>3951</v>
      </c>
    </row>
    <row r="4077" spans="1:19" ht="16.25" customHeight="1" x14ac:dyDescent="0.35">
      <c r="A4077" s="105" t="s">
        <v>3865</v>
      </c>
      <c r="B4077" s="5">
        <f t="shared" si="1034"/>
        <v>6</v>
      </c>
      <c r="C4077" s="5">
        <f t="shared" si="1035"/>
        <v>2025</v>
      </c>
      <c r="D4077" s="105" t="s">
        <v>3866</v>
      </c>
      <c r="E4077" s="5" t="str">
        <f>VLOOKUP(F4077,'Set up'!$A$2:$C$70,2,FALSE)</f>
        <v>C00000062</v>
      </c>
      <c r="F4077" s="99" t="s">
        <v>3867</v>
      </c>
      <c r="G4077" s="99" t="s">
        <v>46</v>
      </c>
      <c r="H4077" s="105">
        <v>1</v>
      </c>
      <c r="I4077" s="5" t="str">
        <f>VLOOKUP(F4077,'Set up'!$A$2:$C$70,3,FALSE)</f>
        <v>Cash</v>
      </c>
      <c r="J4077" s="5">
        <f>VLOOKUP(F4077,'Set up'!$A$2:$D$70,4,FALSE)</f>
        <v>0</v>
      </c>
      <c r="K4077" s="4">
        <f t="shared" si="1040"/>
        <v>45824</v>
      </c>
      <c r="L4077" s="5">
        <f t="shared" si="1037"/>
        <v>6</v>
      </c>
      <c r="M4077" s="5">
        <f t="shared" si="1038"/>
        <v>2025</v>
      </c>
      <c r="N4077" s="135">
        <v>115</v>
      </c>
      <c r="O4077" s="6">
        <f t="shared" si="1041"/>
        <v>-115</v>
      </c>
      <c r="P4077" s="12">
        <f t="shared" si="1039"/>
        <v>0</v>
      </c>
      <c r="Q4077" s="7">
        <f t="shared" si="1036"/>
        <v>6751324.7500000028</v>
      </c>
      <c r="R4077" s="44" t="str">
        <f>VLOOKUP(F4077,'Set up'!$A$2:$E$70,5,FALSE)</f>
        <v>Cash</v>
      </c>
      <c r="S4077" s="1" t="s">
        <v>3951</v>
      </c>
    </row>
    <row r="4078" spans="1:19" ht="16.25" customHeight="1" x14ac:dyDescent="0.35">
      <c r="A4078" s="105" t="s">
        <v>3869</v>
      </c>
      <c r="B4078" s="5">
        <f t="shared" si="1034"/>
        <v>6</v>
      </c>
      <c r="C4078" s="5">
        <f t="shared" si="1035"/>
        <v>2025</v>
      </c>
      <c r="D4078" s="105" t="s">
        <v>3870</v>
      </c>
      <c r="E4078" s="5" t="str">
        <f>VLOOKUP(F4078,'Set up'!$A$2:$C$70,2,FALSE)</f>
        <v>C00000050</v>
      </c>
      <c r="F4078" s="99" t="s">
        <v>2656</v>
      </c>
      <c r="G4078" s="99" t="s">
        <v>3615</v>
      </c>
      <c r="H4078" s="105">
        <v>1</v>
      </c>
      <c r="I4078" s="5" t="str">
        <f>VLOOKUP(F4078,'Set up'!$A$2:$C$70,3,FALSE)</f>
        <v>Cash</v>
      </c>
      <c r="J4078" s="5">
        <f>VLOOKUP(F4078,'Set up'!$A$2:$D$70,4,FALSE)</f>
        <v>0</v>
      </c>
      <c r="K4078" s="4">
        <f t="shared" si="1040"/>
        <v>45822</v>
      </c>
      <c r="L4078" s="5">
        <f t="shared" si="1037"/>
        <v>6</v>
      </c>
      <c r="M4078" s="5">
        <f t="shared" si="1038"/>
        <v>2025</v>
      </c>
      <c r="N4078" s="135">
        <v>1710</v>
      </c>
      <c r="P4078" s="12">
        <f t="shared" si="1039"/>
        <v>1710</v>
      </c>
      <c r="Q4078" s="7">
        <f t="shared" si="1036"/>
        <v>6753034.7500000028</v>
      </c>
      <c r="R4078" s="44" t="str">
        <f>VLOOKUP(F4078,'Set up'!$A$2:$E$70,5,FALSE)</f>
        <v>Cash</v>
      </c>
    </row>
    <row r="4079" spans="1:19" ht="16.25" customHeight="1" x14ac:dyDescent="0.35">
      <c r="A4079" s="105" t="s">
        <v>3869</v>
      </c>
      <c r="B4079" s="5">
        <f t="shared" si="1034"/>
        <v>6</v>
      </c>
      <c r="C4079" s="5">
        <f t="shared" si="1035"/>
        <v>2025</v>
      </c>
      <c r="D4079" s="105" t="s">
        <v>3870</v>
      </c>
      <c r="E4079" s="5" t="str">
        <f>VLOOKUP(F4079,'Set up'!$A$2:$C$70,2,FALSE)</f>
        <v>C00000050</v>
      </c>
      <c r="F4079" s="99" t="s">
        <v>2656</v>
      </c>
      <c r="G4079" s="99" t="s">
        <v>2434</v>
      </c>
      <c r="H4079" s="105">
        <v>2</v>
      </c>
      <c r="I4079" s="5" t="str">
        <f>VLOOKUP(F4079,'Set up'!$A$2:$C$70,3,FALSE)</f>
        <v>Cash</v>
      </c>
      <c r="J4079" s="5">
        <f>VLOOKUP(F4079,'Set up'!$A$2:$D$70,4,FALSE)</f>
        <v>0</v>
      </c>
      <c r="K4079" s="4">
        <f t="shared" si="1040"/>
        <v>45822</v>
      </c>
      <c r="L4079" s="5">
        <f t="shared" si="1037"/>
        <v>6</v>
      </c>
      <c r="M4079" s="5">
        <f t="shared" si="1038"/>
        <v>2025</v>
      </c>
      <c r="N4079" s="135">
        <v>555</v>
      </c>
      <c r="P4079" s="12">
        <f t="shared" si="1039"/>
        <v>555</v>
      </c>
      <c r="Q4079" s="7">
        <f t="shared" si="1036"/>
        <v>6753589.7500000028</v>
      </c>
      <c r="R4079" s="44" t="str">
        <f>VLOOKUP(F4079,'Set up'!$A$2:$E$70,5,FALSE)</f>
        <v>Cash</v>
      </c>
    </row>
    <row r="4080" spans="1:19" ht="16.25" customHeight="1" x14ac:dyDescent="0.35">
      <c r="A4080" s="105" t="s">
        <v>3869</v>
      </c>
      <c r="B4080" s="5">
        <f t="shared" si="1034"/>
        <v>6</v>
      </c>
      <c r="C4080" s="5">
        <f t="shared" si="1035"/>
        <v>2025</v>
      </c>
      <c r="D4080" s="105" t="s">
        <v>3870</v>
      </c>
      <c r="E4080" s="5" t="str">
        <f>VLOOKUP(F4080,'Set up'!$A$2:$C$70,2,FALSE)</f>
        <v>C00000050</v>
      </c>
      <c r="F4080" s="99" t="s">
        <v>2656</v>
      </c>
      <c r="G4080" s="99" t="s">
        <v>1061</v>
      </c>
      <c r="H4080" s="105">
        <v>1</v>
      </c>
      <c r="I4080" s="5" t="str">
        <f>VLOOKUP(F4080,'Set up'!$A$2:$C$70,3,FALSE)</f>
        <v>Cash</v>
      </c>
      <c r="J4080" s="5">
        <f>VLOOKUP(F4080,'Set up'!$A$2:$D$70,4,FALSE)</f>
        <v>0</v>
      </c>
      <c r="K4080" s="4">
        <f t="shared" si="1040"/>
        <v>45822</v>
      </c>
      <c r="L4080" s="5">
        <f t="shared" si="1037"/>
        <v>6</v>
      </c>
      <c r="M4080" s="5">
        <f t="shared" si="1038"/>
        <v>2025</v>
      </c>
      <c r="N4080" s="135">
        <v>95</v>
      </c>
      <c r="P4080" s="12">
        <f t="shared" si="1039"/>
        <v>95</v>
      </c>
      <c r="Q4080" s="7">
        <f t="shared" si="1036"/>
        <v>6753684.7500000028</v>
      </c>
      <c r="R4080" s="44" t="str">
        <f>VLOOKUP(F4080,'Set up'!$A$2:$E$70,5,FALSE)</f>
        <v>Cash</v>
      </c>
    </row>
    <row r="4081" spans="1:19" ht="16.25" customHeight="1" x14ac:dyDescent="0.35">
      <c r="A4081" s="105" t="s">
        <v>3865</v>
      </c>
      <c r="B4081" s="5">
        <f t="shared" si="1034"/>
        <v>6</v>
      </c>
      <c r="C4081" s="5">
        <f t="shared" si="1035"/>
        <v>2025</v>
      </c>
      <c r="D4081" s="105" t="s">
        <v>3871</v>
      </c>
      <c r="E4081" s="5" t="str">
        <f>VLOOKUP(F4081,'Set up'!$A$2:$C$70,2,FALSE)</f>
        <v>C00000042</v>
      </c>
      <c r="F4081" s="99" t="s">
        <v>2012</v>
      </c>
      <c r="G4081" s="99" t="s">
        <v>2646</v>
      </c>
      <c r="H4081" s="105">
        <v>2</v>
      </c>
      <c r="I4081" s="5" t="str">
        <f>VLOOKUP(F4081,'Set up'!$A$2:$C$70,3,FALSE)</f>
        <v>Cash</v>
      </c>
      <c r="J4081" s="5">
        <f>VLOOKUP(F4081,'Set up'!$A$2:$D$70,4,FALSE)</f>
        <v>0</v>
      </c>
      <c r="K4081" s="4">
        <f t="shared" si="1040"/>
        <v>45824</v>
      </c>
      <c r="L4081" s="5">
        <f t="shared" si="1037"/>
        <v>6</v>
      </c>
      <c r="M4081" s="5">
        <f t="shared" si="1038"/>
        <v>2025</v>
      </c>
      <c r="N4081" s="135">
        <v>125</v>
      </c>
      <c r="P4081" s="12">
        <f t="shared" si="1039"/>
        <v>125</v>
      </c>
      <c r="Q4081" s="7">
        <f t="shared" si="1036"/>
        <v>6753809.7500000028</v>
      </c>
      <c r="R4081" s="44" t="str">
        <f>VLOOKUP(F4081,'Set up'!$A$2:$E$70,5,FALSE)</f>
        <v>Trsf</v>
      </c>
    </row>
    <row r="4082" spans="1:19" ht="16.25" customHeight="1" x14ac:dyDescent="0.35">
      <c r="A4082" s="105" t="s">
        <v>3865</v>
      </c>
      <c r="B4082" s="5">
        <f t="shared" si="1034"/>
        <v>6</v>
      </c>
      <c r="C4082" s="5">
        <f t="shared" si="1035"/>
        <v>2025</v>
      </c>
      <c r="D4082" s="105" t="s">
        <v>3872</v>
      </c>
      <c r="E4082" s="5" t="str">
        <f>VLOOKUP(F4082,'Set up'!$A$2:$C$70,2,FALSE)</f>
        <v>C00000042</v>
      </c>
      <c r="F4082" s="99" t="s">
        <v>2012</v>
      </c>
      <c r="G4082" s="99" t="s">
        <v>3645</v>
      </c>
      <c r="H4082" s="105">
        <v>5</v>
      </c>
      <c r="I4082" s="5" t="str">
        <f>VLOOKUP(F4082,'Set up'!$A$2:$C$70,3,FALSE)</f>
        <v>Cash</v>
      </c>
      <c r="J4082" s="5">
        <f>VLOOKUP(F4082,'Set up'!$A$2:$D$70,4,FALSE)</f>
        <v>0</v>
      </c>
      <c r="K4082" s="4">
        <f t="shared" si="1040"/>
        <v>45824</v>
      </c>
      <c r="L4082" s="5">
        <f t="shared" si="1037"/>
        <v>6</v>
      </c>
      <c r="M4082" s="5">
        <f t="shared" si="1038"/>
        <v>2025</v>
      </c>
      <c r="N4082" s="135">
        <v>8100</v>
      </c>
      <c r="P4082" s="12">
        <f t="shared" si="1039"/>
        <v>8100</v>
      </c>
      <c r="Q4082" s="7">
        <f t="shared" si="1036"/>
        <v>6761909.7500000028</v>
      </c>
      <c r="R4082" s="44" t="str">
        <f>VLOOKUP(F4082,'Set up'!$A$2:$E$70,5,FALSE)</f>
        <v>Trsf</v>
      </c>
    </row>
    <row r="4083" spans="1:19" ht="16.25" customHeight="1" x14ac:dyDescent="0.35">
      <c r="A4083" s="105" t="s">
        <v>3865</v>
      </c>
      <c r="B4083" s="5">
        <f t="shared" si="1034"/>
        <v>6</v>
      </c>
      <c r="C4083" s="5">
        <f t="shared" si="1035"/>
        <v>2025</v>
      </c>
      <c r="D4083" s="105" t="s">
        <v>3872</v>
      </c>
      <c r="E4083" s="5" t="str">
        <f>VLOOKUP(F4083,'Set up'!$A$2:$C$70,2,FALSE)</f>
        <v>C00000042</v>
      </c>
      <c r="F4083" s="99" t="s">
        <v>2012</v>
      </c>
      <c r="G4083" s="99" t="s">
        <v>1392</v>
      </c>
      <c r="H4083" s="105">
        <v>15</v>
      </c>
      <c r="I4083" s="5" t="str">
        <f>VLOOKUP(F4083,'Set up'!$A$2:$C$70,3,FALSE)</f>
        <v>Cash</v>
      </c>
      <c r="J4083" s="5">
        <f>VLOOKUP(F4083,'Set up'!$A$2:$D$70,4,FALSE)</f>
        <v>0</v>
      </c>
      <c r="K4083" s="4">
        <f t="shared" si="1040"/>
        <v>45824</v>
      </c>
      <c r="L4083" s="5">
        <f t="shared" si="1037"/>
        <v>6</v>
      </c>
      <c r="M4083" s="5">
        <f t="shared" si="1038"/>
        <v>2025</v>
      </c>
      <c r="N4083" s="135">
        <v>2655</v>
      </c>
      <c r="P4083" s="12">
        <f t="shared" si="1039"/>
        <v>2655</v>
      </c>
      <c r="Q4083" s="7">
        <f t="shared" si="1036"/>
        <v>6764564.7500000028</v>
      </c>
      <c r="R4083" s="44" t="str">
        <f>VLOOKUP(F4083,'Set up'!$A$2:$E$70,5,FALSE)</f>
        <v>Trsf</v>
      </c>
    </row>
    <row r="4084" spans="1:19" ht="16.25" customHeight="1" x14ac:dyDescent="0.35">
      <c r="A4084" s="105" t="s">
        <v>3865</v>
      </c>
      <c r="B4084" s="5">
        <f t="shared" si="1034"/>
        <v>6</v>
      </c>
      <c r="C4084" s="5">
        <f t="shared" si="1035"/>
        <v>2025</v>
      </c>
      <c r="D4084" s="105" t="s">
        <v>3872</v>
      </c>
      <c r="E4084" s="5" t="str">
        <f>VLOOKUP(F4084,'Set up'!$A$2:$C$70,2,FALSE)</f>
        <v>C00000042</v>
      </c>
      <c r="F4084" s="99" t="s">
        <v>2012</v>
      </c>
      <c r="G4084" s="99" t="s">
        <v>1922</v>
      </c>
      <c r="H4084" s="105">
        <v>8</v>
      </c>
      <c r="I4084" s="5" t="str">
        <f>VLOOKUP(F4084,'Set up'!$A$2:$C$70,3,FALSE)</f>
        <v>Cash</v>
      </c>
      <c r="J4084" s="5">
        <f>VLOOKUP(F4084,'Set up'!$A$2:$D$70,4,FALSE)</f>
        <v>0</v>
      </c>
      <c r="K4084" s="4">
        <f t="shared" si="1040"/>
        <v>45824</v>
      </c>
      <c r="L4084" s="5">
        <f t="shared" si="1037"/>
        <v>6</v>
      </c>
      <c r="M4084" s="5">
        <f t="shared" si="1038"/>
        <v>2025</v>
      </c>
      <c r="N4084" s="135">
        <v>1980</v>
      </c>
      <c r="P4084" s="12">
        <f t="shared" si="1039"/>
        <v>1980</v>
      </c>
      <c r="Q4084" s="7">
        <f t="shared" si="1036"/>
        <v>6766544.7500000028</v>
      </c>
      <c r="R4084" s="44" t="str">
        <f>VLOOKUP(F4084,'Set up'!$A$2:$E$70,5,FALSE)</f>
        <v>Trsf</v>
      </c>
    </row>
    <row r="4085" spans="1:19" ht="16.25" customHeight="1" x14ac:dyDescent="0.35">
      <c r="A4085" s="105" t="s">
        <v>3865</v>
      </c>
      <c r="B4085" s="5">
        <f t="shared" si="1034"/>
        <v>6</v>
      </c>
      <c r="C4085" s="5">
        <f t="shared" si="1035"/>
        <v>2025</v>
      </c>
      <c r="D4085" s="105" t="s">
        <v>3872</v>
      </c>
      <c r="E4085" s="5" t="str">
        <f>VLOOKUP(F4085,'Set up'!$A$2:$C$70,2,FALSE)</f>
        <v>C00000042</v>
      </c>
      <c r="F4085" s="99" t="s">
        <v>2012</v>
      </c>
      <c r="G4085" s="99" t="s">
        <v>1073</v>
      </c>
      <c r="H4085" s="105">
        <v>1</v>
      </c>
      <c r="I4085" s="5" t="str">
        <f>VLOOKUP(F4085,'Set up'!$A$2:$C$70,3,FALSE)</f>
        <v>Cash</v>
      </c>
      <c r="J4085" s="5">
        <f>VLOOKUP(F4085,'Set up'!$A$2:$D$70,4,FALSE)</f>
        <v>0</v>
      </c>
      <c r="K4085" s="4">
        <f t="shared" si="1040"/>
        <v>45824</v>
      </c>
      <c r="L4085" s="5">
        <f t="shared" si="1037"/>
        <v>6</v>
      </c>
      <c r="M4085" s="5">
        <f t="shared" si="1038"/>
        <v>2025</v>
      </c>
      <c r="N4085" s="135">
        <v>1000</v>
      </c>
      <c r="P4085" s="12">
        <f t="shared" si="1039"/>
        <v>1000</v>
      </c>
      <c r="Q4085" s="7">
        <f t="shared" si="1036"/>
        <v>6767544.7500000028</v>
      </c>
      <c r="R4085" s="44" t="str">
        <f>VLOOKUP(F4085,'Set up'!$A$2:$E$70,5,FALSE)</f>
        <v>Trsf</v>
      </c>
    </row>
    <row r="4086" spans="1:19" ht="16.25" customHeight="1" x14ac:dyDescent="0.35">
      <c r="A4086" s="105" t="s">
        <v>3865</v>
      </c>
      <c r="B4086" s="5">
        <f t="shared" si="1034"/>
        <v>6</v>
      </c>
      <c r="C4086" s="5">
        <f t="shared" si="1035"/>
        <v>2025</v>
      </c>
      <c r="D4086" s="105" t="s">
        <v>3872</v>
      </c>
      <c r="E4086" s="5" t="str">
        <f>VLOOKUP(F4086,'Set up'!$A$2:$C$70,2,FALSE)</f>
        <v>C00000042</v>
      </c>
      <c r="F4086" s="99" t="s">
        <v>2012</v>
      </c>
      <c r="G4086" s="99" t="s">
        <v>1061</v>
      </c>
      <c r="H4086" s="105">
        <v>4</v>
      </c>
      <c r="I4086" s="5" t="str">
        <f>VLOOKUP(F4086,'Set up'!$A$2:$C$70,3,FALSE)</f>
        <v>Cash</v>
      </c>
      <c r="J4086" s="5">
        <f>VLOOKUP(F4086,'Set up'!$A$2:$D$70,4,FALSE)</f>
        <v>0</v>
      </c>
      <c r="K4086" s="4">
        <f t="shared" si="1040"/>
        <v>45824</v>
      </c>
      <c r="L4086" s="5">
        <f t="shared" si="1037"/>
        <v>6</v>
      </c>
      <c r="M4086" s="5">
        <f t="shared" si="1038"/>
        <v>2025</v>
      </c>
      <c r="N4086" s="135">
        <v>380</v>
      </c>
      <c r="P4086" s="12">
        <f t="shared" si="1039"/>
        <v>380</v>
      </c>
      <c r="Q4086" s="7">
        <f t="shared" si="1036"/>
        <v>6767924.7500000028</v>
      </c>
      <c r="R4086" s="44" t="str">
        <f>VLOOKUP(F4086,'Set up'!$A$2:$E$70,5,FALSE)</f>
        <v>Trsf</v>
      </c>
    </row>
    <row r="4087" spans="1:19" ht="16.25" customHeight="1" x14ac:dyDescent="0.35">
      <c r="A4087" s="105" t="s">
        <v>3873</v>
      </c>
      <c r="B4087" s="5">
        <f t="shared" si="1034"/>
        <v>6</v>
      </c>
      <c r="C4087" s="5">
        <f t="shared" si="1035"/>
        <v>2025</v>
      </c>
      <c r="D4087" s="105" t="s">
        <v>3874</v>
      </c>
      <c r="E4087" s="5" t="str">
        <f>VLOOKUP(F4087,'Set up'!$A$2:$C$70,2,FALSE)</f>
        <v>C00000003</v>
      </c>
      <c r="F4087" s="99" t="s">
        <v>20</v>
      </c>
      <c r="G4087" s="99" t="s">
        <v>3217</v>
      </c>
      <c r="H4087" s="105">
        <v>1</v>
      </c>
      <c r="I4087" s="5">
        <f>VLOOKUP(F4087,'Set up'!$A$2:$C$70,3,FALSE)</f>
        <v>45</v>
      </c>
      <c r="J4087" s="5">
        <f>VLOOKUP(F4087,'Set up'!$A$2:$D$70,4,FALSE)</f>
        <v>45</v>
      </c>
      <c r="K4087" s="4">
        <f t="shared" si="1040"/>
        <v>45870</v>
      </c>
      <c r="L4087" s="5">
        <f t="shared" si="1037"/>
        <v>8</v>
      </c>
      <c r="M4087" s="5">
        <f t="shared" si="1038"/>
        <v>2025</v>
      </c>
      <c r="N4087" s="135">
        <v>1687.5</v>
      </c>
      <c r="O4087" s="6">
        <f>-1300</f>
        <v>-1300</v>
      </c>
      <c r="P4087" s="12">
        <f t="shared" si="1039"/>
        <v>387.5</v>
      </c>
      <c r="Q4087" s="7">
        <f t="shared" si="1036"/>
        <v>6769612.2500000028</v>
      </c>
      <c r="R4087" s="44" t="str">
        <f>VLOOKUP(F4087,'Set up'!$A$2:$E$70,5,FALSE)</f>
        <v>PD Chq</v>
      </c>
      <c r="S4087" s="1" t="s">
        <v>4074</v>
      </c>
    </row>
    <row r="4088" spans="1:19" ht="16.25" customHeight="1" x14ac:dyDescent="0.35">
      <c r="A4088" s="105" t="s">
        <v>3873</v>
      </c>
      <c r="B4088" s="5">
        <f t="shared" si="1034"/>
        <v>6</v>
      </c>
      <c r="C4088" s="5">
        <f t="shared" si="1035"/>
        <v>2025</v>
      </c>
      <c r="D4088" s="105" t="s">
        <v>3874</v>
      </c>
      <c r="E4088" s="5" t="str">
        <f>VLOOKUP(F4088,'Set up'!$A$2:$C$70,2,FALSE)</f>
        <v>C00000003</v>
      </c>
      <c r="F4088" s="99" t="s">
        <v>20</v>
      </c>
      <c r="G4088" s="99" t="s">
        <v>17</v>
      </c>
      <c r="H4088" s="105">
        <v>2</v>
      </c>
      <c r="I4088" s="5">
        <f>VLOOKUP(F4088,'Set up'!$A$2:$C$70,3,FALSE)</f>
        <v>45</v>
      </c>
      <c r="J4088" s="5">
        <f>VLOOKUP(F4088,'Set up'!$A$2:$D$70,4,FALSE)</f>
        <v>45</v>
      </c>
      <c r="K4088" s="4">
        <f t="shared" si="1040"/>
        <v>45870</v>
      </c>
      <c r="L4088" s="5">
        <f t="shared" si="1037"/>
        <v>8</v>
      </c>
      <c r="M4088" s="5">
        <f t="shared" si="1038"/>
        <v>2025</v>
      </c>
      <c r="N4088" s="135">
        <v>220</v>
      </c>
      <c r="P4088" s="12">
        <f t="shared" si="1039"/>
        <v>220</v>
      </c>
      <c r="Q4088" s="7">
        <f t="shared" si="1036"/>
        <v>6769832.2500000028</v>
      </c>
      <c r="R4088" s="44" t="str">
        <f>VLOOKUP(F4088,'Set up'!$A$2:$E$70,5,FALSE)</f>
        <v>PD Chq</v>
      </c>
    </row>
    <row r="4089" spans="1:19" ht="16.25" customHeight="1" x14ac:dyDescent="0.35">
      <c r="A4089" s="105" t="s">
        <v>3873</v>
      </c>
      <c r="B4089" s="5">
        <f t="shared" si="1034"/>
        <v>6</v>
      </c>
      <c r="C4089" s="5">
        <f t="shared" si="1035"/>
        <v>2025</v>
      </c>
      <c r="D4089" s="105" t="s">
        <v>3874</v>
      </c>
      <c r="E4089" s="5" t="str">
        <f>VLOOKUP(F4089,'Set up'!$A$2:$C$70,2,FALSE)</f>
        <v>C00000003</v>
      </c>
      <c r="F4089" s="99" t="s">
        <v>20</v>
      </c>
      <c r="G4089" s="99" t="s">
        <v>2635</v>
      </c>
      <c r="H4089" s="105">
        <v>2</v>
      </c>
      <c r="I4089" s="5">
        <f>VLOOKUP(F4089,'Set up'!$A$2:$C$70,3,FALSE)</f>
        <v>45</v>
      </c>
      <c r="J4089" s="5">
        <f>VLOOKUP(F4089,'Set up'!$A$2:$D$70,4,FALSE)</f>
        <v>45</v>
      </c>
      <c r="K4089" s="4">
        <f t="shared" si="1040"/>
        <v>45870</v>
      </c>
      <c r="L4089" s="5">
        <f t="shared" si="1037"/>
        <v>8</v>
      </c>
      <c r="M4089" s="5">
        <f t="shared" si="1038"/>
        <v>2025</v>
      </c>
      <c r="N4089" s="135">
        <v>130</v>
      </c>
      <c r="P4089" s="12">
        <f t="shared" si="1039"/>
        <v>130</v>
      </c>
      <c r="Q4089" s="7">
        <f t="shared" si="1036"/>
        <v>6769962.2500000028</v>
      </c>
      <c r="R4089" s="44" t="str">
        <f>VLOOKUP(F4089,'Set up'!$A$2:$E$70,5,FALSE)</f>
        <v>PD Chq</v>
      </c>
    </row>
    <row r="4090" spans="1:19" ht="16.25" customHeight="1" x14ac:dyDescent="0.35">
      <c r="A4090" s="105" t="s">
        <v>3873</v>
      </c>
      <c r="B4090" s="5">
        <f t="shared" si="1034"/>
        <v>6</v>
      </c>
      <c r="C4090" s="5">
        <f t="shared" si="1035"/>
        <v>2025</v>
      </c>
      <c r="D4090" s="105" t="s">
        <v>3874</v>
      </c>
      <c r="E4090" s="5" t="str">
        <f>VLOOKUP(F4090,'Set up'!$A$2:$C$70,2,FALSE)</f>
        <v>C00000003</v>
      </c>
      <c r="F4090" s="99" t="s">
        <v>20</v>
      </c>
      <c r="G4090" s="99" t="s">
        <v>949</v>
      </c>
      <c r="H4090" s="105">
        <v>3</v>
      </c>
      <c r="I4090" s="5">
        <f>VLOOKUP(F4090,'Set up'!$A$2:$C$70,3,FALSE)</f>
        <v>45</v>
      </c>
      <c r="J4090" s="5">
        <f>VLOOKUP(F4090,'Set up'!$A$2:$D$70,4,FALSE)</f>
        <v>45</v>
      </c>
      <c r="K4090" s="4">
        <f t="shared" si="1040"/>
        <v>45870</v>
      </c>
      <c r="L4090" s="5">
        <f t="shared" si="1037"/>
        <v>8</v>
      </c>
      <c r="M4090" s="5">
        <f t="shared" si="1038"/>
        <v>2025</v>
      </c>
      <c r="N4090" s="135">
        <v>540</v>
      </c>
      <c r="P4090" s="12">
        <f t="shared" si="1039"/>
        <v>540</v>
      </c>
      <c r="Q4090" s="7">
        <f t="shared" si="1036"/>
        <v>6770502.2500000028</v>
      </c>
      <c r="R4090" s="44" t="str">
        <f>VLOOKUP(F4090,'Set up'!$A$2:$E$70,5,FALSE)</f>
        <v>PD Chq</v>
      </c>
    </row>
    <row r="4091" spans="1:19" ht="16.25" customHeight="1" x14ac:dyDescent="0.35">
      <c r="A4091" s="105" t="s">
        <v>3875</v>
      </c>
      <c r="B4091" s="5">
        <f t="shared" si="1034"/>
        <v>6</v>
      </c>
      <c r="C4091" s="5">
        <f t="shared" si="1035"/>
        <v>2025</v>
      </c>
      <c r="D4091" s="105" t="s">
        <v>3876</v>
      </c>
      <c r="E4091" s="5" t="str">
        <f>VLOOKUP(F4091,'Set up'!$A$2:$C$70,2,FALSE)</f>
        <v>C00000019</v>
      </c>
      <c r="F4091" s="99" t="s">
        <v>400</v>
      </c>
      <c r="G4091" s="99" t="s">
        <v>3122</v>
      </c>
      <c r="H4091" s="105">
        <v>1</v>
      </c>
      <c r="I4091" s="5" t="str">
        <f>VLOOKUP(F4091,'Set up'!$A$2:$C$70,3,FALSE)</f>
        <v>Cash</v>
      </c>
      <c r="J4091" s="5">
        <f>VLOOKUP(F4091,'Set up'!$A$2:$D$70,4,FALSE)</f>
        <v>0</v>
      </c>
      <c r="K4091" s="4">
        <f t="shared" si="1040"/>
        <v>45827</v>
      </c>
      <c r="L4091" s="5">
        <f t="shared" si="1037"/>
        <v>6</v>
      </c>
      <c r="M4091" s="5">
        <f t="shared" si="1038"/>
        <v>2025</v>
      </c>
      <c r="N4091" s="135">
        <v>1710</v>
      </c>
      <c r="P4091" s="12">
        <f t="shared" si="1039"/>
        <v>1710</v>
      </c>
      <c r="Q4091" s="7">
        <f t="shared" si="1036"/>
        <v>6772212.2500000028</v>
      </c>
      <c r="R4091" s="44" t="str">
        <f>VLOOKUP(F4091,'Set up'!$A$2:$E$70,5,FALSE)</f>
        <v>Trsf</v>
      </c>
    </row>
    <row r="4092" spans="1:19" ht="16.25" customHeight="1" x14ac:dyDescent="0.35">
      <c r="A4092" s="105" t="s">
        <v>3875</v>
      </c>
      <c r="B4092" s="5">
        <f t="shared" si="1034"/>
        <v>6</v>
      </c>
      <c r="C4092" s="5">
        <f t="shared" si="1035"/>
        <v>2025</v>
      </c>
      <c r="D4092" s="105" t="s">
        <v>3876</v>
      </c>
      <c r="E4092" s="5" t="str">
        <f>VLOOKUP(F4092,'Set up'!$A$2:$C$70,2,FALSE)</f>
        <v>C00000019</v>
      </c>
      <c r="F4092" s="99" t="s">
        <v>400</v>
      </c>
      <c r="G4092" s="99" t="s">
        <v>1411</v>
      </c>
      <c r="H4092" s="105">
        <v>1</v>
      </c>
      <c r="I4092" s="5" t="str">
        <f>VLOOKUP(F4092,'Set up'!$A$2:$C$70,3,FALSE)</f>
        <v>Cash</v>
      </c>
      <c r="J4092" s="5">
        <f>VLOOKUP(F4092,'Set up'!$A$2:$D$70,4,FALSE)</f>
        <v>0</v>
      </c>
      <c r="K4092" s="4">
        <f t="shared" si="1040"/>
        <v>45827</v>
      </c>
      <c r="L4092" s="5">
        <f t="shared" si="1037"/>
        <v>6</v>
      </c>
      <c r="M4092" s="5">
        <f t="shared" si="1038"/>
        <v>2025</v>
      </c>
      <c r="N4092" s="135">
        <v>405</v>
      </c>
      <c r="P4092" s="12">
        <f t="shared" si="1039"/>
        <v>405</v>
      </c>
      <c r="Q4092" s="7">
        <f t="shared" si="1036"/>
        <v>6772617.2500000028</v>
      </c>
      <c r="R4092" s="44" t="str">
        <f>VLOOKUP(F4092,'Set up'!$A$2:$E$70,5,FALSE)</f>
        <v>Trsf</v>
      </c>
    </row>
    <row r="4093" spans="1:19" ht="16.25" customHeight="1" x14ac:dyDescent="0.35">
      <c r="A4093" s="105" t="s">
        <v>3875</v>
      </c>
      <c r="B4093" s="5">
        <f t="shared" si="1034"/>
        <v>6</v>
      </c>
      <c r="C4093" s="5">
        <f t="shared" si="1035"/>
        <v>2025</v>
      </c>
      <c r="D4093" s="105" t="s">
        <v>3876</v>
      </c>
      <c r="E4093" s="5" t="str">
        <f>VLOOKUP(F4093,'Set up'!$A$2:$C$70,2,FALSE)</f>
        <v>C00000019</v>
      </c>
      <c r="F4093" s="99" t="s">
        <v>400</v>
      </c>
      <c r="G4093" s="99" t="s">
        <v>46</v>
      </c>
      <c r="H4093" s="105">
        <v>1</v>
      </c>
      <c r="I4093" s="5" t="str">
        <f>VLOOKUP(F4093,'Set up'!$A$2:$C$70,3,FALSE)</f>
        <v>Cash</v>
      </c>
      <c r="J4093" s="5">
        <f>VLOOKUP(F4093,'Set up'!$A$2:$D$70,4,FALSE)</f>
        <v>0</v>
      </c>
      <c r="K4093" s="4">
        <f t="shared" si="1040"/>
        <v>45827</v>
      </c>
      <c r="L4093" s="5">
        <f t="shared" si="1037"/>
        <v>6</v>
      </c>
      <c r="M4093" s="5">
        <f t="shared" si="1038"/>
        <v>2025</v>
      </c>
      <c r="N4093" s="135">
        <v>110</v>
      </c>
      <c r="P4093" s="12">
        <f t="shared" si="1039"/>
        <v>110</v>
      </c>
      <c r="Q4093" s="7">
        <f t="shared" si="1036"/>
        <v>6772727.2500000028</v>
      </c>
      <c r="R4093" s="44" t="str">
        <f>VLOOKUP(F4093,'Set up'!$A$2:$E$70,5,FALSE)</f>
        <v>Trsf</v>
      </c>
    </row>
    <row r="4094" spans="1:19" ht="16.25" customHeight="1" x14ac:dyDescent="0.35">
      <c r="A4094" s="105" t="s">
        <v>3875</v>
      </c>
      <c r="B4094" s="5">
        <f t="shared" si="1034"/>
        <v>6</v>
      </c>
      <c r="C4094" s="5">
        <f t="shared" si="1035"/>
        <v>2025</v>
      </c>
      <c r="D4094" s="105" t="s">
        <v>3876</v>
      </c>
      <c r="E4094" s="5" t="str">
        <f>VLOOKUP(F4094,'Set up'!$A$2:$C$70,2,FALSE)</f>
        <v>C00000019</v>
      </c>
      <c r="F4094" s="99" t="s">
        <v>400</v>
      </c>
      <c r="G4094" s="99" t="s">
        <v>2635</v>
      </c>
      <c r="H4094" s="105">
        <v>3</v>
      </c>
      <c r="I4094" s="5" t="str">
        <f>VLOOKUP(F4094,'Set up'!$A$2:$C$70,3,FALSE)</f>
        <v>Cash</v>
      </c>
      <c r="J4094" s="5">
        <f>VLOOKUP(F4094,'Set up'!$A$2:$D$70,4,FALSE)</f>
        <v>0</v>
      </c>
      <c r="K4094" s="4">
        <f t="shared" si="1040"/>
        <v>45827</v>
      </c>
      <c r="L4094" s="5">
        <f t="shared" si="1037"/>
        <v>6</v>
      </c>
      <c r="M4094" s="5">
        <f t="shared" si="1038"/>
        <v>2025</v>
      </c>
      <c r="N4094" s="135">
        <v>187.5</v>
      </c>
      <c r="P4094" s="12">
        <f t="shared" si="1039"/>
        <v>187.5</v>
      </c>
      <c r="Q4094" s="7">
        <f t="shared" si="1036"/>
        <v>6772914.7500000028</v>
      </c>
      <c r="R4094" s="44" t="str">
        <f>VLOOKUP(F4094,'Set up'!$A$2:$E$70,5,FALSE)</f>
        <v>Trsf</v>
      </c>
    </row>
    <row r="4095" spans="1:19" ht="16.25" customHeight="1" x14ac:dyDescent="0.35">
      <c r="A4095" s="105" t="s">
        <v>3875</v>
      </c>
      <c r="B4095" s="5">
        <f t="shared" si="1034"/>
        <v>6</v>
      </c>
      <c r="C4095" s="5">
        <f t="shared" si="1035"/>
        <v>2025</v>
      </c>
      <c r="D4095" s="105" t="s">
        <v>3876</v>
      </c>
      <c r="E4095" s="5" t="str">
        <f>VLOOKUP(F4095,'Set up'!$A$2:$C$70,2,FALSE)</f>
        <v>C00000019</v>
      </c>
      <c r="F4095" s="99" t="s">
        <v>400</v>
      </c>
      <c r="G4095" s="99" t="s">
        <v>2144</v>
      </c>
      <c r="H4095" s="105">
        <v>1</v>
      </c>
      <c r="I4095" s="5" t="str">
        <f>VLOOKUP(F4095,'Set up'!$A$2:$C$70,3,FALSE)</f>
        <v>Cash</v>
      </c>
      <c r="J4095" s="5">
        <f>VLOOKUP(F4095,'Set up'!$A$2:$D$70,4,FALSE)</f>
        <v>0</v>
      </c>
      <c r="K4095" s="4">
        <f t="shared" si="1040"/>
        <v>45827</v>
      </c>
      <c r="L4095" s="5">
        <f t="shared" si="1037"/>
        <v>6</v>
      </c>
      <c r="M4095" s="5">
        <f t="shared" si="1038"/>
        <v>2025</v>
      </c>
      <c r="N4095" s="135">
        <v>283.8</v>
      </c>
      <c r="P4095" s="12">
        <f t="shared" si="1039"/>
        <v>283.8</v>
      </c>
      <c r="Q4095" s="7">
        <f t="shared" si="1036"/>
        <v>6773198.5500000026</v>
      </c>
      <c r="R4095" s="44" t="str">
        <f>VLOOKUP(F4095,'Set up'!$A$2:$E$70,5,FALSE)</f>
        <v>Trsf</v>
      </c>
    </row>
    <row r="4096" spans="1:19" ht="16.25" customHeight="1" x14ac:dyDescent="0.35">
      <c r="A4096" s="105" t="s">
        <v>3875</v>
      </c>
      <c r="B4096" s="5">
        <f t="shared" si="1034"/>
        <v>6</v>
      </c>
      <c r="C4096" s="5">
        <f t="shared" si="1035"/>
        <v>2025</v>
      </c>
      <c r="D4096" s="105" t="s">
        <v>3877</v>
      </c>
      <c r="E4096" s="5" t="str">
        <f>VLOOKUP(F4096,'Set up'!$A$2:$C$70,2,FALSE)</f>
        <v>C00000042</v>
      </c>
      <c r="F4096" s="99" t="s">
        <v>2012</v>
      </c>
      <c r="G4096" s="99" t="s">
        <v>2646</v>
      </c>
      <c r="H4096" s="105">
        <v>1</v>
      </c>
      <c r="I4096" s="5" t="str">
        <f>VLOOKUP(F4096,'Set up'!$A$2:$C$70,3,FALSE)</f>
        <v>Cash</v>
      </c>
      <c r="J4096" s="5">
        <f>VLOOKUP(F4096,'Set up'!$A$2:$D$70,4,FALSE)</f>
        <v>0</v>
      </c>
      <c r="K4096" s="4">
        <f t="shared" si="1040"/>
        <v>45827</v>
      </c>
      <c r="L4096" s="5">
        <f t="shared" si="1037"/>
        <v>6</v>
      </c>
      <c r="M4096" s="5">
        <f t="shared" si="1038"/>
        <v>2025</v>
      </c>
      <c r="N4096" s="135">
        <v>62.5</v>
      </c>
      <c r="P4096" s="12">
        <f t="shared" si="1039"/>
        <v>62.5</v>
      </c>
      <c r="Q4096" s="7">
        <f t="shared" si="1036"/>
        <v>6773261.0500000026</v>
      </c>
      <c r="R4096" s="44" t="str">
        <f>VLOOKUP(F4096,'Set up'!$A$2:$E$70,5,FALSE)</f>
        <v>Trsf</v>
      </c>
    </row>
    <row r="4097" spans="1:18" ht="16.25" customHeight="1" x14ac:dyDescent="0.35">
      <c r="A4097" s="105" t="s">
        <v>3875</v>
      </c>
      <c r="B4097" s="5">
        <f t="shared" si="1034"/>
        <v>6</v>
      </c>
      <c r="C4097" s="5">
        <f t="shared" si="1035"/>
        <v>2025</v>
      </c>
      <c r="D4097" s="105" t="s">
        <v>3878</v>
      </c>
      <c r="E4097" s="5" t="str">
        <f>VLOOKUP(F4097,'Set up'!$A$2:$C$70,2,FALSE)</f>
        <v>C00000042</v>
      </c>
      <c r="F4097" s="99" t="s">
        <v>2012</v>
      </c>
      <c r="G4097" s="99" t="s">
        <v>3217</v>
      </c>
      <c r="H4097" s="105">
        <v>2</v>
      </c>
      <c r="I4097" s="5" t="str">
        <f>VLOOKUP(F4097,'Set up'!$A$2:$C$70,3,FALSE)</f>
        <v>Cash</v>
      </c>
      <c r="J4097" s="5">
        <f>VLOOKUP(F4097,'Set up'!$A$2:$D$70,4,FALSE)</f>
        <v>0</v>
      </c>
      <c r="K4097" s="4">
        <f t="shared" si="1040"/>
        <v>45827</v>
      </c>
      <c r="L4097" s="5">
        <f t="shared" si="1037"/>
        <v>6</v>
      </c>
      <c r="M4097" s="5">
        <f t="shared" si="1038"/>
        <v>2025</v>
      </c>
      <c r="N4097" s="135">
        <v>3240</v>
      </c>
      <c r="P4097" s="12">
        <f t="shared" si="1039"/>
        <v>3240</v>
      </c>
      <c r="Q4097" s="7">
        <f t="shared" si="1036"/>
        <v>6776501.0500000026</v>
      </c>
      <c r="R4097" s="44" t="str">
        <f>VLOOKUP(F4097,'Set up'!$A$2:$E$70,5,FALSE)</f>
        <v>Trsf</v>
      </c>
    </row>
    <row r="4098" spans="1:18" ht="16.25" customHeight="1" x14ac:dyDescent="0.35">
      <c r="A4098" s="105" t="s">
        <v>3875</v>
      </c>
      <c r="B4098" s="5">
        <f t="shared" si="1034"/>
        <v>6</v>
      </c>
      <c r="C4098" s="5">
        <f t="shared" si="1035"/>
        <v>2025</v>
      </c>
      <c r="D4098" s="105" t="s">
        <v>3878</v>
      </c>
      <c r="E4098" s="5" t="str">
        <f>VLOOKUP(F4098,'Set up'!$A$2:$C$70,2,FALSE)</f>
        <v>C00000042</v>
      </c>
      <c r="F4098" s="99" t="s">
        <v>2012</v>
      </c>
      <c r="G4098" s="99" t="s">
        <v>1392</v>
      </c>
      <c r="H4098" s="105">
        <v>6</v>
      </c>
      <c r="I4098" s="5" t="str">
        <f>VLOOKUP(F4098,'Set up'!$A$2:$C$70,3,FALSE)</f>
        <v>Cash</v>
      </c>
      <c r="J4098" s="5">
        <f>VLOOKUP(F4098,'Set up'!$A$2:$D$70,4,FALSE)</f>
        <v>0</v>
      </c>
      <c r="K4098" s="4">
        <f t="shared" si="1040"/>
        <v>45827</v>
      </c>
      <c r="L4098" s="5">
        <f t="shared" si="1037"/>
        <v>6</v>
      </c>
      <c r="M4098" s="5">
        <f t="shared" si="1038"/>
        <v>2025</v>
      </c>
      <c r="N4098" s="135">
        <v>1062</v>
      </c>
      <c r="P4098" s="12">
        <f t="shared" si="1039"/>
        <v>1062</v>
      </c>
      <c r="Q4098" s="7">
        <f t="shared" si="1036"/>
        <v>6777563.0500000026</v>
      </c>
      <c r="R4098" s="44" t="str">
        <f>VLOOKUP(F4098,'Set up'!$A$2:$E$70,5,FALSE)</f>
        <v>Trsf</v>
      </c>
    </row>
    <row r="4099" spans="1:18" ht="16.25" customHeight="1" x14ac:dyDescent="0.35">
      <c r="A4099" s="105" t="s">
        <v>3875</v>
      </c>
      <c r="B4099" s="5">
        <f t="shared" ref="B4099:B4162" si="1042">MONTH(A4099)</f>
        <v>6</v>
      </c>
      <c r="C4099" s="5">
        <f t="shared" ref="C4099:C4162" si="1043">YEAR(A4099)</f>
        <v>2025</v>
      </c>
      <c r="D4099" s="105" t="s">
        <v>3878</v>
      </c>
      <c r="E4099" s="5" t="str">
        <f>VLOOKUP(F4099,'Set up'!$A$2:$C$70,2,FALSE)</f>
        <v>C00000042</v>
      </c>
      <c r="F4099" s="99" t="s">
        <v>2012</v>
      </c>
      <c r="G4099" s="99" t="s">
        <v>1922</v>
      </c>
      <c r="H4099" s="105">
        <v>2</v>
      </c>
      <c r="I4099" s="5" t="str">
        <f>VLOOKUP(F4099,'Set up'!$A$2:$C$70,3,FALSE)</f>
        <v>Cash</v>
      </c>
      <c r="J4099" s="5">
        <f>VLOOKUP(F4099,'Set up'!$A$2:$D$70,4,FALSE)</f>
        <v>0</v>
      </c>
      <c r="K4099" s="4">
        <f t="shared" si="1040"/>
        <v>45827</v>
      </c>
      <c r="L4099" s="5">
        <f t="shared" si="1037"/>
        <v>6</v>
      </c>
      <c r="M4099" s="5">
        <f t="shared" si="1038"/>
        <v>2025</v>
      </c>
      <c r="N4099" s="135">
        <v>495</v>
      </c>
      <c r="P4099" s="12">
        <f t="shared" si="1039"/>
        <v>495</v>
      </c>
      <c r="Q4099" s="7">
        <f t="shared" si="1036"/>
        <v>6778058.0500000026</v>
      </c>
      <c r="R4099" s="44" t="str">
        <f>VLOOKUP(F4099,'Set up'!$A$2:$E$70,5,FALSE)</f>
        <v>Trsf</v>
      </c>
    </row>
    <row r="4100" spans="1:18" ht="16.25" customHeight="1" x14ac:dyDescent="0.35">
      <c r="A4100" s="105" t="s">
        <v>3875</v>
      </c>
      <c r="B4100" s="5">
        <f t="shared" si="1042"/>
        <v>6</v>
      </c>
      <c r="C4100" s="5">
        <f t="shared" si="1043"/>
        <v>2025</v>
      </c>
      <c r="D4100" s="105" t="s">
        <v>3878</v>
      </c>
      <c r="E4100" s="5" t="str">
        <f>VLOOKUP(F4100,'Set up'!$A$2:$C$70,2,FALSE)</f>
        <v>C00000042</v>
      </c>
      <c r="F4100" s="99" t="s">
        <v>2012</v>
      </c>
      <c r="G4100" s="99" t="s">
        <v>1061</v>
      </c>
      <c r="H4100" s="105">
        <v>4</v>
      </c>
      <c r="I4100" s="5" t="str">
        <f>VLOOKUP(F4100,'Set up'!$A$2:$C$70,3,FALSE)</f>
        <v>Cash</v>
      </c>
      <c r="J4100" s="5">
        <f>VLOOKUP(F4100,'Set up'!$A$2:$D$70,4,FALSE)</f>
        <v>0</v>
      </c>
      <c r="K4100" s="4">
        <f t="shared" si="1040"/>
        <v>45827</v>
      </c>
      <c r="L4100" s="5">
        <f t="shared" si="1037"/>
        <v>6</v>
      </c>
      <c r="M4100" s="5">
        <f t="shared" si="1038"/>
        <v>2025</v>
      </c>
      <c r="N4100" s="135">
        <v>380</v>
      </c>
      <c r="P4100" s="12">
        <f t="shared" si="1039"/>
        <v>380</v>
      </c>
      <c r="Q4100" s="7">
        <f t="shared" si="1036"/>
        <v>6778438.0500000026</v>
      </c>
      <c r="R4100" s="44" t="str">
        <f>VLOOKUP(F4100,'Set up'!$A$2:$E$70,5,FALSE)</f>
        <v>Trsf</v>
      </c>
    </row>
    <row r="4101" spans="1:18" ht="16.25" customHeight="1" x14ac:dyDescent="0.35">
      <c r="A4101" s="105" t="s">
        <v>3875</v>
      </c>
      <c r="B4101" s="5">
        <f t="shared" si="1042"/>
        <v>6</v>
      </c>
      <c r="C4101" s="5">
        <f t="shared" si="1043"/>
        <v>2025</v>
      </c>
      <c r="D4101" s="105" t="s">
        <v>3878</v>
      </c>
      <c r="E4101" s="5" t="str">
        <f>VLOOKUP(F4101,'Set up'!$A$2:$C$70,2,FALSE)</f>
        <v>C00000042</v>
      </c>
      <c r="F4101" s="99" t="s">
        <v>2012</v>
      </c>
      <c r="G4101" s="99" t="s">
        <v>1073</v>
      </c>
      <c r="H4101" s="105">
        <v>1</v>
      </c>
      <c r="I4101" s="5" t="str">
        <f>VLOOKUP(F4101,'Set up'!$A$2:$C$70,3,FALSE)</f>
        <v>Cash</v>
      </c>
      <c r="J4101" s="5">
        <f>VLOOKUP(F4101,'Set up'!$A$2:$D$70,4,FALSE)</f>
        <v>0</v>
      </c>
      <c r="K4101" s="4">
        <f t="shared" si="1040"/>
        <v>45827</v>
      </c>
      <c r="L4101" s="5">
        <f t="shared" si="1037"/>
        <v>6</v>
      </c>
      <c r="M4101" s="5">
        <f t="shared" si="1038"/>
        <v>2025</v>
      </c>
      <c r="N4101" s="135">
        <v>1000</v>
      </c>
      <c r="P4101" s="12">
        <f t="shared" si="1039"/>
        <v>1000</v>
      </c>
      <c r="Q4101" s="7">
        <f t="shared" si="1036"/>
        <v>6779438.0500000026</v>
      </c>
      <c r="R4101" s="44" t="str">
        <f>VLOOKUP(F4101,'Set up'!$A$2:$E$70,5,FALSE)</f>
        <v>Trsf</v>
      </c>
    </row>
    <row r="4102" spans="1:18" ht="16.25" customHeight="1" x14ac:dyDescent="0.35">
      <c r="A4102" s="105" t="s">
        <v>3879</v>
      </c>
      <c r="B4102" s="5">
        <f t="shared" si="1042"/>
        <v>6</v>
      </c>
      <c r="C4102" s="5">
        <f t="shared" si="1043"/>
        <v>2025</v>
      </c>
      <c r="D4102" s="105" t="s">
        <v>3880</v>
      </c>
      <c r="E4102" s="5" t="str">
        <f>VLOOKUP(F4102,'Set up'!$A$2:$C$70,2,FALSE)</f>
        <v>C00000042</v>
      </c>
      <c r="F4102" s="99" t="s">
        <v>2012</v>
      </c>
      <c r="G4102" s="99" t="s">
        <v>2646</v>
      </c>
      <c r="H4102" s="105">
        <v>3</v>
      </c>
      <c r="I4102" s="5" t="str">
        <f>VLOOKUP(F4102,'Set up'!$A$2:$C$70,3,FALSE)</f>
        <v>Cash</v>
      </c>
      <c r="J4102" s="5">
        <f>VLOOKUP(F4102,'Set up'!$A$2:$D$70,4,FALSE)</f>
        <v>0</v>
      </c>
      <c r="K4102" s="4">
        <f t="shared" si="1040"/>
        <v>45829</v>
      </c>
      <c r="L4102" s="5">
        <f t="shared" si="1037"/>
        <v>6</v>
      </c>
      <c r="M4102" s="5">
        <f t="shared" si="1038"/>
        <v>2025</v>
      </c>
      <c r="N4102" s="135">
        <v>187.5</v>
      </c>
      <c r="P4102" s="12">
        <f t="shared" si="1039"/>
        <v>187.5</v>
      </c>
      <c r="Q4102" s="7">
        <f t="shared" ref="Q4102:Q4125" si="1044">SUM(Q4101+N4102)</f>
        <v>6779625.5500000026</v>
      </c>
      <c r="R4102" s="44" t="str">
        <f>VLOOKUP(F4102,'Set up'!$A$2:$E$70,5,FALSE)</f>
        <v>Trsf</v>
      </c>
    </row>
    <row r="4103" spans="1:18" ht="16.25" customHeight="1" x14ac:dyDescent="0.35">
      <c r="A4103" s="105" t="s">
        <v>3879</v>
      </c>
      <c r="B4103" s="5">
        <f t="shared" si="1042"/>
        <v>6</v>
      </c>
      <c r="C4103" s="5">
        <f t="shared" si="1043"/>
        <v>2025</v>
      </c>
      <c r="D4103" s="105" t="s">
        <v>3881</v>
      </c>
      <c r="E4103" s="5" t="str">
        <f>VLOOKUP(F4103,'Set up'!$A$2:$C$70,2,FALSE)</f>
        <v>C00000042</v>
      </c>
      <c r="F4103" s="99" t="s">
        <v>2012</v>
      </c>
      <c r="G4103" s="99" t="s">
        <v>3217</v>
      </c>
      <c r="H4103" s="105">
        <v>5</v>
      </c>
      <c r="I4103" s="5" t="str">
        <f>VLOOKUP(F4103,'Set up'!$A$2:$C$70,3,FALSE)</f>
        <v>Cash</v>
      </c>
      <c r="J4103" s="5">
        <f>VLOOKUP(F4103,'Set up'!$A$2:$D$70,4,FALSE)</f>
        <v>0</v>
      </c>
      <c r="K4103" s="4">
        <f t="shared" si="1040"/>
        <v>45829</v>
      </c>
      <c r="L4103" s="5">
        <f t="shared" ref="L4103:L4125" si="1045">MONTH(K4103)</f>
        <v>6</v>
      </c>
      <c r="M4103" s="5">
        <f t="shared" ref="M4103:M4125" si="1046">YEAR(K4103)</f>
        <v>2025</v>
      </c>
      <c r="N4103" s="135">
        <v>8100</v>
      </c>
      <c r="P4103" s="12">
        <f t="shared" si="1039"/>
        <v>8100</v>
      </c>
      <c r="Q4103" s="7">
        <f t="shared" si="1044"/>
        <v>6787725.5500000026</v>
      </c>
      <c r="R4103" s="44" t="str">
        <f>VLOOKUP(F4103,'Set up'!$A$2:$E$70,5,FALSE)</f>
        <v>Trsf</v>
      </c>
    </row>
    <row r="4104" spans="1:18" ht="16.25" customHeight="1" x14ac:dyDescent="0.35">
      <c r="A4104" s="105" t="s">
        <v>3879</v>
      </c>
      <c r="B4104" s="5">
        <f t="shared" si="1042"/>
        <v>6</v>
      </c>
      <c r="C4104" s="5">
        <f t="shared" si="1043"/>
        <v>2025</v>
      </c>
      <c r="D4104" s="105" t="s">
        <v>3881</v>
      </c>
      <c r="E4104" s="5" t="str">
        <f>VLOOKUP(F4104,'Set up'!$A$2:$C$70,2,FALSE)</f>
        <v>C00000042</v>
      </c>
      <c r="F4104" s="99" t="s">
        <v>2012</v>
      </c>
      <c r="G4104" s="99" t="s">
        <v>1392</v>
      </c>
      <c r="H4104" s="105">
        <v>15</v>
      </c>
      <c r="I4104" s="5" t="str">
        <f>VLOOKUP(F4104,'Set up'!$A$2:$C$70,3,FALSE)</f>
        <v>Cash</v>
      </c>
      <c r="J4104" s="5">
        <f>VLOOKUP(F4104,'Set up'!$A$2:$D$70,4,FALSE)</f>
        <v>0</v>
      </c>
      <c r="K4104" s="4">
        <f t="shared" si="1040"/>
        <v>45829</v>
      </c>
      <c r="L4104" s="5">
        <f t="shared" si="1045"/>
        <v>6</v>
      </c>
      <c r="M4104" s="5">
        <f t="shared" si="1046"/>
        <v>2025</v>
      </c>
      <c r="N4104" s="135">
        <v>2655</v>
      </c>
      <c r="P4104" s="12">
        <f t="shared" si="1039"/>
        <v>2655</v>
      </c>
      <c r="Q4104" s="7">
        <f t="shared" si="1044"/>
        <v>6790380.5500000026</v>
      </c>
      <c r="R4104" s="44" t="str">
        <f>VLOOKUP(F4104,'Set up'!$A$2:$E$70,5,FALSE)</f>
        <v>Trsf</v>
      </c>
    </row>
    <row r="4105" spans="1:18" ht="16.25" customHeight="1" x14ac:dyDescent="0.35">
      <c r="A4105" s="105" t="s">
        <v>3879</v>
      </c>
      <c r="B4105" s="5">
        <f t="shared" si="1042"/>
        <v>6</v>
      </c>
      <c r="C4105" s="5">
        <f t="shared" si="1043"/>
        <v>2025</v>
      </c>
      <c r="D4105" s="105" t="s">
        <v>3881</v>
      </c>
      <c r="E4105" s="5" t="str">
        <f>VLOOKUP(F4105,'Set up'!$A$2:$C$70,2,FALSE)</f>
        <v>C00000042</v>
      </c>
      <c r="F4105" s="99" t="s">
        <v>2012</v>
      </c>
      <c r="G4105" s="99" t="s">
        <v>1922</v>
      </c>
      <c r="H4105" s="105">
        <v>8</v>
      </c>
      <c r="I4105" s="5" t="str">
        <f>VLOOKUP(F4105,'Set up'!$A$2:$C$70,3,FALSE)</f>
        <v>Cash</v>
      </c>
      <c r="J4105" s="5">
        <f>VLOOKUP(F4105,'Set up'!$A$2:$D$70,4,FALSE)</f>
        <v>0</v>
      </c>
      <c r="K4105" s="4">
        <f t="shared" si="1040"/>
        <v>45829</v>
      </c>
      <c r="L4105" s="5">
        <f t="shared" si="1045"/>
        <v>6</v>
      </c>
      <c r="M4105" s="5">
        <f t="shared" si="1046"/>
        <v>2025</v>
      </c>
      <c r="N4105" s="135">
        <v>1980</v>
      </c>
      <c r="P4105" s="12">
        <f t="shared" si="1039"/>
        <v>1980</v>
      </c>
      <c r="Q4105" s="7">
        <f t="shared" si="1044"/>
        <v>6792360.5500000026</v>
      </c>
      <c r="R4105" s="44" t="str">
        <f>VLOOKUP(F4105,'Set up'!$A$2:$E$70,5,FALSE)</f>
        <v>Trsf</v>
      </c>
    </row>
    <row r="4106" spans="1:18" ht="16.25" customHeight="1" x14ac:dyDescent="0.35">
      <c r="A4106" s="105" t="s">
        <v>3879</v>
      </c>
      <c r="B4106" s="5">
        <f t="shared" si="1042"/>
        <v>6</v>
      </c>
      <c r="C4106" s="5">
        <f t="shared" si="1043"/>
        <v>2025</v>
      </c>
      <c r="D4106" s="105" t="s">
        <v>3881</v>
      </c>
      <c r="E4106" s="5" t="str">
        <f>VLOOKUP(F4106,'Set up'!$A$2:$C$70,2,FALSE)</f>
        <v>C00000042</v>
      </c>
      <c r="F4106" s="99" t="s">
        <v>2012</v>
      </c>
      <c r="G4106" s="99" t="s">
        <v>1061</v>
      </c>
      <c r="H4106" s="105">
        <v>4</v>
      </c>
      <c r="I4106" s="5" t="str">
        <f>VLOOKUP(F4106,'Set up'!$A$2:$C$70,3,FALSE)</f>
        <v>Cash</v>
      </c>
      <c r="J4106" s="5">
        <f>VLOOKUP(F4106,'Set up'!$A$2:$D$70,4,FALSE)</f>
        <v>0</v>
      </c>
      <c r="K4106" s="4">
        <f t="shared" si="1040"/>
        <v>45829</v>
      </c>
      <c r="L4106" s="5">
        <f t="shared" si="1045"/>
        <v>6</v>
      </c>
      <c r="M4106" s="5">
        <f t="shared" si="1046"/>
        <v>2025</v>
      </c>
      <c r="N4106" s="135">
        <v>380</v>
      </c>
      <c r="P4106" s="12">
        <f t="shared" si="1039"/>
        <v>380</v>
      </c>
      <c r="Q4106" s="7">
        <f t="shared" si="1044"/>
        <v>6792740.5500000026</v>
      </c>
      <c r="R4106" s="44" t="str">
        <f>VLOOKUP(F4106,'Set up'!$A$2:$E$70,5,FALSE)</f>
        <v>Trsf</v>
      </c>
    </row>
    <row r="4107" spans="1:18" ht="16.25" customHeight="1" x14ac:dyDescent="0.35">
      <c r="A4107" s="105" t="s">
        <v>3879</v>
      </c>
      <c r="B4107" s="5">
        <f t="shared" si="1042"/>
        <v>6</v>
      </c>
      <c r="C4107" s="5">
        <f t="shared" si="1043"/>
        <v>2025</v>
      </c>
      <c r="D4107" s="105" t="s">
        <v>3881</v>
      </c>
      <c r="E4107" s="5" t="str">
        <f>VLOOKUP(F4107,'Set up'!$A$2:$C$70,2,FALSE)</f>
        <v>C00000042</v>
      </c>
      <c r="F4107" s="99" t="s">
        <v>2012</v>
      </c>
      <c r="G4107" s="99" t="s">
        <v>1073</v>
      </c>
      <c r="H4107" s="105">
        <v>1</v>
      </c>
      <c r="I4107" s="5" t="str">
        <f>VLOOKUP(F4107,'Set up'!$A$2:$C$70,3,FALSE)</f>
        <v>Cash</v>
      </c>
      <c r="J4107" s="5">
        <f>VLOOKUP(F4107,'Set up'!$A$2:$D$70,4,FALSE)</f>
        <v>0</v>
      </c>
      <c r="K4107" s="4">
        <f t="shared" si="1040"/>
        <v>45829</v>
      </c>
      <c r="L4107" s="5">
        <f t="shared" si="1045"/>
        <v>6</v>
      </c>
      <c r="M4107" s="5">
        <f t="shared" si="1046"/>
        <v>2025</v>
      </c>
      <c r="N4107" s="135">
        <v>1000</v>
      </c>
      <c r="P4107" s="12">
        <f t="shared" si="1039"/>
        <v>1000</v>
      </c>
      <c r="Q4107" s="7">
        <f t="shared" si="1044"/>
        <v>6793740.5500000026</v>
      </c>
      <c r="R4107" s="44" t="str">
        <f>VLOOKUP(F4107,'Set up'!$A$2:$E$70,5,FALSE)</f>
        <v>Trsf</v>
      </c>
    </row>
    <row r="4108" spans="1:18" ht="16.25" customHeight="1" x14ac:dyDescent="0.35">
      <c r="A4108" s="105" t="s">
        <v>3882</v>
      </c>
      <c r="B4108" s="5">
        <f t="shared" si="1042"/>
        <v>6</v>
      </c>
      <c r="C4108" s="5">
        <f t="shared" si="1043"/>
        <v>2025</v>
      </c>
      <c r="D4108" s="105" t="s">
        <v>3883</v>
      </c>
      <c r="E4108" s="5" t="str">
        <f>VLOOKUP(F4108,'Set up'!$A$2:$C$70,2,FALSE)</f>
        <v>C00000061</v>
      </c>
      <c r="F4108" s="99" t="s">
        <v>3532</v>
      </c>
      <c r="G4108" s="99" t="s">
        <v>3122</v>
      </c>
      <c r="H4108" s="105">
        <v>1</v>
      </c>
      <c r="I4108" s="5" t="str">
        <f>VLOOKUP(F4108,'Set up'!$A$2:$C$70,3,FALSE)</f>
        <v>Cash</v>
      </c>
      <c r="J4108" s="5">
        <f>VLOOKUP(F4108,'Set up'!$A$2:$D$70,4,FALSE)</f>
        <v>0</v>
      </c>
      <c r="K4108" s="4">
        <f t="shared" si="1040"/>
        <v>45833</v>
      </c>
      <c r="L4108" s="5">
        <f t="shared" si="1045"/>
        <v>6</v>
      </c>
      <c r="M4108" s="5">
        <f t="shared" si="1046"/>
        <v>2025</v>
      </c>
      <c r="N4108" s="135">
        <v>1642.5</v>
      </c>
      <c r="P4108" s="12">
        <f t="shared" si="1039"/>
        <v>1642.5</v>
      </c>
      <c r="Q4108" s="7">
        <f t="shared" si="1044"/>
        <v>6795383.0500000026</v>
      </c>
      <c r="R4108" s="44" t="str">
        <f>VLOOKUP(F4108,'Set up'!$A$2:$E$70,5,FALSE)</f>
        <v>Cash</v>
      </c>
    </row>
    <row r="4109" spans="1:18" ht="16.25" customHeight="1" x14ac:dyDescent="0.35">
      <c r="A4109" s="105" t="s">
        <v>3882</v>
      </c>
      <c r="B4109" s="5">
        <f t="shared" si="1042"/>
        <v>6</v>
      </c>
      <c r="C4109" s="5">
        <f t="shared" si="1043"/>
        <v>2025</v>
      </c>
      <c r="D4109" s="105" t="s">
        <v>3883</v>
      </c>
      <c r="E4109" s="5" t="str">
        <f>VLOOKUP(F4109,'Set up'!$A$2:$C$70,2,FALSE)</f>
        <v>C00000061</v>
      </c>
      <c r="F4109" s="99" t="s">
        <v>3532</v>
      </c>
      <c r="G4109" s="99" t="s">
        <v>2635</v>
      </c>
      <c r="H4109" s="105">
        <v>4</v>
      </c>
      <c r="I4109" s="5" t="str">
        <f>VLOOKUP(F4109,'Set up'!$A$2:$C$70,3,FALSE)</f>
        <v>Cash</v>
      </c>
      <c r="J4109" s="5">
        <f>VLOOKUP(F4109,'Set up'!$A$2:$D$70,4,FALSE)</f>
        <v>0</v>
      </c>
      <c r="K4109" s="4">
        <f t="shared" si="1040"/>
        <v>45833</v>
      </c>
      <c r="L4109" s="5">
        <f t="shared" si="1045"/>
        <v>6</v>
      </c>
      <c r="M4109" s="5">
        <f t="shared" si="1046"/>
        <v>2025</v>
      </c>
      <c r="N4109" s="135">
        <v>230</v>
      </c>
      <c r="P4109" s="12">
        <f t="shared" si="1039"/>
        <v>230</v>
      </c>
      <c r="Q4109" s="7">
        <f t="shared" si="1044"/>
        <v>6795613.0500000026</v>
      </c>
      <c r="R4109" s="44" t="str">
        <f>VLOOKUP(F4109,'Set up'!$A$2:$E$70,5,FALSE)</f>
        <v>Cash</v>
      </c>
    </row>
    <row r="4110" spans="1:18" ht="16.25" customHeight="1" x14ac:dyDescent="0.35">
      <c r="A4110" s="105" t="s">
        <v>3882</v>
      </c>
      <c r="B4110" s="5">
        <f t="shared" si="1042"/>
        <v>6</v>
      </c>
      <c r="C4110" s="5">
        <f t="shared" si="1043"/>
        <v>2025</v>
      </c>
      <c r="D4110" s="105" t="s">
        <v>3884</v>
      </c>
      <c r="E4110" s="5" t="str">
        <f>VLOOKUP(F4110,'Set up'!$A$2:$C$70,2,FALSE)</f>
        <v>C00000042</v>
      </c>
      <c r="F4110" s="99" t="s">
        <v>2012</v>
      </c>
      <c r="G4110" s="99" t="s">
        <v>2646</v>
      </c>
      <c r="H4110" s="105">
        <v>3</v>
      </c>
      <c r="I4110" s="5" t="str">
        <f>VLOOKUP(F4110,'Set up'!$A$2:$C$70,3,FALSE)</f>
        <v>Cash</v>
      </c>
      <c r="J4110" s="5">
        <f>VLOOKUP(F4110,'Set up'!$A$2:$D$70,4,FALSE)</f>
        <v>0</v>
      </c>
      <c r="K4110" s="4">
        <f t="shared" si="1040"/>
        <v>45833</v>
      </c>
      <c r="L4110" s="5">
        <f t="shared" si="1045"/>
        <v>6</v>
      </c>
      <c r="M4110" s="5">
        <f t="shared" si="1046"/>
        <v>2025</v>
      </c>
      <c r="N4110" s="135">
        <v>187.5</v>
      </c>
      <c r="P4110" s="12">
        <f t="shared" si="1039"/>
        <v>187.5</v>
      </c>
      <c r="Q4110" s="7">
        <f t="shared" si="1044"/>
        <v>6795800.5500000026</v>
      </c>
      <c r="R4110" s="44" t="str">
        <f>VLOOKUP(F4110,'Set up'!$A$2:$E$70,5,FALSE)</f>
        <v>Trsf</v>
      </c>
    </row>
    <row r="4111" spans="1:18" ht="16.25" customHeight="1" x14ac:dyDescent="0.35">
      <c r="A4111" s="105" t="s">
        <v>3882</v>
      </c>
      <c r="B4111" s="5">
        <f t="shared" si="1042"/>
        <v>6</v>
      </c>
      <c r="C4111" s="5">
        <f t="shared" si="1043"/>
        <v>2025</v>
      </c>
      <c r="D4111" s="105" t="s">
        <v>3885</v>
      </c>
      <c r="E4111" s="5" t="str">
        <f>VLOOKUP(F4111,'Set up'!$A$2:$C$70,2,FALSE)</f>
        <v>C00000042</v>
      </c>
      <c r="F4111" s="99" t="s">
        <v>2012</v>
      </c>
      <c r="G4111" s="99" t="s">
        <v>3217</v>
      </c>
      <c r="H4111" s="105">
        <v>5</v>
      </c>
      <c r="I4111" s="5" t="str">
        <f>VLOOKUP(F4111,'Set up'!$A$2:$C$70,3,FALSE)</f>
        <v>Cash</v>
      </c>
      <c r="J4111" s="5">
        <f>VLOOKUP(F4111,'Set up'!$A$2:$D$70,4,FALSE)</f>
        <v>0</v>
      </c>
      <c r="K4111" s="4">
        <f t="shared" si="1040"/>
        <v>45833</v>
      </c>
      <c r="L4111" s="5">
        <f t="shared" si="1045"/>
        <v>6</v>
      </c>
      <c r="M4111" s="5">
        <f t="shared" si="1046"/>
        <v>2025</v>
      </c>
      <c r="N4111" s="135">
        <v>8100</v>
      </c>
      <c r="P4111" s="12">
        <f t="shared" si="1039"/>
        <v>8100</v>
      </c>
      <c r="Q4111" s="7">
        <f t="shared" si="1044"/>
        <v>6803900.5500000026</v>
      </c>
      <c r="R4111" s="44" t="str">
        <f>VLOOKUP(F4111,'Set up'!$A$2:$E$70,5,FALSE)</f>
        <v>Trsf</v>
      </c>
    </row>
    <row r="4112" spans="1:18" ht="16.25" customHeight="1" x14ac:dyDescent="0.35">
      <c r="A4112" s="105" t="s">
        <v>3882</v>
      </c>
      <c r="B4112" s="5">
        <f t="shared" si="1042"/>
        <v>6</v>
      </c>
      <c r="C4112" s="5">
        <f t="shared" si="1043"/>
        <v>2025</v>
      </c>
      <c r="D4112" s="105" t="s">
        <v>3885</v>
      </c>
      <c r="E4112" s="5" t="str">
        <f>VLOOKUP(F4112,'Set up'!$A$2:$C$70,2,FALSE)</f>
        <v>C00000042</v>
      </c>
      <c r="F4112" s="99" t="s">
        <v>2012</v>
      </c>
      <c r="G4112" s="99" t="s">
        <v>1392</v>
      </c>
      <c r="H4112" s="105">
        <v>12</v>
      </c>
      <c r="I4112" s="5" t="str">
        <f>VLOOKUP(F4112,'Set up'!$A$2:$C$70,3,FALSE)</f>
        <v>Cash</v>
      </c>
      <c r="J4112" s="5">
        <f>VLOOKUP(F4112,'Set up'!$A$2:$D$70,4,FALSE)</f>
        <v>0</v>
      </c>
      <c r="K4112" s="4">
        <f t="shared" si="1040"/>
        <v>45833</v>
      </c>
      <c r="L4112" s="5">
        <f t="shared" si="1045"/>
        <v>6</v>
      </c>
      <c r="M4112" s="5">
        <f t="shared" si="1046"/>
        <v>2025</v>
      </c>
      <c r="N4112" s="135">
        <v>2124</v>
      </c>
      <c r="P4112" s="12">
        <f t="shared" si="1039"/>
        <v>2124</v>
      </c>
      <c r="Q4112" s="7">
        <f t="shared" si="1044"/>
        <v>6806024.5500000026</v>
      </c>
      <c r="R4112" s="44" t="str">
        <f>VLOOKUP(F4112,'Set up'!$A$2:$E$70,5,FALSE)</f>
        <v>Trsf</v>
      </c>
    </row>
    <row r="4113" spans="1:19" ht="16.25" customHeight="1" x14ac:dyDescent="0.35">
      <c r="A4113" s="105" t="s">
        <v>3882</v>
      </c>
      <c r="B4113" s="5">
        <f t="shared" si="1042"/>
        <v>6</v>
      </c>
      <c r="C4113" s="5">
        <f t="shared" si="1043"/>
        <v>2025</v>
      </c>
      <c r="D4113" s="105" t="s">
        <v>3885</v>
      </c>
      <c r="E4113" s="5" t="str">
        <f>VLOOKUP(F4113,'Set up'!$A$2:$C$70,2,FALSE)</f>
        <v>C00000042</v>
      </c>
      <c r="F4113" s="99" t="s">
        <v>2012</v>
      </c>
      <c r="G4113" s="99" t="s">
        <v>1922</v>
      </c>
      <c r="H4113" s="105">
        <v>7</v>
      </c>
      <c r="I4113" s="5" t="str">
        <f>VLOOKUP(F4113,'Set up'!$A$2:$C$70,3,FALSE)</f>
        <v>Cash</v>
      </c>
      <c r="J4113" s="5">
        <f>VLOOKUP(F4113,'Set up'!$A$2:$D$70,4,FALSE)</f>
        <v>0</v>
      </c>
      <c r="K4113" s="4">
        <f t="shared" si="1040"/>
        <v>45833</v>
      </c>
      <c r="L4113" s="5">
        <f t="shared" si="1045"/>
        <v>6</v>
      </c>
      <c r="M4113" s="5">
        <f t="shared" si="1046"/>
        <v>2025</v>
      </c>
      <c r="N4113" s="135">
        <v>1732.5</v>
      </c>
      <c r="P4113" s="12">
        <f t="shared" si="1039"/>
        <v>1732.5</v>
      </c>
      <c r="Q4113" s="7">
        <f t="shared" si="1044"/>
        <v>6807757.0500000026</v>
      </c>
      <c r="R4113" s="44" t="str">
        <f>VLOOKUP(F4113,'Set up'!$A$2:$E$70,5,FALSE)</f>
        <v>Trsf</v>
      </c>
    </row>
    <row r="4114" spans="1:19" ht="16.25" customHeight="1" x14ac:dyDescent="0.35">
      <c r="A4114" s="105" t="s">
        <v>3882</v>
      </c>
      <c r="B4114" s="5">
        <f t="shared" si="1042"/>
        <v>6</v>
      </c>
      <c r="C4114" s="5">
        <f t="shared" si="1043"/>
        <v>2025</v>
      </c>
      <c r="D4114" s="105" t="s">
        <v>3885</v>
      </c>
      <c r="E4114" s="5" t="str">
        <f>VLOOKUP(F4114,'Set up'!$A$2:$C$70,2,FALSE)</f>
        <v>C00000042</v>
      </c>
      <c r="F4114" s="99" t="s">
        <v>2012</v>
      </c>
      <c r="G4114" s="99" t="s">
        <v>46</v>
      </c>
      <c r="H4114" s="105">
        <v>4</v>
      </c>
      <c r="I4114" s="5" t="str">
        <f>VLOOKUP(F4114,'Set up'!$A$2:$C$70,3,FALSE)</f>
        <v>Cash</v>
      </c>
      <c r="J4114" s="5">
        <f>VLOOKUP(F4114,'Set up'!$A$2:$D$70,4,FALSE)</f>
        <v>0</v>
      </c>
      <c r="K4114" s="4">
        <f t="shared" si="1040"/>
        <v>45833</v>
      </c>
      <c r="L4114" s="5">
        <f t="shared" si="1045"/>
        <v>6</v>
      </c>
      <c r="M4114" s="5">
        <f t="shared" si="1046"/>
        <v>2025</v>
      </c>
      <c r="N4114" s="135">
        <v>460</v>
      </c>
      <c r="P4114" s="12">
        <f t="shared" si="1039"/>
        <v>460</v>
      </c>
      <c r="Q4114" s="7">
        <f t="shared" si="1044"/>
        <v>6808217.0500000026</v>
      </c>
      <c r="R4114" s="44" t="str">
        <f>VLOOKUP(F4114,'Set up'!$A$2:$E$70,5,FALSE)</f>
        <v>Trsf</v>
      </c>
    </row>
    <row r="4115" spans="1:19" ht="16.25" customHeight="1" x14ac:dyDescent="0.35">
      <c r="A4115" s="105" t="s">
        <v>3882</v>
      </c>
      <c r="B4115" s="5">
        <f t="shared" si="1042"/>
        <v>6</v>
      </c>
      <c r="C4115" s="5">
        <f t="shared" si="1043"/>
        <v>2025</v>
      </c>
      <c r="D4115" s="105" t="s">
        <v>3885</v>
      </c>
      <c r="E4115" s="5" t="str">
        <f>VLOOKUP(F4115,'Set up'!$A$2:$C$70,2,FALSE)</f>
        <v>C00000042</v>
      </c>
      <c r="F4115" s="99" t="s">
        <v>2012</v>
      </c>
      <c r="G4115" s="99" t="s">
        <v>2744</v>
      </c>
      <c r="H4115" s="105">
        <v>1</v>
      </c>
      <c r="I4115" s="5" t="str">
        <f>VLOOKUP(F4115,'Set up'!$A$2:$C$70,3,FALSE)</f>
        <v>Cash</v>
      </c>
      <c r="J4115" s="5">
        <f>VLOOKUP(F4115,'Set up'!$A$2:$D$70,4,FALSE)</f>
        <v>0</v>
      </c>
      <c r="K4115" s="4">
        <f t="shared" si="1040"/>
        <v>45833</v>
      </c>
      <c r="L4115" s="5">
        <f t="shared" si="1045"/>
        <v>6</v>
      </c>
      <c r="M4115" s="5">
        <f t="shared" si="1046"/>
        <v>2025</v>
      </c>
      <c r="N4115" s="135">
        <v>975</v>
      </c>
      <c r="P4115" s="12">
        <f t="shared" si="1039"/>
        <v>975</v>
      </c>
      <c r="Q4115" s="7">
        <f t="shared" si="1044"/>
        <v>6809192.0500000026</v>
      </c>
      <c r="R4115" s="44" t="str">
        <f>VLOOKUP(F4115,'Set up'!$A$2:$E$70,5,FALSE)</f>
        <v>Trsf</v>
      </c>
    </row>
    <row r="4116" spans="1:19" ht="16.25" customHeight="1" x14ac:dyDescent="0.35">
      <c r="A4116" s="105" t="s">
        <v>3886</v>
      </c>
      <c r="B4116" s="5">
        <f t="shared" si="1042"/>
        <v>6</v>
      </c>
      <c r="C4116" s="5">
        <f t="shared" si="1043"/>
        <v>2025</v>
      </c>
      <c r="D4116" s="105" t="s">
        <v>3887</v>
      </c>
      <c r="E4116" s="5" t="str">
        <f>VLOOKUP(F4116,'Set up'!$A$2:$C$70,2,FALSE)</f>
        <v>C00000010</v>
      </c>
      <c r="F4116" s="99" t="s">
        <v>62</v>
      </c>
      <c r="G4116" s="99" t="s">
        <v>3645</v>
      </c>
      <c r="H4116" s="105">
        <v>10</v>
      </c>
      <c r="I4116" s="5">
        <f>VLOOKUP(F4116,'Set up'!$A$2:$C$70,3,FALSE)</f>
        <v>120</v>
      </c>
      <c r="J4116" s="5">
        <f>VLOOKUP(F4116,'Set up'!$A$2:$D$70,4,FALSE)</f>
        <v>120</v>
      </c>
      <c r="K4116" s="4">
        <f t="shared" si="1040"/>
        <v>45954</v>
      </c>
      <c r="L4116" s="5">
        <f t="shared" si="1045"/>
        <v>10</v>
      </c>
      <c r="M4116" s="5">
        <f t="shared" si="1046"/>
        <v>2025</v>
      </c>
      <c r="N4116" s="135">
        <v>15525</v>
      </c>
      <c r="P4116" s="12">
        <f t="shared" si="1039"/>
        <v>15525</v>
      </c>
      <c r="Q4116" s="7">
        <f t="shared" si="1044"/>
        <v>6824717.0500000026</v>
      </c>
      <c r="R4116" s="44" t="str">
        <f>VLOOKUP(F4116,'Set up'!$A$2:$E$70,5,FALSE)</f>
        <v>Trsf</v>
      </c>
    </row>
    <row r="4117" spans="1:19" ht="16.25" customHeight="1" x14ac:dyDescent="0.35">
      <c r="A4117" s="105" t="s">
        <v>3886</v>
      </c>
      <c r="B4117" s="5">
        <f t="shared" si="1042"/>
        <v>6</v>
      </c>
      <c r="C4117" s="5">
        <f t="shared" si="1043"/>
        <v>2025</v>
      </c>
      <c r="D4117" s="105" t="s">
        <v>3887</v>
      </c>
      <c r="E4117" s="5" t="str">
        <f>VLOOKUP(F4117,'Set up'!$A$2:$C$70,2,FALSE)</f>
        <v>C00000010</v>
      </c>
      <c r="F4117" s="99" t="s">
        <v>62</v>
      </c>
      <c r="G4117" s="99" t="s">
        <v>1543</v>
      </c>
      <c r="H4117" s="105">
        <v>15</v>
      </c>
      <c r="I4117" s="5">
        <f>VLOOKUP(F4117,'Set up'!$A$2:$C$70,3,FALSE)</f>
        <v>120</v>
      </c>
      <c r="J4117" s="5">
        <f>VLOOKUP(F4117,'Set up'!$A$2:$D$70,4,FALSE)</f>
        <v>120</v>
      </c>
      <c r="K4117" s="4">
        <f t="shared" si="1040"/>
        <v>45954</v>
      </c>
      <c r="L4117" s="5">
        <f t="shared" si="1045"/>
        <v>10</v>
      </c>
      <c r="M4117" s="5">
        <f t="shared" si="1046"/>
        <v>2025</v>
      </c>
      <c r="N4117" s="135">
        <v>2610</v>
      </c>
      <c r="P4117" s="12">
        <f t="shared" si="1039"/>
        <v>2610</v>
      </c>
      <c r="Q4117" s="7">
        <f t="shared" si="1044"/>
        <v>6827327.0500000026</v>
      </c>
      <c r="R4117" s="44" t="str">
        <f>VLOOKUP(F4117,'Set up'!$A$2:$E$70,5,FALSE)</f>
        <v>Trsf</v>
      </c>
    </row>
    <row r="4118" spans="1:19" ht="16.25" customHeight="1" x14ac:dyDescent="0.35">
      <c r="A4118" s="105" t="s">
        <v>3886</v>
      </c>
      <c r="B4118" s="5">
        <f t="shared" si="1042"/>
        <v>6</v>
      </c>
      <c r="C4118" s="5">
        <f t="shared" si="1043"/>
        <v>2025</v>
      </c>
      <c r="D4118" s="105" t="s">
        <v>3887</v>
      </c>
      <c r="E4118" s="5" t="str">
        <f>VLOOKUP(F4118,'Set up'!$A$2:$C$70,2,FALSE)</f>
        <v>C00000010</v>
      </c>
      <c r="F4118" s="99" t="s">
        <v>62</v>
      </c>
      <c r="G4118" s="99" t="s">
        <v>946</v>
      </c>
      <c r="H4118" s="105">
        <v>4</v>
      </c>
      <c r="I4118" s="5">
        <f>VLOOKUP(F4118,'Set up'!$A$2:$C$70,3,FALSE)</f>
        <v>120</v>
      </c>
      <c r="J4118" s="5">
        <f>VLOOKUP(F4118,'Set up'!$A$2:$D$70,4,FALSE)</f>
        <v>120</v>
      </c>
      <c r="K4118" s="4">
        <f t="shared" si="1040"/>
        <v>45954</v>
      </c>
      <c r="L4118" s="5">
        <f t="shared" si="1045"/>
        <v>10</v>
      </c>
      <c r="M4118" s="5">
        <f t="shared" si="1046"/>
        <v>2025</v>
      </c>
      <c r="N4118" s="135">
        <v>230.4</v>
      </c>
      <c r="P4118" s="12">
        <f t="shared" si="1039"/>
        <v>230.4</v>
      </c>
      <c r="Q4118" s="7">
        <f t="shared" si="1044"/>
        <v>6827557.450000003</v>
      </c>
      <c r="R4118" s="44" t="str">
        <f>VLOOKUP(F4118,'Set up'!$A$2:$E$70,5,FALSE)</f>
        <v>Trsf</v>
      </c>
    </row>
    <row r="4119" spans="1:19" ht="16.25" customHeight="1" x14ac:dyDescent="0.35">
      <c r="A4119" s="105" t="s">
        <v>3886</v>
      </c>
      <c r="B4119" s="5">
        <f t="shared" si="1042"/>
        <v>6</v>
      </c>
      <c r="C4119" s="5">
        <f t="shared" si="1043"/>
        <v>2025</v>
      </c>
      <c r="D4119" s="105" t="s">
        <v>3887</v>
      </c>
      <c r="E4119" s="5" t="str">
        <f>VLOOKUP(F4119,'Set up'!$A$2:$C$70,2,FALSE)</f>
        <v>C00000010</v>
      </c>
      <c r="F4119" s="99" t="s">
        <v>62</v>
      </c>
      <c r="G4119" s="99" t="s">
        <v>46</v>
      </c>
      <c r="H4119" s="105">
        <v>8</v>
      </c>
      <c r="I4119" s="5">
        <f>VLOOKUP(F4119,'Set up'!$A$2:$C$70,3,FALSE)</f>
        <v>120</v>
      </c>
      <c r="J4119" s="5">
        <f>VLOOKUP(F4119,'Set up'!$A$2:$D$70,4,FALSE)</f>
        <v>120</v>
      </c>
      <c r="K4119" s="4">
        <f t="shared" si="1040"/>
        <v>45954</v>
      </c>
      <c r="L4119" s="5">
        <f t="shared" si="1045"/>
        <v>10</v>
      </c>
      <c r="M4119" s="5">
        <f t="shared" si="1046"/>
        <v>2025</v>
      </c>
      <c r="N4119" s="135">
        <v>880</v>
      </c>
      <c r="P4119" s="12">
        <f t="shared" si="1039"/>
        <v>880</v>
      </c>
      <c r="Q4119" s="7">
        <f t="shared" si="1044"/>
        <v>6828437.450000003</v>
      </c>
      <c r="R4119" s="44" t="str">
        <f>VLOOKUP(F4119,'Set up'!$A$2:$E$70,5,FALSE)</f>
        <v>Trsf</v>
      </c>
    </row>
    <row r="4120" spans="1:19" ht="16.25" customHeight="1" x14ac:dyDescent="0.35">
      <c r="A4120" s="105" t="s">
        <v>3888</v>
      </c>
      <c r="B4120" s="5">
        <f t="shared" si="1042"/>
        <v>6</v>
      </c>
      <c r="C4120" s="5">
        <f t="shared" si="1043"/>
        <v>2025</v>
      </c>
      <c r="D4120" s="105" t="s">
        <v>3889</v>
      </c>
      <c r="E4120" s="5" t="str">
        <f>VLOOKUP(F4120,'Set up'!$A$2:$C$70,2,FALSE)</f>
        <v>C00000044</v>
      </c>
      <c r="F4120" s="99" t="s">
        <v>2929</v>
      </c>
      <c r="G4120" s="99" t="s">
        <v>3122</v>
      </c>
      <c r="H4120" s="105">
        <v>1</v>
      </c>
      <c r="I4120" s="5" t="str">
        <f>VLOOKUP(F4120,'Set up'!$A$2:$C$70,3,FALSE)</f>
        <v>Cash</v>
      </c>
      <c r="J4120" s="5">
        <f>VLOOKUP(F4120,'Set up'!$A$2:$D$70,4,FALSE)</f>
        <v>0</v>
      </c>
      <c r="K4120" s="4">
        <f t="shared" si="1040"/>
        <v>45836</v>
      </c>
      <c r="L4120" s="5">
        <f t="shared" si="1045"/>
        <v>6</v>
      </c>
      <c r="M4120" s="5">
        <f t="shared" si="1046"/>
        <v>2025</v>
      </c>
      <c r="N4120" s="135">
        <v>1687.5</v>
      </c>
      <c r="O4120" s="6">
        <f>-N4120</f>
        <v>-1687.5</v>
      </c>
      <c r="P4120" s="12">
        <f t="shared" si="1039"/>
        <v>0</v>
      </c>
      <c r="Q4120" s="7">
        <f t="shared" si="1044"/>
        <v>6830124.950000003</v>
      </c>
      <c r="R4120" s="44" t="str">
        <f>VLOOKUP(F4120,'Set up'!$A$2:$E$70,5,FALSE)</f>
        <v>Cash</v>
      </c>
      <c r="S4120" s="1" t="s">
        <v>3954</v>
      </c>
    </row>
    <row r="4121" spans="1:19" ht="16.25" customHeight="1" x14ac:dyDescent="0.35">
      <c r="A4121" s="105" t="s">
        <v>3888</v>
      </c>
      <c r="B4121" s="5">
        <f t="shared" si="1042"/>
        <v>6</v>
      </c>
      <c r="C4121" s="5">
        <f t="shared" si="1043"/>
        <v>2025</v>
      </c>
      <c r="D4121" s="105" t="s">
        <v>3889</v>
      </c>
      <c r="E4121" s="5" t="str">
        <f>VLOOKUP(F4121,'Set up'!$A$2:$C$70,2,FALSE)</f>
        <v>C00000044</v>
      </c>
      <c r="F4121" s="99" t="s">
        <v>2929</v>
      </c>
      <c r="G4121" s="99" t="s">
        <v>2570</v>
      </c>
      <c r="H4121" s="105">
        <v>2</v>
      </c>
      <c r="I4121" s="5" t="str">
        <f>VLOOKUP(F4121,'Set up'!$A$2:$C$70,3,FALSE)</f>
        <v>Cash</v>
      </c>
      <c r="J4121" s="5">
        <f>VLOOKUP(F4121,'Set up'!$A$2:$D$70,4,FALSE)</f>
        <v>0</v>
      </c>
      <c r="K4121" s="4">
        <f t="shared" si="1040"/>
        <v>45836</v>
      </c>
      <c r="L4121" s="5">
        <f t="shared" si="1045"/>
        <v>6</v>
      </c>
      <c r="M4121" s="5">
        <f t="shared" si="1046"/>
        <v>2025</v>
      </c>
      <c r="N4121" s="135">
        <v>432</v>
      </c>
      <c r="O4121" s="6">
        <f>-N4121</f>
        <v>-432</v>
      </c>
      <c r="P4121" s="12">
        <f t="shared" si="1039"/>
        <v>0</v>
      </c>
      <c r="Q4121" s="7">
        <f t="shared" si="1044"/>
        <v>6830556.950000003</v>
      </c>
      <c r="R4121" s="44" t="str">
        <f>VLOOKUP(F4121,'Set up'!$A$2:$E$70,5,FALSE)</f>
        <v>Cash</v>
      </c>
      <c r="S4121" s="1" t="s">
        <v>3954</v>
      </c>
    </row>
    <row r="4122" spans="1:19" ht="16.25" customHeight="1" x14ac:dyDescent="0.35">
      <c r="A4122" s="105" t="s">
        <v>3888</v>
      </c>
      <c r="B4122" s="5">
        <f t="shared" si="1042"/>
        <v>6</v>
      </c>
      <c r="C4122" s="5">
        <f t="shared" si="1043"/>
        <v>2025</v>
      </c>
      <c r="D4122" s="105" t="s">
        <v>3889</v>
      </c>
      <c r="E4122" s="5" t="str">
        <f>VLOOKUP(F4122,'Set up'!$A$2:$C$70,2,FALSE)</f>
        <v>C00000044</v>
      </c>
      <c r="F4122" s="99" t="s">
        <v>2929</v>
      </c>
      <c r="G4122" s="99" t="s">
        <v>3255</v>
      </c>
      <c r="H4122" s="105">
        <v>3</v>
      </c>
      <c r="I4122" s="5" t="str">
        <f>VLOOKUP(F4122,'Set up'!$A$2:$C$70,3,FALSE)</f>
        <v>Cash</v>
      </c>
      <c r="J4122" s="5">
        <f>VLOOKUP(F4122,'Set up'!$A$2:$D$70,4,FALSE)</f>
        <v>0</v>
      </c>
      <c r="K4122" s="4">
        <f t="shared" si="1040"/>
        <v>45836</v>
      </c>
      <c r="L4122" s="5">
        <f t="shared" si="1045"/>
        <v>6</v>
      </c>
      <c r="M4122" s="5">
        <f t="shared" si="1046"/>
        <v>2025</v>
      </c>
      <c r="N4122" s="135">
        <v>525</v>
      </c>
      <c r="O4122" s="6">
        <f>-N4122</f>
        <v>-525</v>
      </c>
      <c r="P4122" s="12">
        <f t="shared" si="1039"/>
        <v>0</v>
      </c>
      <c r="Q4122" s="7">
        <f t="shared" si="1044"/>
        <v>6831081.950000003</v>
      </c>
      <c r="R4122" s="44" t="str">
        <f>VLOOKUP(F4122,'Set up'!$A$2:$E$70,5,FALSE)</f>
        <v>Cash</v>
      </c>
      <c r="S4122" s="1" t="s">
        <v>3954</v>
      </c>
    </row>
    <row r="4123" spans="1:19" ht="16.25" customHeight="1" x14ac:dyDescent="0.35">
      <c r="A4123" s="105" t="s">
        <v>3890</v>
      </c>
      <c r="B4123" s="5">
        <f t="shared" si="1042"/>
        <v>6</v>
      </c>
      <c r="C4123" s="5">
        <f t="shared" si="1043"/>
        <v>2025</v>
      </c>
      <c r="D4123" s="105" t="s">
        <v>3891</v>
      </c>
      <c r="E4123" s="5" t="str">
        <f>VLOOKUP(F4123,'Set up'!$A$2:$C$70,2,FALSE)</f>
        <v>C00000013</v>
      </c>
      <c r="F4123" s="99" t="s">
        <v>3549</v>
      </c>
      <c r="G4123" s="99" t="s">
        <v>3508</v>
      </c>
      <c r="H4123" s="105">
        <v>6</v>
      </c>
      <c r="I4123" s="5" t="str">
        <f>VLOOKUP(F4123,'Set up'!$A$2:$C$70,3,FALSE)</f>
        <v>Cash</v>
      </c>
      <c r="J4123" s="5">
        <f>VLOOKUP(F4123,'Set up'!$A$2:$D$70,4,FALSE)</f>
        <v>0</v>
      </c>
      <c r="K4123" s="4">
        <f t="shared" si="1040"/>
        <v>45838</v>
      </c>
      <c r="L4123" s="5">
        <f t="shared" si="1045"/>
        <v>6</v>
      </c>
      <c r="M4123" s="5">
        <f t="shared" si="1046"/>
        <v>2025</v>
      </c>
      <c r="N4123" s="135">
        <v>1702.8</v>
      </c>
      <c r="O4123" s="6">
        <f t="shared" ref="O4123:O4125" si="1047">-N4123</f>
        <v>-1702.8</v>
      </c>
      <c r="P4123" s="12">
        <f t="shared" si="1039"/>
        <v>0</v>
      </c>
      <c r="Q4123" s="7">
        <f t="shared" si="1044"/>
        <v>6832784.7500000028</v>
      </c>
      <c r="R4123" s="44" t="str">
        <f>VLOOKUP(F4123,'Set up'!$A$2:$E$70,5,FALSE)</f>
        <v>Chq</v>
      </c>
      <c r="S4123" s="1" t="s">
        <v>3955</v>
      </c>
    </row>
    <row r="4124" spans="1:19" ht="16.25" customHeight="1" x14ac:dyDescent="0.35">
      <c r="A4124" s="105" t="s">
        <v>3890</v>
      </c>
      <c r="B4124" s="5">
        <f t="shared" si="1042"/>
        <v>6</v>
      </c>
      <c r="C4124" s="5">
        <f t="shared" si="1043"/>
        <v>2025</v>
      </c>
      <c r="D4124" s="105" t="s">
        <v>3891</v>
      </c>
      <c r="E4124" s="5" t="str">
        <f>VLOOKUP(F4124,'Set up'!$A$2:$C$70,2,FALSE)</f>
        <v>C00000013</v>
      </c>
      <c r="F4124" s="99" t="s">
        <v>3549</v>
      </c>
      <c r="G4124" s="99" t="s">
        <v>3892</v>
      </c>
      <c r="H4124" s="105">
        <v>1</v>
      </c>
      <c r="I4124" s="5" t="str">
        <f>VLOOKUP(F4124,'Set up'!$A$2:$C$70,3,FALSE)</f>
        <v>Cash</v>
      </c>
      <c r="J4124" s="5">
        <f>VLOOKUP(F4124,'Set up'!$A$2:$D$70,4,FALSE)</f>
        <v>0</v>
      </c>
      <c r="K4124" s="4">
        <f t="shared" si="1040"/>
        <v>45838</v>
      </c>
      <c r="L4124" s="5">
        <f t="shared" si="1045"/>
        <v>6</v>
      </c>
      <c r="M4124" s="5">
        <f t="shared" si="1046"/>
        <v>2025</v>
      </c>
      <c r="N4124" s="135">
        <v>525</v>
      </c>
      <c r="O4124" s="6">
        <f t="shared" si="1047"/>
        <v>-525</v>
      </c>
      <c r="P4124" s="12">
        <f t="shared" si="1039"/>
        <v>0</v>
      </c>
      <c r="Q4124" s="7">
        <f t="shared" si="1044"/>
        <v>6833309.7500000028</v>
      </c>
      <c r="R4124" s="44" t="str">
        <f>VLOOKUP(F4124,'Set up'!$A$2:$E$70,5,FALSE)</f>
        <v>Chq</v>
      </c>
      <c r="S4124" s="1" t="s">
        <v>3955</v>
      </c>
    </row>
    <row r="4125" spans="1:19" ht="16.25" customHeight="1" x14ac:dyDescent="0.35">
      <c r="A4125" s="105" t="s">
        <v>3890</v>
      </c>
      <c r="B4125" s="5">
        <f t="shared" si="1042"/>
        <v>6</v>
      </c>
      <c r="C4125" s="5">
        <f t="shared" si="1043"/>
        <v>2025</v>
      </c>
      <c r="D4125" s="105" t="s">
        <v>3891</v>
      </c>
      <c r="E4125" s="5" t="str">
        <f>VLOOKUP(F4125,'Set up'!$A$2:$C$70,2,FALSE)</f>
        <v>C00000013</v>
      </c>
      <c r="F4125" s="99" t="s">
        <v>3549</v>
      </c>
      <c r="G4125" s="99" t="s">
        <v>3510</v>
      </c>
      <c r="H4125" s="105">
        <v>1</v>
      </c>
      <c r="I4125" s="5" t="str">
        <f>VLOOKUP(F4125,'Set up'!$A$2:$C$70,3,FALSE)</f>
        <v>Cash</v>
      </c>
      <c r="J4125" s="5">
        <f>VLOOKUP(F4125,'Set up'!$A$2:$D$70,4,FALSE)</f>
        <v>0</v>
      </c>
      <c r="K4125" s="4">
        <f t="shared" si="1040"/>
        <v>45838</v>
      </c>
      <c r="L4125" s="5">
        <f t="shared" si="1045"/>
        <v>6</v>
      </c>
      <c r="M4125" s="5">
        <f t="shared" si="1046"/>
        <v>2025</v>
      </c>
      <c r="N4125" s="135">
        <v>260</v>
      </c>
      <c r="O4125" s="6">
        <f t="shared" si="1047"/>
        <v>-260</v>
      </c>
      <c r="P4125" s="12">
        <f t="shared" si="1039"/>
        <v>0</v>
      </c>
      <c r="Q4125" s="7">
        <f t="shared" si="1044"/>
        <v>6833569.7500000028</v>
      </c>
      <c r="R4125" s="44" t="str">
        <f>VLOOKUP(F4125,'Set up'!$A$2:$E$70,5,FALSE)</f>
        <v>Chq</v>
      </c>
      <c r="S4125" s="1" t="s">
        <v>3955</v>
      </c>
    </row>
    <row r="4126" spans="1:19" ht="16.25" customHeight="1" x14ac:dyDescent="0.35">
      <c r="A4126" s="105" t="s">
        <v>3997</v>
      </c>
      <c r="B4126" s="5">
        <f t="shared" si="1042"/>
        <v>7</v>
      </c>
      <c r="C4126" s="5">
        <f t="shared" si="1043"/>
        <v>2025</v>
      </c>
      <c r="D4126" s="105" t="s">
        <v>3998</v>
      </c>
      <c r="E4126" s="5" t="str">
        <f>VLOOKUP(F4126,'Set up'!$A$2:$C$70,2,FALSE)</f>
        <v>C00000042</v>
      </c>
      <c r="F4126" s="99" t="s">
        <v>2012</v>
      </c>
      <c r="G4126" s="99" t="s">
        <v>2646</v>
      </c>
      <c r="H4126" s="105">
        <v>1</v>
      </c>
      <c r="I4126" s="5" t="str">
        <f>VLOOKUP(F4126,'Set up'!$A$2:$C$70,3,FALSE)</f>
        <v>Cash</v>
      </c>
      <c r="J4126" s="5">
        <f>VLOOKUP(F4126,'Set up'!$A$2:$D$70,4,FALSE)</f>
        <v>0</v>
      </c>
      <c r="K4126" s="4">
        <v>45839</v>
      </c>
      <c r="L4126" s="5">
        <v>7</v>
      </c>
      <c r="M4126" s="5">
        <v>2025</v>
      </c>
      <c r="N4126" s="135">
        <v>62.5</v>
      </c>
      <c r="P4126" s="12">
        <v>62.5</v>
      </c>
      <c r="Q4126" s="7">
        <v>6833632.2500000028</v>
      </c>
      <c r="R4126" s="44" t="str">
        <f>VLOOKUP(F4126,'Set up'!$A$2:$E$70,5,FALSE)</f>
        <v>Trsf</v>
      </c>
    </row>
    <row r="4127" spans="1:19" ht="16.25" customHeight="1" x14ac:dyDescent="0.35">
      <c r="A4127" s="105" t="s">
        <v>3997</v>
      </c>
      <c r="B4127" s="5">
        <f t="shared" si="1042"/>
        <v>7</v>
      </c>
      <c r="C4127" s="5">
        <f t="shared" si="1043"/>
        <v>2025</v>
      </c>
      <c r="D4127" s="105" t="s">
        <v>3999</v>
      </c>
      <c r="E4127" s="5" t="str">
        <f>VLOOKUP(F4127,'Set up'!$A$2:$C$70,2,FALSE)</f>
        <v>C00000042</v>
      </c>
      <c r="F4127" s="99" t="s">
        <v>2012</v>
      </c>
      <c r="G4127" s="99" t="s">
        <v>3217</v>
      </c>
      <c r="H4127" s="105">
        <v>2</v>
      </c>
      <c r="I4127" s="5" t="str">
        <f>VLOOKUP(F4127,'Set up'!$A$2:$C$70,3,FALSE)</f>
        <v>Cash</v>
      </c>
      <c r="J4127" s="5">
        <f>VLOOKUP(F4127,'Set up'!$A$2:$D$70,4,FALSE)</f>
        <v>0</v>
      </c>
      <c r="K4127" s="4">
        <v>45839</v>
      </c>
      <c r="L4127" s="5">
        <v>7</v>
      </c>
      <c r="M4127" s="5">
        <v>2025</v>
      </c>
      <c r="N4127" s="135">
        <v>3240</v>
      </c>
      <c r="P4127" s="12">
        <v>3240</v>
      </c>
      <c r="Q4127" s="7">
        <v>6836872.2500000028</v>
      </c>
      <c r="R4127" s="44" t="str">
        <f>VLOOKUP(F4127,'Set up'!$A$2:$E$70,5,FALSE)</f>
        <v>Trsf</v>
      </c>
    </row>
    <row r="4128" spans="1:19" ht="16.25" customHeight="1" x14ac:dyDescent="0.35">
      <c r="A4128" s="105" t="s">
        <v>3997</v>
      </c>
      <c r="B4128" s="5">
        <f t="shared" si="1042"/>
        <v>7</v>
      </c>
      <c r="C4128" s="5">
        <f t="shared" si="1043"/>
        <v>2025</v>
      </c>
      <c r="D4128" s="105" t="s">
        <v>3999</v>
      </c>
      <c r="E4128" s="5" t="str">
        <f>VLOOKUP(F4128,'Set up'!$A$2:$C$70,2,FALSE)</f>
        <v>C00000042</v>
      </c>
      <c r="F4128" s="99" t="s">
        <v>2012</v>
      </c>
      <c r="G4128" s="99" t="s">
        <v>1392</v>
      </c>
      <c r="H4128" s="105">
        <v>6</v>
      </c>
      <c r="I4128" s="5" t="str">
        <f>VLOOKUP(F4128,'Set up'!$A$2:$C$70,3,FALSE)</f>
        <v>Cash</v>
      </c>
      <c r="J4128" s="5">
        <f>VLOOKUP(F4128,'Set up'!$A$2:$D$70,4,FALSE)</f>
        <v>0</v>
      </c>
      <c r="K4128" s="4">
        <v>45839</v>
      </c>
      <c r="L4128" s="5">
        <v>7</v>
      </c>
      <c r="M4128" s="5">
        <v>2025</v>
      </c>
      <c r="N4128" s="135">
        <v>1062</v>
      </c>
      <c r="P4128" s="12">
        <v>1062</v>
      </c>
      <c r="Q4128" s="7">
        <v>6837934.2500000028</v>
      </c>
      <c r="R4128" s="44" t="str">
        <f>VLOOKUP(F4128,'Set up'!$A$2:$E$70,5,FALSE)</f>
        <v>Trsf</v>
      </c>
    </row>
    <row r="4129" spans="1:19" ht="16.25" customHeight="1" x14ac:dyDescent="0.35">
      <c r="A4129" s="105" t="s">
        <v>3997</v>
      </c>
      <c r="B4129" s="5">
        <f t="shared" si="1042"/>
        <v>7</v>
      </c>
      <c r="C4129" s="5">
        <f t="shared" si="1043"/>
        <v>2025</v>
      </c>
      <c r="D4129" s="105" t="s">
        <v>3999</v>
      </c>
      <c r="E4129" s="5" t="str">
        <f>VLOOKUP(F4129,'Set up'!$A$2:$C$70,2,FALSE)</f>
        <v>C00000042</v>
      </c>
      <c r="F4129" s="99" t="s">
        <v>2012</v>
      </c>
      <c r="G4129" s="99" t="s">
        <v>1922</v>
      </c>
      <c r="H4129" s="105">
        <v>3</v>
      </c>
      <c r="I4129" s="5" t="str">
        <f>VLOOKUP(F4129,'Set up'!$A$2:$C$70,3,FALSE)</f>
        <v>Cash</v>
      </c>
      <c r="J4129" s="5">
        <f>VLOOKUP(F4129,'Set up'!$A$2:$D$70,4,FALSE)</f>
        <v>0</v>
      </c>
      <c r="K4129" s="4">
        <v>45839</v>
      </c>
      <c r="L4129" s="5">
        <v>7</v>
      </c>
      <c r="M4129" s="5">
        <v>2025</v>
      </c>
      <c r="N4129" s="135">
        <v>742.5</v>
      </c>
      <c r="P4129" s="12">
        <v>742.5</v>
      </c>
      <c r="Q4129" s="7">
        <v>6838676.7500000028</v>
      </c>
      <c r="R4129" s="44" t="str">
        <f>VLOOKUP(F4129,'Set up'!$A$2:$E$70,5,FALSE)</f>
        <v>Trsf</v>
      </c>
    </row>
    <row r="4130" spans="1:19" ht="16.25" customHeight="1" x14ac:dyDescent="0.35">
      <c r="A4130" s="105" t="s">
        <v>3997</v>
      </c>
      <c r="B4130" s="5">
        <f t="shared" si="1042"/>
        <v>7</v>
      </c>
      <c r="C4130" s="5">
        <f t="shared" si="1043"/>
        <v>2025</v>
      </c>
      <c r="D4130" s="105" t="s">
        <v>4000</v>
      </c>
      <c r="E4130" s="5" t="str">
        <f>VLOOKUP(F4130,'Set up'!$A$2:$C$70,2,FALSE)</f>
        <v>C00000019</v>
      </c>
      <c r="F4130" s="99" t="s">
        <v>400</v>
      </c>
      <c r="G4130" s="99" t="s">
        <v>3122</v>
      </c>
      <c r="H4130" s="105">
        <v>1</v>
      </c>
      <c r="I4130" s="5" t="str">
        <f>VLOOKUP(F4130,'Set up'!$A$2:$C$70,3,FALSE)</f>
        <v>Cash</v>
      </c>
      <c r="J4130" s="5">
        <f>VLOOKUP(F4130,'Set up'!$A$2:$D$70,4,FALSE)</f>
        <v>0</v>
      </c>
      <c r="K4130" s="4">
        <v>45839</v>
      </c>
      <c r="L4130" s="5">
        <v>7</v>
      </c>
      <c r="M4130" s="5">
        <v>2025</v>
      </c>
      <c r="N4130" s="135">
        <v>1710</v>
      </c>
      <c r="P4130" s="12">
        <v>1710</v>
      </c>
      <c r="Q4130" s="7">
        <v>6840386.7500000028</v>
      </c>
      <c r="R4130" s="44" t="str">
        <f>VLOOKUP(F4130,'Set up'!$A$2:$E$70,5,FALSE)</f>
        <v>Trsf</v>
      </c>
    </row>
    <row r="4131" spans="1:19" ht="16.25" customHeight="1" x14ac:dyDescent="0.35">
      <c r="A4131" s="105" t="s">
        <v>3997</v>
      </c>
      <c r="B4131" s="5">
        <f t="shared" si="1042"/>
        <v>7</v>
      </c>
      <c r="C4131" s="5">
        <f t="shared" si="1043"/>
        <v>2025</v>
      </c>
      <c r="D4131" s="105" t="s">
        <v>4000</v>
      </c>
      <c r="E4131" s="5" t="str">
        <f>VLOOKUP(F4131,'Set up'!$A$2:$C$70,2,FALSE)</f>
        <v>C00000019</v>
      </c>
      <c r="F4131" s="99" t="s">
        <v>400</v>
      </c>
      <c r="G4131" s="99" t="s">
        <v>1411</v>
      </c>
      <c r="H4131" s="105">
        <v>1</v>
      </c>
      <c r="I4131" s="5" t="str">
        <f>VLOOKUP(F4131,'Set up'!$A$2:$C$70,3,FALSE)</f>
        <v>Cash</v>
      </c>
      <c r="J4131" s="5">
        <f>VLOOKUP(F4131,'Set up'!$A$2:$D$70,4,FALSE)</f>
        <v>0</v>
      </c>
      <c r="K4131" s="4">
        <v>45839</v>
      </c>
      <c r="L4131" s="5">
        <v>7</v>
      </c>
      <c r="M4131" s="5">
        <v>2025</v>
      </c>
      <c r="N4131" s="135">
        <v>405</v>
      </c>
      <c r="P4131" s="12">
        <v>405</v>
      </c>
      <c r="Q4131" s="7">
        <v>6840791.7500000028</v>
      </c>
      <c r="R4131" s="44" t="str">
        <f>VLOOKUP(F4131,'Set up'!$A$2:$E$70,5,FALSE)</f>
        <v>Trsf</v>
      </c>
    </row>
    <row r="4132" spans="1:19" ht="16.25" customHeight="1" x14ac:dyDescent="0.35">
      <c r="A4132" s="105" t="s">
        <v>3997</v>
      </c>
      <c r="B4132" s="5">
        <f t="shared" si="1042"/>
        <v>7</v>
      </c>
      <c r="C4132" s="5">
        <f t="shared" si="1043"/>
        <v>2025</v>
      </c>
      <c r="D4132" s="105" t="s">
        <v>4000</v>
      </c>
      <c r="E4132" s="5" t="str">
        <f>VLOOKUP(F4132,'Set up'!$A$2:$C$70,2,FALSE)</f>
        <v>C00000019</v>
      </c>
      <c r="F4132" s="99" t="s">
        <v>400</v>
      </c>
      <c r="G4132" s="99" t="s">
        <v>1469</v>
      </c>
      <c r="H4132" s="105">
        <v>1</v>
      </c>
      <c r="I4132" s="5" t="str">
        <f>VLOOKUP(F4132,'Set up'!$A$2:$C$70,3,FALSE)</f>
        <v>Cash</v>
      </c>
      <c r="J4132" s="5">
        <f>VLOOKUP(F4132,'Set up'!$A$2:$D$70,4,FALSE)</f>
        <v>0</v>
      </c>
      <c r="K4132" s="4">
        <v>45839</v>
      </c>
      <c r="L4132" s="5">
        <v>7</v>
      </c>
      <c r="M4132" s="5">
        <v>2025</v>
      </c>
      <c r="N4132" s="135">
        <v>390</v>
      </c>
      <c r="P4132" s="12">
        <v>390</v>
      </c>
      <c r="Q4132" s="7">
        <v>6841181.7500000028</v>
      </c>
      <c r="R4132" s="44" t="str">
        <f>VLOOKUP(F4132,'Set up'!$A$2:$E$70,5,FALSE)</f>
        <v>Trsf</v>
      </c>
    </row>
    <row r="4133" spans="1:19" ht="16.25" customHeight="1" x14ac:dyDescent="0.35">
      <c r="A4133" s="105" t="s">
        <v>4001</v>
      </c>
      <c r="B4133" s="5">
        <f t="shared" si="1042"/>
        <v>7</v>
      </c>
      <c r="C4133" s="5">
        <f t="shared" si="1043"/>
        <v>2025</v>
      </c>
      <c r="D4133" s="105" t="s">
        <v>4002</v>
      </c>
      <c r="E4133" s="5" t="str">
        <f>VLOOKUP(F4133,'Set up'!$A$2:$C$70,2,FALSE)</f>
        <v>C00000042</v>
      </c>
      <c r="F4133" s="99" t="s">
        <v>2012</v>
      </c>
      <c r="G4133" s="99" t="s">
        <v>2646</v>
      </c>
      <c r="H4133" s="105">
        <v>2</v>
      </c>
      <c r="I4133" s="5" t="str">
        <f>VLOOKUP(F4133,'Set up'!$A$2:$C$70,3,FALSE)</f>
        <v>Cash</v>
      </c>
      <c r="J4133" s="5">
        <f>VLOOKUP(F4133,'Set up'!$A$2:$D$70,4,FALSE)</f>
        <v>0</v>
      </c>
      <c r="K4133" s="4">
        <v>45840</v>
      </c>
      <c r="L4133" s="5">
        <v>7</v>
      </c>
      <c r="M4133" s="5">
        <v>2025</v>
      </c>
      <c r="N4133" s="135">
        <v>125</v>
      </c>
      <c r="P4133" s="12">
        <v>125</v>
      </c>
      <c r="Q4133" s="7">
        <v>6841306.7500000028</v>
      </c>
      <c r="R4133" s="44" t="str">
        <f>VLOOKUP(F4133,'Set up'!$A$2:$E$70,5,FALSE)</f>
        <v>Trsf</v>
      </c>
    </row>
    <row r="4134" spans="1:19" ht="16.25" customHeight="1" x14ac:dyDescent="0.35">
      <c r="A4134" s="105" t="s">
        <v>4001</v>
      </c>
      <c r="B4134" s="5">
        <f t="shared" si="1042"/>
        <v>7</v>
      </c>
      <c r="C4134" s="5">
        <f t="shared" si="1043"/>
        <v>2025</v>
      </c>
      <c r="D4134" s="105" t="s">
        <v>4003</v>
      </c>
      <c r="E4134" s="5" t="str">
        <f>VLOOKUP(F4134,'Set up'!$A$2:$C$70,2,FALSE)</f>
        <v>C00000042</v>
      </c>
      <c r="F4134" s="99" t="s">
        <v>2012</v>
      </c>
      <c r="G4134" s="99" t="s">
        <v>3217</v>
      </c>
      <c r="H4134" s="105">
        <v>3</v>
      </c>
      <c r="I4134" s="5" t="str">
        <f>VLOOKUP(F4134,'Set up'!$A$2:$C$70,3,FALSE)</f>
        <v>Cash</v>
      </c>
      <c r="J4134" s="5">
        <f>VLOOKUP(F4134,'Set up'!$A$2:$D$70,4,FALSE)</f>
        <v>0</v>
      </c>
      <c r="K4134" s="4">
        <v>45840</v>
      </c>
      <c r="L4134" s="5">
        <v>7</v>
      </c>
      <c r="M4134" s="5">
        <v>2025</v>
      </c>
      <c r="N4134" s="135">
        <v>4860</v>
      </c>
      <c r="P4134" s="12">
        <v>4860</v>
      </c>
      <c r="Q4134" s="7">
        <v>6846166.7500000028</v>
      </c>
      <c r="R4134" s="44" t="str">
        <f>VLOOKUP(F4134,'Set up'!$A$2:$E$70,5,FALSE)</f>
        <v>Trsf</v>
      </c>
    </row>
    <row r="4135" spans="1:19" ht="16.25" customHeight="1" x14ac:dyDescent="0.35">
      <c r="A4135" s="105" t="s">
        <v>4001</v>
      </c>
      <c r="B4135" s="5">
        <f t="shared" si="1042"/>
        <v>7</v>
      </c>
      <c r="C4135" s="5">
        <f t="shared" si="1043"/>
        <v>2025</v>
      </c>
      <c r="D4135" s="105" t="s">
        <v>4003</v>
      </c>
      <c r="E4135" s="5" t="str">
        <f>VLOOKUP(F4135,'Set up'!$A$2:$C$70,2,FALSE)</f>
        <v>C00000042</v>
      </c>
      <c r="F4135" s="99" t="s">
        <v>2012</v>
      </c>
      <c r="G4135" s="99" t="s">
        <v>1392</v>
      </c>
      <c r="H4135" s="105">
        <v>9</v>
      </c>
      <c r="I4135" s="5" t="str">
        <f>VLOOKUP(F4135,'Set up'!$A$2:$C$70,3,FALSE)</f>
        <v>Cash</v>
      </c>
      <c r="J4135" s="5">
        <f>VLOOKUP(F4135,'Set up'!$A$2:$D$70,4,FALSE)</f>
        <v>0</v>
      </c>
      <c r="K4135" s="4">
        <v>45840</v>
      </c>
      <c r="L4135" s="5">
        <v>7</v>
      </c>
      <c r="M4135" s="5">
        <v>2025</v>
      </c>
      <c r="N4135" s="135">
        <v>1593</v>
      </c>
      <c r="P4135" s="12">
        <v>1593</v>
      </c>
      <c r="Q4135" s="7">
        <v>6847759.7500000028</v>
      </c>
      <c r="R4135" s="44" t="str">
        <f>VLOOKUP(F4135,'Set up'!$A$2:$E$70,5,FALSE)</f>
        <v>Trsf</v>
      </c>
    </row>
    <row r="4136" spans="1:19" ht="16.25" customHeight="1" x14ac:dyDescent="0.35">
      <c r="A4136" s="105" t="s">
        <v>4001</v>
      </c>
      <c r="B4136" s="5">
        <f t="shared" si="1042"/>
        <v>7</v>
      </c>
      <c r="C4136" s="5">
        <f t="shared" si="1043"/>
        <v>2025</v>
      </c>
      <c r="D4136" s="105" t="s">
        <v>4003</v>
      </c>
      <c r="E4136" s="5" t="str">
        <f>VLOOKUP(F4136,'Set up'!$A$2:$C$70,2,FALSE)</f>
        <v>C00000042</v>
      </c>
      <c r="F4136" s="99" t="s">
        <v>2012</v>
      </c>
      <c r="G4136" s="99" t="s">
        <v>1922</v>
      </c>
      <c r="H4136" s="105">
        <v>4</v>
      </c>
      <c r="I4136" s="5" t="str">
        <f>VLOOKUP(F4136,'Set up'!$A$2:$C$70,3,FALSE)</f>
        <v>Cash</v>
      </c>
      <c r="J4136" s="5">
        <f>VLOOKUP(F4136,'Set up'!$A$2:$D$70,4,FALSE)</f>
        <v>0</v>
      </c>
      <c r="K4136" s="4">
        <v>45840</v>
      </c>
      <c r="L4136" s="5">
        <v>7</v>
      </c>
      <c r="M4136" s="5">
        <v>2025</v>
      </c>
      <c r="N4136" s="135">
        <v>990</v>
      </c>
      <c r="P4136" s="12">
        <v>990</v>
      </c>
      <c r="Q4136" s="7">
        <v>6848749.7500000028</v>
      </c>
      <c r="R4136" s="44" t="str">
        <f>VLOOKUP(F4136,'Set up'!$A$2:$E$70,5,FALSE)</f>
        <v>Trsf</v>
      </c>
    </row>
    <row r="4137" spans="1:19" ht="16.25" customHeight="1" x14ac:dyDescent="0.35">
      <c r="A4137" s="105" t="s">
        <v>4001</v>
      </c>
      <c r="B4137" s="5">
        <f t="shared" si="1042"/>
        <v>7</v>
      </c>
      <c r="C4137" s="5">
        <f t="shared" si="1043"/>
        <v>2025</v>
      </c>
      <c r="D4137" s="105" t="s">
        <v>4003</v>
      </c>
      <c r="E4137" s="5" t="str">
        <f>VLOOKUP(F4137,'Set up'!$A$2:$C$70,2,FALSE)</f>
        <v>C00000042</v>
      </c>
      <c r="F4137" s="99" t="s">
        <v>2012</v>
      </c>
      <c r="G4137" s="99" t="s">
        <v>1073</v>
      </c>
      <c r="H4137" s="105">
        <v>1</v>
      </c>
      <c r="I4137" s="5" t="str">
        <f>VLOOKUP(F4137,'Set up'!$A$2:$C$70,3,FALSE)</f>
        <v>Cash</v>
      </c>
      <c r="J4137" s="5">
        <f>VLOOKUP(F4137,'Set up'!$A$2:$D$70,4,FALSE)</f>
        <v>0</v>
      </c>
      <c r="K4137" s="4">
        <v>45840</v>
      </c>
      <c r="L4137" s="5">
        <v>7</v>
      </c>
      <c r="M4137" s="5">
        <v>2025</v>
      </c>
      <c r="N4137" s="135">
        <v>1000</v>
      </c>
      <c r="P4137" s="12">
        <v>1000</v>
      </c>
      <c r="Q4137" s="7">
        <v>6849749.7500000028</v>
      </c>
      <c r="R4137" s="44" t="str">
        <f>VLOOKUP(F4137,'Set up'!$A$2:$E$70,5,FALSE)</f>
        <v>Trsf</v>
      </c>
    </row>
    <row r="4138" spans="1:19" ht="16.25" customHeight="1" x14ac:dyDescent="0.35">
      <c r="A4138" s="105" t="s">
        <v>4004</v>
      </c>
      <c r="B4138" s="5">
        <f t="shared" si="1042"/>
        <v>7</v>
      </c>
      <c r="C4138" s="5">
        <f t="shared" si="1043"/>
        <v>2025</v>
      </c>
      <c r="D4138" s="105" t="s">
        <v>4005</v>
      </c>
      <c r="E4138" s="5" t="str">
        <f>VLOOKUP(F4138,'Set up'!$A$2:$C$70,2,FALSE)</f>
        <v>C00000044</v>
      </c>
      <c r="F4138" s="99" t="s">
        <v>2929</v>
      </c>
      <c r="G4138" s="99" t="s">
        <v>4006</v>
      </c>
      <c r="H4138" s="105">
        <v>1</v>
      </c>
      <c r="I4138" s="5" t="str">
        <f>VLOOKUP(F4138,'Set up'!$A$2:$C$70,3,FALSE)</f>
        <v>Cash</v>
      </c>
      <c r="J4138" s="5">
        <f>VLOOKUP(F4138,'Set up'!$A$2:$D$70,4,FALSE)</f>
        <v>0</v>
      </c>
      <c r="K4138" s="4">
        <v>45842</v>
      </c>
      <c r="L4138" s="5">
        <v>7</v>
      </c>
      <c r="M4138" s="5">
        <v>2025</v>
      </c>
      <c r="N4138" s="135">
        <v>1687.5</v>
      </c>
      <c r="O4138" s="6">
        <f>-N4138</f>
        <v>-1687.5</v>
      </c>
      <c r="P4138" s="12">
        <f t="shared" ref="P4138:P4140" si="1048">SUM(N4138+O4138)</f>
        <v>0</v>
      </c>
      <c r="Q4138" s="7">
        <v>6851437.2500000028</v>
      </c>
      <c r="R4138" s="44" t="str">
        <f>VLOOKUP(F4138,'Set up'!$A$2:$E$70,5,FALSE)</f>
        <v>Cash</v>
      </c>
      <c r="S4138" s="1" t="s">
        <v>4067</v>
      </c>
    </row>
    <row r="4139" spans="1:19" ht="16.25" customHeight="1" x14ac:dyDescent="0.35">
      <c r="A4139" s="105" t="s">
        <v>4004</v>
      </c>
      <c r="B4139" s="5">
        <f t="shared" si="1042"/>
        <v>7</v>
      </c>
      <c r="C4139" s="5">
        <f t="shared" si="1043"/>
        <v>2025</v>
      </c>
      <c r="D4139" s="105" t="s">
        <v>4005</v>
      </c>
      <c r="E4139" s="5" t="str">
        <f>VLOOKUP(F4139,'Set up'!$A$2:$C$70,2,FALSE)</f>
        <v>C00000044</v>
      </c>
      <c r="F4139" s="99" t="s">
        <v>2929</v>
      </c>
      <c r="G4139" s="99" t="s">
        <v>4007</v>
      </c>
      <c r="H4139" s="105">
        <v>2</v>
      </c>
      <c r="I4139" s="5" t="str">
        <f>VLOOKUP(F4139,'Set up'!$A$2:$C$70,3,FALSE)</f>
        <v>Cash</v>
      </c>
      <c r="J4139" s="5">
        <f>VLOOKUP(F4139,'Set up'!$A$2:$D$70,4,FALSE)</f>
        <v>0</v>
      </c>
      <c r="K4139" s="4">
        <v>45842</v>
      </c>
      <c r="L4139" s="5">
        <v>7</v>
      </c>
      <c r="M4139" s="5">
        <v>2025</v>
      </c>
      <c r="N4139" s="135">
        <v>432</v>
      </c>
      <c r="O4139" s="6">
        <f>-N4139</f>
        <v>-432</v>
      </c>
      <c r="P4139" s="12">
        <f t="shared" si="1048"/>
        <v>0</v>
      </c>
      <c r="Q4139" s="7">
        <v>6851869.2500000028</v>
      </c>
      <c r="R4139" s="44" t="str">
        <f>VLOOKUP(F4139,'Set up'!$A$2:$E$70,5,FALSE)</f>
        <v>Cash</v>
      </c>
      <c r="S4139" s="1" t="s">
        <v>4067</v>
      </c>
    </row>
    <row r="4140" spans="1:19" ht="16.25" customHeight="1" x14ac:dyDescent="0.35">
      <c r="A4140" s="105" t="s">
        <v>4004</v>
      </c>
      <c r="B4140" s="5">
        <f t="shared" si="1042"/>
        <v>7</v>
      </c>
      <c r="C4140" s="5">
        <f t="shared" si="1043"/>
        <v>2025</v>
      </c>
      <c r="D4140" s="105" t="s">
        <v>4005</v>
      </c>
      <c r="E4140" s="5" t="str">
        <f>VLOOKUP(F4140,'Set up'!$A$2:$C$70,2,FALSE)</f>
        <v>C00000044</v>
      </c>
      <c r="F4140" s="99" t="s">
        <v>2929</v>
      </c>
      <c r="G4140" s="99" t="s">
        <v>1660</v>
      </c>
      <c r="H4140" s="105">
        <v>1</v>
      </c>
      <c r="I4140" s="5" t="str">
        <f>VLOOKUP(F4140,'Set up'!$A$2:$C$70,3,FALSE)</f>
        <v>Cash</v>
      </c>
      <c r="J4140" s="5">
        <f>VLOOKUP(F4140,'Set up'!$A$2:$D$70,4,FALSE)</f>
        <v>0</v>
      </c>
      <c r="K4140" s="4">
        <v>45842</v>
      </c>
      <c r="L4140" s="5">
        <v>7</v>
      </c>
      <c r="M4140" s="5">
        <v>2025</v>
      </c>
      <c r="N4140" s="135">
        <v>160</v>
      </c>
      <c r="O4140" s="6">
        <f>-N4140</f>
        <v>-160</v>
      </c>
      <c r="P4140" s="12">
        <f t="shared" si="1048"/>
        <v>0</v>
      </c>
      <c r="Q4140" s="7">
        <v>6852029.2500000028</v>
      </c>
      <c r="R4140" s="44" t="str">
        <f>VLOOKUP(F4140,'Set up'!$A$2:$E$70,5,FALSE)</f>
        <v>Cash</v>
      </c>
      <c r="S4140" s="1" t="s">
        <v>4067</v>
      </c>
    </row>
    <row r="4141" spans="1:19" ht="16.25" customHeight="1" x14ac:dyDescent="0.35">
      <c r="A4141" s="105" t="s">
        <v>4008</v>
      </c>
      <c r="B4141" s="5">
        <f t="shared" si="1042"/>
        <v>7</v>
      </c>
      <c r="C4141" s="5">
        <f t="shared" si="1043"/>
        <v>2025</v>
      </c>
      <c r="D4141" s="105" t="s">
        <v>4009</v>
      </c>
      <c r="E4141" s="5" t="str">
        <f>VLOOKUP(F4141,'Set up'!$A$2:$C$70,2,FALSE)</f>
        <v>C00000042</v>
      </c>
      <c r="F4141" s="99" t="s">
        <v>2012</v>
      </c>
      <c r="G4141" s="99" t="s">
        <v>2646</v>
      </c>
      <c r="H4141" s="105">
        <v>3</v>
      </c>
      <c r="I4141" s="5" t="str">
        <f>VLOOKUP(F4141,'Set up'!$A$2:$C$70,3,FALSE)</f>
        <v>Cash</v>
      </c>
      <c r="J4141" s="5">
        <f>VLOOKUP(F4141,'Set up'!$A$2:$D$70,4,FALSE)</f>
        <v>0</v>
      </c>
      <c r="K4141" s="4">
        <v>45843</v>
      </c>
      <c r="L4141" s="5">
        <v>7</v>
      </c>
      <c r="M4141" s="5">
        <v>2025</v>
      </c>
      <c r="N4141" s="135">
        <v>187.5</v>
      </c>
      <c r="P4141" s="12">
        <v>187.5</v>
      </c>
      <c r="Q4141" s="7">
        <v>6852216.7500000028</v>
      </c>
      <c r="R4141" s="44" t="str">
        <f>VLOOKUP(F4141,'Set up'!$A$2:$E$70,5,FALSE)</f>
        <v>Trsf</v>
      </c>
    </row>
    <row r="4142" spans="1:19" ht="16.25" customHeight="1" x14ac:dyDescent="0.35">
      <c r="A4142" s="105" t="s">
        <v>4008</v>
      </c>
      <c r="B4142" s="5">
        <f t="shared" si="1042"/>
        <v>7</v>
      </c>
      <c r="C4142" s="5">
        <f t="shared" si="1043"/>
        <v>2025</v>
      </c>
      <c r="D4142" s="105" t="s">
        <v>4010</v>
      </c>
      <c r="E4142" s="5" t="str">
        <f>VLOOKUP(F4142,'Set up'!$A$2:$C$70,2,FALSE)</f>
        <v>C00000042</v>
      </c>
      <c r="F4142" s="99" t="s">
        <v>2012</v>
      </c>
      <c r="G4142" s="99" t="s">
        <v>3217</v>
      </c>
      <c r="H4142" s="105">
        <v>5</v>
      </c>
      <c r="I4142" s="5" t="str">
        <f>VLOOKUP(F4142,'Set up'!$A$2:$C$70,3,FALSE)</f>
        <v>Cash</v>
      </c>
      <c r="J4142" s="5">
        <f>VLOOKUP(F4142,'Set up'!$A$2:$D$70,4,FALSE)</f>
        <v>0</v>
      </c>
      <c r="K4142" s="4">
        <v>45843</v>
      </c>
      <c r="L4142" s="5">
        <v>7</v>
      </c>
      <c r="M4142" s="5">
        <v>2025</v>
      </c>
      <c r="N4142" s="135">
        <v>8100</v>
      </c>
      <c r="P4142" s="12">
        <v>8100</v>
      </c>
      <c r="Q4142" s="7">
        <v>6860316.7500000028</v>
      </c>
      <c r="R4142" s="44" t="str">
        <f>VLOOKUP(F4142,'Set up'!$A$2:$E$70,5,FALSE)</f>
        <v>Trsf</v>
      </c>
    </row>
    <row r="4143" spans="1:19" ht="16.25" customHeight="1" x14ac:dyDescent="0.35">
      <c r="A4143" s="105" t="s">
        <v>4008</v>
      </c>
      <c r="B4143" s="5">
        <f t="shared" si="1042"/>
        <v>7</v>
      </c>
      <c r="C4143" s="5">
        <f t="shared" si="1043"/>
        <v>2025</v>
      </c>
      <c r="D4143" s="105" t="s">
        <v>4010</v>
      </c>
      <c r="E4143" s="5" t="str">
        <f>VLOOKUP(F4143,'Set up'!$A$2:$C$70,2,FALSE)</f>
        <v>C00000042</v>
      </c>
      <c r="F4143" s="99" t="s">
        <v>2012</v>
      </c>
      <c r="G4143" s="99" t="s">
        <v>1392</v>
      </c>
      <c r="H4143" s="105">
        <v>15</v>
      </c>
      <c r="I4143" s="5" t="str">
        <f>VLOOKUP(F4143,'Set up'!$A$2:$C$70,3,FALSE)</f>
        <v>Cash</v>
      </c>
      <c r="J4143" s="5">
        <f>VLOOKUP(F4143,'Set up'!$A$2:$D$70,4,FALSE)</f>
        <v>0</v>
      </c>
      <c r="K4143" s="4">
        <v>45843</v>
      </c>
      <c r="L4143" s="5">
        <v>7</v>
      </c>
      <c r="M4143" s="5">
        <v>2025</v>
      </c>
      <c r="N4143" s="135">
        <v>2655</v>
      </c>
      <c r="P4143" s="12">
        <v>2655</v>
      </c>
      <c r="Q4143" s="7">
        <v>6862971.7500000028</v>
      </c>
      <c r="R4143" s="44" t="str">
        <f>VLOOKUP(F4143,'Set up'!$A$2:$E$70,5,FALSE)</f>
        <v>Trsf</v>
      </c>
    </row>
    <row r="4144" spans="1:19" ht="16.25" customHeight="1" x14ac:dyDescent="0.35">
      <c r="A4144" s="105" t="s">
        <v>4008</v>
      </c>
      <c r="B4144" s="5">
        <f t="shared" si="1042"/>
        <v>7</v>
      </c>
      <c r="C4144" s="5">
        <f t="shared" si="1043"/>
        <v>2025</v>
      </c>
      <c r="D4144" s="105" t="s">
        <v>4010</v>
      </c>
      <c r="E4144" s="5" t="str">
        <f>VLOOKUP(F4144,'Set up'!$A$2:$C$70,2,FALSE)</f>
        <v>C00000042</v>
      </c>
      <c r="F4144" s="99" t="s">
        <v>2012</v>
      </c>
      <c r="G4144" s="99" t="s">
        <v>1922</v>
      </c>
      <c r="H4144" s="105">
        <v>7</v>
      </c>
      <c r="I4144" s="5" t="str">
        <f>VLOOKUP(F4144,'Set up'!$A$2:$C$70,3,FALSE)</f>
        <v>Cash</v>
      </c>
      <c r="J4144" s="5">
        <f>VLOOKUP(F4144,'Set up'!$A$2:$D$70,4,FALSE)</f>
        <v>0</v>
      </c>
      <c r="K4144" s="4">
        <v>45843</v>
      </c>
      <c r="L4144" s="5">
        <v>7</v>
      </c>
      <c r="M4144" s="5">
        <v>2025</v>
      </c>
      <c r="N4144" s="135">
        <v>1732.5</v>
      </c>
      <c r="P4144" s="12">
        <v>1732.5</v>
      </c>
      <c r="Q4144" s="7">
        <v>6864704.2500000028</v>
      </c>
      <c r="R4144" s="44" t="str">
        <f>VLOOKUP(F4144,'Set up'!$A$2:$E$70,5,FALSE)</f>
        <v>Trsf</v>
      </c>
    </row>
    <row r="4145" spans="1:18" ht="16.25" customHeight="1" x14ac:dyDescent="0.35">
      <c r="A4145" s="105" t="s">
        <v>4008</v>
      </c>
      <c r="B4145" s="5">
        <f t="shared" si="1042"/>
        <v>7</v>
      </c>
      <c r="C4145" s="5">
        <f t="shared" si="1043"/>
        <v>2025</v>
      </c>
      <c r="D4145" s="105" t="s">
        <v>4010</v>
      </c>
      <c r="E4145" s="5" t="str">
        <f>VLOOKUP(F4145,'Set up'!$A$2:$C$70,2,FALSE)</f>
        <v>C00000042</v>
      </c>
      <c r="F4145" s="99" t="s">
        <v>2012</v>
      </c>
      <c r="G4145" s="99" t="s">
        <v>2744</v>
      </c>
      <c r="H4145" s="105">
        <v>1</v>
      </c>
      <c r="I4145" s="5" t="str">
        <f>VLOOKUP(F4145,'Set up'!$A$2:$C$70,3,FALSE)</f>
        <v>Cash</v>
      </c>
      <c r="J4145" s="5">
        <f>VLOOKUP(F4145,'Set up'!$A$2:$D$70,4,FALSE)</f>
        <v>0</v>
      </c>
      <c r="K4145" s="4">
        <v>45843</v>
      </c>
      <c r="L4145" s="5">
        <v>7</v>
      </c>
      <c r="M4145" s="5">
        <v>2025</v>
      </c>
      <c r="N4145" s="135">
        <v>975</v>
      </c>
      <c r="P4145" s="12">
        <v>975</v>
      </c>
      <c r="Q4145" s="7">
        <v>6865679.2500000028</v>
      </c>
      <c r="R4145" s="44" t="str">
        <f>VLOOKUP(F4145,'Set up'!$A$2:$E$70,5,FALSE)</f>
        <v>Trsf</v>
      </c>
    </row>
    <row r="4146" spans="1:18" ht="16.25" customHeight="1" x14ac:dyDescent="0.35">
      <c r="A4146" s="105" t="s">
        <v>4011</v>
      </c>
      <c r="B4146" s="5">
        <f t="shared" si="1042"/>
        <v>7</v>
      </c>
      <c r="C4146" s="5">
        <f t="shared" si="1043"/>
        <v>2025</v>
      </c>
      <c r="D4146" s="105" t="s">
        <v>4012</v>
      </c>
      <c r="E4146" s="5" t="str">
        <f>VLOOKUP(F4146,'Set up'!$A$2:$C$70,2,FALSE)</f>
        <v>C00000042</v>
      </c>
      <c r="F4146" s="99" t="s">
        <v>2012</v>
      </c>
      <c r="G4146" s="99" t="s">
        <v>2646</v>
      </c>
      <c r="H4146" s="105">
        <v>3</v>
      </c>
      <c r="I4146" s="5" t="str">
        <f>VLOOKUP(F4146,'Set up'!$A$2:$C$70,3,FALSE)</f>
        <v>Cash</v>
      </c>
      <c r="J4146" s="5">
        <f>VLOOKUP(F4146,'Set up'!$A$2:$D$70,4,FALSE)</f>
        <v>0</v>
      </c>
      <c r="K4146" s="4">
        <v>45846</v>
      </c>
      <c r="L4146" s="5">
        <v>7</v>
      </c>
      <c r="M4146" s="5">
        <v>2025</v>
      </c>
      <c r="N4146" s="135">
        <v>187.5</v>
      </c>
      <c r="P4146" s="12">
        <v>187.5</v>
      </c>
      <c r="Q4146" s="7">
        <v>6865866.7500000028</v>
      </c>
      <c r="R4146" s="44" t="str">
        <f>VLOOKUP(F4146,'Set up'!$A$2:$E$70,5,FALSE)</f>
        <v>Trsf</v>
      </c>
    </row>
    <row r="4147" spans="1:18" ht="16.25" customHeight="1" x14ac:dyDescent="0.35">
      <c r="A4147" s="105" t="s">
        <v>4011</v>
      </c>
      <c r="B4147" s="5">
        <f t="shared" si="1042"/>
        <v>7</v>
      </c>
      <c r="C4147" s="5">
        <f t="shared" si="1043"/>
        <v>2025</v>
      </c>
      <c r="D4147" s="105" t="s">
        <v>4013</v>
      </c>
      <c r="E4147" s="5" t="str">
        <f>VLOOKUP(F4147,'Set up'!$A$2:$C$70,2,FALSE)</f>
        <v>C00000042</v>
      </c>
      <c r="F4147" s="99" t="s">
        <v>2012</v>
      </c>
      <c r="G4147" s="99" t="s">
        <v>3645</v>
      </c>
      <c r="H4147" s="105">
        <v>6</v>
      </c>
      <c r="I4147" s="5" t="str">
        <f>VLOOKUP(F4147,'Set up'!$A$2:$C$70,3,FALSE)</f>
        <v>Cash</v>
      </c>
      <c r="J4147" s="5">
        <f>VLOOKUP(F4147,'Set up'!$A$2:$D$70,4,FALSE)</f>
        <v>0</v>
      </c>
      <c r="K4147" s="4">
        <v>45846</v>
      </c>
      <c r="L4147" s="5">
        <v>7</v>
      </c>
      <c r="M4147" s="5">
        <v>2025</v>
      </c>
      <c r="N4147" s="135">
        <v>9720</v>
      </c>
      <c r="P4147" s="12">
        <v>9720</v>
      </c>
      <c r="Q4147" s="7">
        <v>6875586.7500000028</v>
      </c>
      <c r="R4147" s="44" t="str">
        <f>VLOOKUP(F4147,'Set up'!$A$2:$E$70,5,FALSE)</f>
        <v>Trsf</v>
      </c>
    </row>
    <row r="4148" spans="1:18" ht="16.25" customHeight="1" x14ac:dyDescent="0.35">
      <c r="A4148" s="105" t="s">
        <v>4011</v>
      </c>
      <c r="B4148" s="5">
        <f t="shared" si="1042"/>
        <v>7</v>
      </c>
      <c r="C4148" s="5">
        <f t="shared" si="1043"/>
        <v>2025</v>
      </c>
      <c r="D4148" s="105" t="s">
        <v>4013</v>
      </c>
      <c r="E4148" s="5" t="str">
        <f>VLOOKUP(F4148,'Set up'!$A$2:$C$70,2,FALSE)</f>
        <v>C00000042</v>
      </c>
      <c r="F4148" s="99" t="s">
        <v>2012</v>
      </c>
      <c r="G4148" s="99" t="s">
        <v>1392</v>
      </c>
      <c r="H4148" s="105">
        <v>18</v>
      </c>
      <c r="I4148" s="5" t="str">
        <f>VLOOKUP(F4148,'Set up'!$A$2:$C$70,3,FALSE)</f>
        <v>Cash</v>
      </c>
      <c r="J4148" s="5">
        <f>VLOOKUP(F4148,'Set up'!$A$2:$D$70,4,FALSE)</f>
        <v>0</v>
      </c>
      <c r="K4148" s="4">
        <v>45846</v>
      </c>
      <c r="L4148" s="5">
        <v>7</v>
      </c>
      <c r="M4148" s="5">
        <v>2025</v>
      </c>
      <c r="N4148" s="135">
        <v>3186</v>
      </c>
      <c r="P4148" s="12">
        <v>3186</v>
      </c>
      <c r="Q4148" s="7">
        <v>6878772.7500000028</v>
      </c>
      <c r="R4148" s="44" t="str">
        <f>VLOOKUP(F4148,'Set up'!$A$2:$E$70,5,FALSE)</f>
        <v>Trsf</v>
      </c>
    </row>
    <row r="4149" spans="1:18" ht="16.25" customHeight="1" x14ac:dyDescent="0.35">
      <c r="A4149" s="105" t="s">
        <v>4011</v>
      </c>
      <c r="B4149" s="5">
        <f t="shared" si="1042"/>
        <v>7</v>
      </c>
      <c r="C4149" s="5">
        <f t="shared" si="1043"/>
        <v>2025</v>
      </c>
      <c r="D4149" s="105" t="s">
        <v>4013</v>
      </c>
      <c r="E4149" s="5" t="str">
        <f>VLOOKUP(F4149,'Set up'!$A$2:$C$70,2,FALSE)</f>
        <v>C00000042</v>
      </c>
      <c r="F4149" s="99" t="s">
        <v>2012</v>
      </c>
      <c r="G4149" s="99" t="s">
        <v>1922</v>
      </c>
      <c r="H4149" s="105">
        <v>8</v>
      </c>
      <c r="I4149" s="5" t="str">
        <f>VLOOKUP(F4149,'Set up'!$A$2:$C$70,3,FALSE)</f>
        <v>Cash</v>
      </c>
      <c r="J4149" s="5">
        <f>VLOOKUP(F4149,'Set up'!$A$2:$D$70,4,FALSE)</f>
        <v>0</v>
      </c>
      <c r="K4149" s="4">
        <v>45846</v>
      </c>
      <c r="L4149" s="5">
        <v>7</v>
      </c>
      <c r="M4149" s="5">
        <v>2025</v>
      </c>
      <c r="N4149" s="135">
        <v>1980</v>
      </c>
      <c r="P4149" s="12">
        <v>1980</v>
      </c>
      <c r="Q4149" s="7">
        <v>6880752.7500000028</v>
      </c>
      <c r="R4149" s="44" t="str">
        <f>VLOOKUP(F4149,'Set up'!$A$2:$E$70,5,FALSE)</f>
        <v>Trsf</v>
      </c>
    </row>
    <row r="4150" spans="1:18" ht="16.25" customHeight="1" x14ac:dyDescent="0.35">
      <c r="A4150" s="105" t="s">
        <v>4011</v>
      </c>
      <c r="B4150" s="5">
        <f t="shared" si="1042"/>
        <v>7</v>
      </c>
      <c r="C4150" s="5">
        <f t="shared" si="1043"/>
        <v>2025</v>
      </c>
      <c r="D4150" s="105" t="s">
        <v>4013</v>
      </c>
      <c r="E4150" s="5" t="str">
        <f>VLOOKUP(F4150,'Set up'!$A$2:$C$70,2,FALSE)</f>
        <v>C00000042</v>
      </c>
      <c r="F4150" s="99" t="s">
        <v>2012</v>
      </c>
      <c r="G4150" s="99" t="s">
        <v>2744</v>
      </c>
      <c r="H4150" s="105">
        <v>1</v>
      </c>
      <c r="I4150" s="5" t="str">
        <f>VLOOKUP(F4150,'Set up'!$A$2:$C$70,3,FALSE)</f>
        <v>Cash</v>
      </c>
      <c r="J4150" s="5">
        <f>VLOOKUP(F4150,'Set up'!$A$2:$D$70,4,FALSE)</f>
        <v>0</v>
      </c>
      <c r="K4150" s="4">
        <v>45846</v>
      </c>
      <c r="L4150" s="5">
        <v>7</v>
      </c>
      <c r="M4150" s="5">
        <v>2025</v>
      </c>
      <c r="N4150" s="135">
        <v>975</v>
      </c>
      <c r="P4150" s="12">
        <v>975</v>
      </c>
      <c r="Q4150" s="7">
        <v>6881727.7500000028</v>
      </c>
      <c r="R4150" s="44" t="str">
        <f>VLOOKUP(F4150,'Set up'!$A$2:$E$70,5,FALSE)</f>
        <v>Trsf</v>
      </c>
    </row>
    <row r="4151" spans="1:18" ht="16.25" customHeight="1" x14ac:dyDescent="0.35">
      <c r="A4151" s="105" t="s">
        <v>4011</v>
      </c>
      <c r="B4151" s="5">
        <f t="shared" si="1042"/>
        <v>7</v>
      </c>
      <c r="C4151" s="5">
        <f t="shared" si="1043"/>
        <v>2025</v>
      </c>
      <c r="D4151" s="105" t="s">
        <v>4013</v>
      </c>
      <c r="E4151" s="5" t="str">
        <f>VLOOKUP(F4151,'Set up'!$A$2:$C$70,2,FALSE)</f>
        <v>C00000042</v>
      </c>
      <c r="F4151" s="99" t="s">
        <v>2012</v>
      </c>
      <c r="G4151" s="99" t="s">
        <v>46</v>
      </c>
      <c r="H4151" s="105">
        <v>4</v>
      </c>
      <c r="I4151" s="5" t="str">
        <f>VLOOKUP(F4151,'Set up'!$A$2:$C$70,3,FALSE)</f>
        <v>Cash</v>
      </c>
      <c r="J4151" s="5">
        <f>VLOOKUP(F4151,'Set up'!$A$2:$D$70,4,FALSE)</f>
        <v>0</v>
      </c>
      <c r="K4151" s="4">
        <v>45846</v>
      </c>
      <c r="L4151" s="5">
        <v>7</v>
      </c>
      <c r="M4151" s="5">
        <v>2025</v>
      </c>
      <c r="N4151" s="135">
        <v>460</v>
      </c>
      <c r="P4151" s="12">
        <v>460</v>
      </c>
      <c r="Q4151" s="7">
        <v>6882187.7500000028</v>
      </c>
      <c r="R4151" s="44" t="str">
        <f>VLOOKUP(F4151,'Set up'!$A$2:$E$70,5,FALSE)</f>
        <v>Trsf</v>
      </c>
    </row>
    <row r="4152" spans="1:18" ht="16.25" customHeight="1" x14ac:dyDescent="0.35">
      <c r="A4152" s="105" t="s">
        <v>4014</v>
      </c>
      <c r="B4152" s="5">
        <f t="shared" si="1042"/>
        <v>7</v>
      </c>
      <c r="C4152" s="5">
        <f t="shared" si="1043"/>
        <v>2025</v>
      </c>
      <c r="D4152" s="105" t="s">
        <v>4015</v>
      </c>
      <c r="E4152" s="5" t="str">
        <f>VLOOKUP(F4152,'Set up'!$A$2:$C$70,2,FALSE)</f>
        <v>C00000042</v>
      </c>
      <c r="F4152" s="99" t="s">
        <v>2012</v>
      </c>
      <c r="G4152" s="99" t="s">
        <v>2646</v>
      </c>
      <c r="H4152" s="105">
        <v>2</v>
      </c>
      <c r="I4152" s="5" t="str">
        <f>VLOOKUP(F4152,'Set up'!$A$2:$C$70,3,FALSE)</f>
        <v>Cash</v>
      </c>
      <c r="J4152" s="5">
        <f>VLOOKUP(F4152,'Set up'!$A$2:$D$70,4,FALSE)</f>
        <v>0</v>
      </c>
      <c r="K4152" s="4">
        <v>45848</v>
      </c>
      <c r="L4152" s="5">
        <v>7</v>
      </c>
      <c r="M4152" s="5">
        <v>2025</v>
      </c>
      <c r="N4152" s="135">
        <v>125</v>
      </c>
      <c r="P4152" s="12">
        <v>125</v>
      </c>
      <c r="Q4152" s="7">
        <v>6882312.7500000028</v>
      </c>
      <c r="R4152" s="44" t="str">
        <f>VLOOKUP(F4152,'Set up'!$A$2:$E$70,5,FALSE)</f>
        <v>Trsf</v>
      </c>
    </row>
    <row r="4153" spans="1:18" ht="16.25" customHeight="1" x14ac:dyDescent="0.35">
      <c r="A4153" s="105" t="s">
        <v>4014</v>
      </c>
      <c r="B4153" s="5">
        <f t="shared" si="1042"/>
        <v>7</v>
      </c>
      <c r="C4153" s="5">
        <f t="shared" si="1043"/>
        <v>2025</v>
      </c>
      <c r="D4153" s="105" t="s">
        <v>4016</v>
      </c>
      <c r="E4153" s="5" t="str">
        <f>VLOOKUP(F4153,'Set up'!$A$2:$C$70,2,FALSE)</f>
        <v>C00000042</v>
      </c>
      <c r="F4153" s="99" t="s">
        <v>2012</v>
      </c>
      <c r="G4153" s="99" t="s">
        <v>3217</v>
      </c>
      <c r="H4153" s="105">
        <v>5</v>
      </c>
      <c r="I4153" s="5" t="str">
        <f>VLOOKUP(F4153,'Set up'!$A$2:$C$70,3,FALSE)</f>
        <v>Cash</v>
      </c>
      <c r="J4153" s="5">
        <f>VLOOKUP(F4153,'Set up'!$A$2:$D$70,4,FALSE)</f>
        <v>0</v>
      </c>
      <c r="K4153" s="4">
        <v>45848</v>
      </c>
      <c r="L4153" s="5">
        <v>7</v>
      </c>
      <c r="M4153" s="5">
        <v>2025</v>
      </c>
      <c r="N4153" s="135">
        <v>8100</v>
      </c>
      <c r="P4153" s="12">
        <v>8100</v>
      </c>
      <c r="Q4153" s="7">
        <v>6890412.7500000028</v>
      </c>
      <c r="R4153" s="44" t="str">
        <f>VLOOKUP(F4153,'Set up'!$A$2:$E$70,5,FALSE)</f>
        <v>Trsf</v>
      </c>
    </row>
    <row r="4154" spans="1:18" ht="16.25" customHeight="1" x14ac:dyDescent="0.35">
      <c r="A4154" s="105" t="s">
        <v>4014</v>
      </c>
      <c r="B4154" s="5">
        <f t="shared" si="1042"/>
        <v>7</v>
      </c>
      <c r="C4154" s="5">
        <f t="shared" si="1043"/>
        <v>2025</v>
      </c>
      <c r="D4154" s="105" t="s">
        <v>4016</v>
      </c>
      <c r="E4154" s="5" t="str">
        <f>VLOOKUP(F4154,'Set up'!$A$2:$C$70,2,FALSE)</f>
        <v>C00000042</v>
      </c>
      <c r="F4154" s="99" t="s">
        <v>2012</v>
      </c>
      <c r="G4154" s="99" t="s">
        <v>2129</v>
      </c>
      <c r="H4154" s="105">
        <v>15</v>
      </c>
      <c r="I4154" s="5" t="str">
        <f>VLOOKUP(F4154,'Set up'!$A$2:$C$70,3,FALSE)</f>
        <v>Cash</v>
      </c>
      <c r="J4154" s="5">
        <f>VLOOKUP(F4154,'Set up'!$A$2:$D$70,4,FALSE)</f>
        <v>0</v>
      </c>
      <c r="K4154" s="4">
        <v>45848</v>
      </c>
      <c r="L4154" s="5">
        <v>7</v>
      </c>
      <c r="M4154" s="5">
        <v>2025</v>
      </c>
      <c r="N4154" s="135">
        <v>3274.5</v>
      </c>
      <c r="P4154" s="12">
        <v>3274.5</v>
      </c>
      <c r="Q4154" s="7">
        <v>6893687.2500000028</v>
      </c>
      <c r="R4154" s="44" t="str">
        <f>VLOOKUP(F4154,'Set up'!$A$2:$E$70,5,FALSE)</f>
        <v>Trsf</v>
      </c>
    </row>
    <row r="4155" spans="1:18" ht="16.25" customHeight="1" x14ac:dyDescent="0.35">
      <c r="A4155" s="105" t="s">
        <v>4014</v>
      </c>
      <c r="B4155" s="5">
        <f t="shared" si="1042"/>
        <v>7</v>
      </c>
      <c r="C4155" s="5">
        <f t="shared" si="1043"/>
        <v>2025</v>
      </c>
      <c r="D4155" s="105" t="s">
        <v>4016</v>
      </c>
      <c r="E4155" s="5" t="str">
        <f>VLOOKUP(F4155,'Set up'!$A$2:$C$70,2,FALSE)</f>
        <v>C00000042</v>
      </c>
      <c r="F4155" s="99" t="s">
        <v>2012</v>
      </c>
      <c r="G4155" s="99" t="s">
        <v>1922</v>
      </c>
      <c r="H4155" s="105">
        <v>10</v>
      </c>
      <c r="I4155" s="5" t="str">
        <f>VLOOKUP(F4155,'Set up'!$A$2:$C$70,3,FALSE)</f>
        <v>Cash</v>
      </c>
      <c r="J4155" s="5">
        <f>VLOOKUP(F4155,'Set up'!$A$2:$D$70,4,FALSE)</f>
        <v>0</v>
      </c>
      <c r="K4155" s="4">
        <v>45848</v>
      </c>
      <c r="L4155" s="5">
        <v>7</v>
      </c>
      <c r="M4155" s="5">
        <v>2025</v>
      </c>
      <c r="N4155" s="135">
        <v>2475</v>
      </c>
      <c r="P4155" s="12">
        <v>2475</v>
      </c>
      <c r="Q4155" s="7">
        <v>6896162.2500000028</v>
      </c>
      <c r="R4155" s="44" t="str">
        <f>VLOOKUP(F4155,'Set up'!$A$2:$E$70,5,FALSE)</f>
        <v>Trsf</v>
      </c>
    </row>
    <row r="4156" spans="1:18" ht="16.25" customHeight="1" x14ac:dyDescent="0.35">
      <c r="A4156" s="105" t="s">
        <v>4014</v>
      </c>
      <c r="B4156" s="5">
        <f t="shared" si="1042"/>
        <v>7</v>
      </c>
      <c r="C4156" s="5">
        <f t="shared" si="1043"/>
        <v>2025</v>
      </c>
      <c r="D4156" s="105" t="s">
        <v>4016</v>
      </c>
      <c r="E4156" s="5" t="str">
        <f>VLOOKUP(F4156,'Set up'!$A$2:$C$70,2,FALSE)</f>
        <v>C00000042</v>
      </c>
      <c r="F4156" s="99" t="s">
        <v>2012</v>
      </c>
      <c r="G4156" s="99" t="s">
        <v>1073</v>
      </c>
      <c r="H4156" s="105">
        <v>1</v>
      </c>
      <c r="I4156" s="5" t="str">
        <f>VLOOKUP(F4156,'Set up'!$A$2:$C$70,3,FALSE)</f>
        <v>Cash</v>
      </c>
      <c r="J4156" s="5">
        <f>VLOOKUP(F4156,'Set up'!$A$2:$D$70,4,FALSE)</f>
        <v>0</v>
      </c>
      <c r="K4156" s="4">
        <v>45848</v>
      </c>
      <c r="L4156" s="5">
        <v>7</v>
      </c>
      <c r="M4156" s="5">
        <v>2025</v>
      </c>
      <c r="N4156" s="135">
        <v>1000</v>
      </c>
      <c r="P4156" s="12">
        <v>1000</v>
      </c>
      <c r="Q4156" s="7">
        <v>6897162.2500000028</v>
      </c>
      <c r="R4156" s="44" t="str">
        <f>VLOOKUP(F4156,'Set up'!$A$2:$E$70,5,FALSE)</f>
        <v>Trsf</v>
      </c>
    </row>
    <row r="4157" spans="1:18" ht="16.25" customHeight="1" x14ac:dyDescent="0.35">
      <c r="A4157" s="105">
        <v>45849</v>
      </c>
      <c r="B4157" s="5">
        <f t="shared" si="1042"/>
        <v>7</v>
      </c>
      <c r="C4157" s="5">
        <f t="shared" si="1043"/>
        <v>2025</v>
      </c>
      <c r="D4157" s="105" t="s">
        <v>4017</v>
      </c>
      <c r="E4157" s="5" t="str">
        <f>VLOOKUP(F4157,'Set up'!$A$2:$C$70,2,FALSE)</f>
        <v>C00000010</v>
      </c>
      <c r="F4157" s="99" t="s">
        <v>62</v>
      </c>
      <c r="G4157" s="99" t="s">
        <v>4018</v>
      </c>
      <c r="H4157" s="105">
        <v>1</v>
      </c>
      <c r="I4157" s="5">
        <f>VLOOKUP(F4157,'Set up'!$A$2:$C$70,3,FALSE)</f>
        <v>120</v>
      </c>
      <c r="J4157" s="5">
        <f>VLOOKUP(F4157,'Set up'!$A$2:$D$70,4,FALSE)</f>
        <v>120</v>
      </c>
      <c r="K4157" s="4">
        <v>45969</v>
      </c>
      <c r="L4157" s="5">
        <v>11</v>
      </c>
      <c r="M4157" s="5">
        <v>2025</v>
      </c>
      <c r="N4157" s="135">
        <v>0</v>
      </c>
      <c r="P4157" s="12">
        <f t="shared" ref="P4157" si="1049">SUM(N4157+O4157)</f>
        <v>0</v>
      </c>
      <c r="Q4157" s="7">
        <v>6897162.2500000028</v>
      </c>
      <c r="R4157" s="44" t="str">
        <f>VLOOKUP(F4157,'Set up'!$A$2:$E$70,5,FALSE)</f>
        <v>Trsf</v>
      </c>
    </row>
    <row r="4158" spans="1:18" ht="16.25" customHeight="1" x14ac:dyDescent="0.35">
      <c r="A4158" s="105" t="s">
        <v>4019</v>
      </c>
      <c r="B4158" s="5">
        <f t="shared" si="1042"/>
        <v>7</v>
      </c>
      <c r="C4158" s="5">
        <f t="shared" si="1043"/>
        <v>2025</v>
      </c>
      <c r="D4158" s="105" t="s">
        <v>4020</v>
      </c>
      <c r="E4158" s="5" t="str">
        <f>VLOOKUP(F4158,'Set up'!$A$2:$C$70,2,FALSE)</f>
        <v>C00000042</v>
      </c>
      <c r="F4158" s="99" t="s">
        <v>2012</v>
      </c>
      <c r="G4158" s="99" t="s">
        <v>2646</v>
      </c>
      <c r="H4158" s="105">
        <v>2</v>
      </c>
      <c r="I4158" s="5" t="str">
        <f>VLOOKUP(F4158,'Set up'!$A$2:$C$70,3,FALSE)</f>
        <v>Cash</v>
      </c>
      <c r="J4158" s="5">
        <f>VLOOKUP(F4158,'Set up'!$A$2:$D$70,4,FALSE)</f>
        <v>0</v>
      </c>
      <c r="K4158" s="4">
        <v>45853</v>
      </c>
      <c r="L4158" s="5">
        <v>7</v>
      </c>
      <c r="M4158" s="5">
        <v>2025</v>
      </c>
      <c r="N4158" s="135">
        <v>125</v>
      </c>
      <c r="P4158" s="12">
        <v>125</v>
      </c>
      <c r="Q4158" s="7">
        <v>6897287.2500000028</v>
      </c>
      <c r="R4158" s="44" t="str">
        <f>VLOOKUP(F4158,'Set up'!$A$2:$E$70,5,FALSE)</f>
        <v>Trsf</v>
      </c>
    </row>
    <row r="4159" spans="1:18" ht="16.25" customHeight="1" x14ac:dyDescent="0.35">
      <c r="A4159" s="105" t="s">
        <v>4019</v>
      </c>
      <c r="B4159" s="5">
        <f t="shared" si="1042"/>
        <v>7</v>
      </c>
      <c r="C4159" s="5">
        <f t="shared" si="1043"/>
        <v>2025</v>
      </c>
      <c r="D4159" s="105" t="s">
        <v>4021</v>
      </c>
      <c r="E4159" s="5" t="str">
        <f>VLOOKUP(F4159,'Set up'!$A$2:$C$70,2,FALSE)</f>
        <v>C00000042</v>
      </c>
      <c r="F4159" s="99" t="s">
        <v>2012</v>
      </c>
      <c r="G4159" s="99" t="s">
        <v>3217</v>
      </c>
      <c r="H4159" s="105">
        <v>6</v>
      </c>
      <c r="I4159" s="5" t="str">
        <f>VLOOKUP(F4159,'Set up'!$A$2:$C$70,3,FALSE)</f>
        <v>Cash</v>
      </c>
      <c r="J4159" s="5">
        <f>VLOOKUP(F4159,'Set up'!$A$2:$D$70,4,FALSE)</f>
        <v>0</v>
      </c>
      <c r="K4159" s="4">
        <v>45853</v>
      </c>
      <c r="L4159" s="5">
        <v>7</v>
      </c>
      <c r="M4159" s="5">
        <v>2025</v>
      </c>
      <c r="N4159" s="135">
        <v>9720</v>
      </c>
      <c r="P4159" s="12">
        <v>9720</v>
      </c>
      <c r="Q4159" s="7">
        <v>6907007.2500000028</v>
      </c>
      <c r="R4159" s="44" t="str">
        <f>VLOOKUP(F4159,'Set up'!$A$2:$E$70,5,FALSE)</f>
        <v>Trsf</v>
      </c>
    </row>
    <row r="4160" spans="1:18" ht="16.25" customHeight="1" x14ac:dyDescent="0.35">
      <c r="A4160" s="105" t="s">
        <v>4019</v>
      </c>
      <c r="B4160" s="5">
        <f t="shared" si="1042"/>
        <v>7</v>
      </c>
      <c r="C4160" s="5">
        <f t="shared" si="1043"/>
        <v>2025</v>
      </c>
      <c r="D4160" s="105" t="s">
        <v>4021</v>
      </c>
      <c r="E4160" s="5" t="str">
        <f>VLOOKUP(F4160,'Set up'!$A$2:$C$70,2,FALSE)</f>
        <v>C00000042</v>
      </c>
      <c r="F4160" s="99" t="s">
        <v>2012</v>
      </c>
      <c r="G4160" s="99" t="s">
        <v>3243</v>
      </c>
      <c r="H4160" s="105">
        <v>18</v>
      </c>
      <c r="I4160" s="5" t="str">
        <f>VLOOKUP(F4160,'Set up'!$A$2:$C$70,3,FALSE)</f>
        <v>Cash</v>
      </c>
      <c r="J4160" s="5">
        <f>VLOOKUP(F4160,'Set up'!$A$2:$D$70,4,FALSE)</f>
        <v>0</v>
      </c>
      <c r="K4160" s="4">
        <v>45853</v>
      </c>
      <c r="L4160" s="5">
        <v>7</v>
      </c>
      <c r="M4160" s="5">
        <v>2025</v>
      </c>
      <c r="N4160" s="135">
        <v>3186</v>
      </c>
      <c r="P4160" s="12">
        <v>3186</v>
      </c>
      <c r="Q4160" s="7">
        <v>6910193.2500000028</v>
      </c>
      <c r="R4160" s="44" t="str">
        <f>VLOOKUP(F4160,'Set up'!$A$2:$E$70,5,FALSE)</f>
        <v>Trsf</v>
      </c>
    </row>
    <row r="4161" spans="1:19" ht="16.25" customHeight="1" x14ac:dyDescent="0.35">
      <c r="A4161" s="105" t="s">
        <v>4019</v>
      </c>
      <c r="B4161" s="5">
        <f t="shared" si="1042"/>
        <v>7</v>
      </c>
      <c r="C4161" s="5">
        <f t="shared" si="1043"/>
        <v>2025</v>
      </c>
      <c r="D4161" s="105" t="s">
        <v>4021</v>
      </c>
      <c r="E4161" s="5" t="str">
        <f>VLOOKUP(F4161,'Set up'!$A$2:$C$70,2,FALSE)</f>
        <v>C00000042</v>
      </c>
      <c r="F4161" s="99" t="s">
        <v>2012</v>
      </c>
      <c r="G4161" s="99" t="s">
        <v>1922</v>
      </c>
      <c r="H4161" s="105">
        <v>9</v>
      </c>
      <c r="I4161" s="5" t="str">
        <f>VLOOKUP(F4161,'Set up'!$A$2:$C$70,3,FALSE)</f>
        <v>Cash</v>
      </c>
      <c r="J4161" s="5">
        <f>VLOOKUP(F4161,'Set up'!$A$2:$D$70,4,FALSE)</f>
        <v>0</v>
      </c>
      <c r="K4161" s="4">
        <v>45853</v>
      </c>
      <c r="L4161" s="5">
        <v>7</v>
      </c>
      <c r="M4161" s="5">
        <v>2025</v>
      </c>
      <c r="N4161" s="135">
        <v>2227.5</v>
      </c>
      <c r="P4161" s="12">
        <v>2227.5</v>
      </c>
      <c r="Q4161" s="7">
        <v>6912420.7500000028</v>
      </c>
      <c r="R4161" s="44" t="str">
        <f>VLOOKUP(F4161,'Set up'!$A$2:$E$70,5,FALSE)</f>
        <v>Trsf</v>
      </c>
    </row>
    <row r="4162" spans="1:19" ht="16.25" customHeight="1" x14ac:dyDescent="0.35">
      <c r="A4162" s="105" t="s">
        <v>4019</v>
      </c>
      <c r="B4162" s="5">
        <f t="shared" si="1042"/>
        <v>7</v>
      </c>
      <c r="C4162" s="5">
        <f t="shared" si="1043"/>
        <v>2025</v>
      </c>
      <c r="D4162" s="105" t="s">
        <v>4021</v>
      </c>
      <c r="E4162" s="5" t="str">
        <f>VLOOKUP(F4162,'Set up'!$A$2:$C$70,2,FALSE)</f>
        <v>C00000042</v>
      </c>
      <c r="F4162" s="99" t="s">
        <v>2012</v>
      </c>
      <c r="G4162" s="99" t="s">
        <v>46</v>
      </c>
      <c r="H4162" s="105">
        <v>4</v>
      </c>
      <c r="I4162" s="5" t="str">
        <f>VLOOKUP(F4162,'Set up'!$A$2:$C$70,3,FALSE)</f>
        <v>Cash</v>
      </c>
      <c r="J4162" s="5">
        <f>VLOOKUP(F4162,'Set up'!$A$2:$D$70,4,FALSE)</f>
        <v>0</v>
      </c>
      <c r="K4162" s="4">
        <v>45853</v>
      </c>
      <c r="L4162" s="5">
        <v>7</v>
      </c>
      <c r="M4162" s="5">
        <v>2025</v>
      </c>
      <c r="N4162" s="135">
        <v>460</v>
      </c>
      <c r="P4162" s="12">
        <v>460</v>
      </c>
      <c r="Q4162" s="7">
        <v>6912880.7500000028</v>
      </c>
      <c r="R4162" s="44" t="str">
        <f>VLOOKUP(F4162,'Set up'!$A$2:$E$70,5,FALSE)</f>
        <v>Trsf</v>
      </c>
    </row>
    <row r="4163" spans="1:19" ht="16.25" customHeight="1" x14ac:dyDescent="0.35">
      <c r="A4163" s="105" t="s">
        <v>4019</v>
      </c>
      <c r="B4163" s="5">
        <f t="shared" ref="B4163:B4226" si="1050">MONTH(A4163)</f>
        <v>7</v>
      </c>
      <c r="C4163" s="5">
        <f t="shared" ref="C4163:C4226" si="1051">YEAR(A4163)</f>
        <v>2025</v>
      </c>
      <c r="D4163" s="105" t="s">
        <v>4021</v>
      </c>
      <c r="E4163" s="5" t="str">
        <f>VLOOKUP(F4163,'Set up'!$A$2:$C$70,2,FALSE)</f>
        <v>C00000042</v>
      </c>
      <c r="F4163" s="99" t="s">
        <v>2012</v>
      </c>
      <c r="G4163" s="99" t="s">
        <v>2744</v>
      </c>
      <c r="H4163" s="105">
        <v>1</v>
      </c>
      <c r="I4163" s="5" t="str">
        <f>VLOOKUP(F4163,'Set up'!$A$2:$C$70,3,FALSE)</f>
        <v>Cash</v>
      </c>
      <c r="J4163" s="5">
        <f>VLOOKUP(F4163,'Set up'!$A$2:$D$70,4,FALSE)</f>
        <v>0</v>
      </c>
      <c r="K4163" s="4">
        <v>45853</v>
      </c>
      <c r="L4163" s="5">
        <v>7</v>
      </c>
      <c r="M4163" s="5">
        <v>2025</v>
      </c>
      <c r="N4163" s="135">
        <v>975</v>
      </c>
      <c r="P4163" s="12">
        <v>975</v>
      </c>
      <c r="Q4163" s="7">
        <v>6913855.7500000028</v>
      </c>
      <c r="R4163" s="44" t="str">
        <f>VLOOKUP(F4163,'Set up'!$A$2:$E$70,5,FALSE)</f>
        <v>Trsf</v>
      </c>
    </row>
    <row r="4164" spans="1:19" ht="16.25" customHeight="1" x14ac:dyDescent="0.35">
      <c r="A4164" s="105" t="s">
        <v>4022</v>
      </c>
      <c r="B4164" s="5">
        <f t="shared" si="1050"/>
        <v>7</v>
      </c>
      <c r="C4164" s="5">
        <f t="shared" si="1051"/>
        <v>2025</v>
      </c>
      <c r="D4164" s="105" t="s">
        <v>4023</v>
      </c>
      <c r="E4164" s="5" t="str">
        <f>VLOOKUP(F4164,'Set up'!$A$2:$C$70,2,FALSE)</f>
        <v>C00000019</v>
      </c>
      <c r="F4164" s="99" t="s">
        <v>400</v>
      </c>
      <c r="G4164" s="99" t="s">
        <v>3122</v>
      </c>
      <c r="H4164" s="105">
        <v>1</v>
      </c>
      <c r="I4164" s="5" t="str">
        <f>VLOOKUP(F4164,'Set up'!$A$2:$C$70,3,FALSE)</f>
        <v>Cash</v>
      </c>
      <c r="J4164" s="5">
        <f>VLOOKUP(F4164,'Set up'!$A$2:$D$70,4,FALSE)</f>
        <v>0</v>
      </c>
      <c r="K4164" s="4">
        <v>45854</v>
      </c>
      <c r="L4164" s="5">
        <v>7</v>
      </c>
      <c r="M4164" s="5">
        <v>2025</v>
      </c>
      <c r="N4164" s="135">
        <v>1710</v>
      </c>
      <c r="P4164" s="12">
        <v>1710</v>
      </c>
      <c r="Q4164" s="7">
        <v>6915565.7500000028</v>
      </c>
      <c r="R4164" s="44" t="str">
        <f>VLOOKUP(F4164,'Set up'!$A$2:$E$70,5,FALSE)</f>
        <v>Trsf</v>
      </c>
    </row>
    <row r="4165" spans="1:19" ht="16.25" customHeight="1" x14ac:dyDescent="0.35">
      <c r="A4165" s="105" t="s">
        <v>4022</v>
      </c>
      <c r="B4165" s="5">
        <f t="shared" si="1050"/>
        <v>7</v>
      </c>
      <c r="C4165" s="5">
        <f t="shared" si="1051"/>
        <v>2025</v>
      </c>
      <c r="D4165" s="105" t="s">
        <v>4023</v>
      </c>
      <c r="E4165" s="5" t="str">
        <f>VLOOKUP(F4165,'Set up'!$A$2:$C$70,2,FALSE)</f>
        <v>C00000019</v>
      </c>
      <c r="F4165" s="99" t="s">
        <v>400</v>
      </c>
      <c r="G4165" s="99" t="s">
        <v>1411</v>
      </c>
      <c r="H4165" s="105">
        <v>1</v>
      </c>
      <c r="I4165" s="5" t="str">
        <f>VLOOKUP(F4165,'Set up'!$A$2:$C$70,3,FALSE)</f>
        <v>Cash</v>
      </c>
      <c r="J4165" s="5">
        <f>VLOOKUP(F4165,'Set up'!$A$2:$D$70,4,FALSE)</f>
        <v>0</v>
      </c>
      <c r="K4165" s="4">
        <v>45854</v>
      </c>
      <c r="L4165" s="5">
        <v>7</v>
      </c>
      <c r="M4165" s="5">
        <v>2025</v>
      </c>
      <c r="N4165" s="135">
        <v>405</v>
      </c>
      <c r="P4165" s="12">
        <v>405</v>
      </c>
      <c r="Q4165" s="7">
        <v>6915970.7500000028</v>
      </c>
      <c r="R4165" s="44" t="str">
        <f>VLOOKUP(F4165,'Set up'!$A$2:$E$70,5,FALSE)</f>
        <v>Trsf</v>
      </c>
    </row>
    <row r="4166" spans="1:19" ht="16.25" customHeight="1" x14ac:dyDescent="0.35">
      <c r="A4166" s="105" t="s">
        <v>4022</v>
      </c>
      <c r="B4166" s="5">
        <f t="shared" si="1050"/>
        <v>7</v>
      </c>
      <c r="C4166" s="5">
        <f t="shared" si="1051"/>
        <v>2025</v>
      </c>
      <c r="D4166" s="105" t="s">
        <v>4023</v>
      </c>
      <c r="E4166" s="5" t="str">
        <f>VLOOKUP(F4166,'Set up'!$A$2:$C$70,2,FALSE)</f>
        <v>C00000019</v>
      </c>
      <c r="F4166" s="99" t="s">
        <v>400</v>
      </c>
      <c r="G4166" s="99" t="s">
        <v>46</v>
      </c>
      <c r="H4166" s="105">
        <v>1</v>
      </c>
      <c r="I4166" s="5" t="str">
        <f>VLOOKUP(F4166,'Set up'!$A$2:$C$70,3,FALSE)</f>
        <v>Cash</v>
      </c>
      <c r="J4166" s="5">
        <f>VLOOKUP(F4166,'Set up'!$A$2:$D$70,4,FALSE)</f>
        <v>0</v>
      </c>
      <c r="K4166" s="4">
        <v>45854</v>
      </c>
      <c r="L4166" s="5">
        <v>7</v>
      </c>
      <c r="M4166" s="5">
        <v>2025</v>
      </c>
      <c r="N4166" s="135">
        <v>110</v>
      </c>
      <c r="P4166" s="12">
        <v>110</v>
      </c>
      <c r="Q4166" s="7">
        <v>6916080.7500000028</v>
      </c>
      <c r="R4166" s="44" t="str">
        <f>VLOOKUP(F4166,'Set up'!$A$2:$E$70,5,FALSE)</f>
        <v>Trsf</v>
      </c>
    </row>
    <row r="4167" spans="1:19" ht="16.25" customHeight="1" x14ac:dyDescent="0.35">
      <c r="A4167" s="105" t="s">
        <v>4022</v>
      </c>
      <c r="B4167" s="5">
        <f t="shared" si="1050"/>
        <v>7</v>
      </c>
      <c r="C4167" s="5">
        <f t="shared" si="1051"/>
        <v>2025</v>
      </c>
      <c r="D4167" s="105" t="s">
        <v>4023</v>
      </c>
      <c r="E4167" s="5" t="str">
        <f>VLOOKUP(F4167,'Set up'!$A$2:$C$70,2,FALSE)</f>
        <v>C00000019</v>
      </c>
      <c r="F4167" s="99" t="s">
        <v>400</v>
      </c>
      <c r="G4167" s="99" t="s">
        <v>2635</v>
      </c>
      <c r="H4167" s="105">
        <v>1</v>
      </c>
      <c r="I4167" s="5" t="str">
        <f>VLOOKUP(F4167,'Set up'!$A$2:$C$70,3,FALSE)</f>
        <v>Cash</v>
      </c>
      <c r="J4167" s="5">
        <f>VLOOKUP(F4167,'Set up'!$A$2:$D$70,4,FALSE)</f>
        <v>0</v>
      </c>
      <c r="K4167" s="4">
        <v>45854</v>
      </c>
      <c r="L4167" s="5">
        <v>7</v>
      </c>
      <c r="M4167" s="5">
        <v>2025</v>
      </c>
      <c r="N4167" s="135">
        <v>62.5</v>
      </c>
      <c r="P4167" s="12">
        <v>62.5</v>
      </c>
      <c r="Q4167" s="7">
        <v>6916143.2500000028</v>
      </c>
      <c r="R4167" s="44" t="str">
        <f>VLOOKUP(F4167,'Set up'!$A$2:$E$70,5,FALSE)</f>
        <v>Trsf</v>
      </c>
    </row>
    <row r="4168" spans="1:19" ht="16.25" customHeight="1" x14ac:dyDescent="0.35">
      <c r="A4168" s="105" t="s">
        <v>4022</v>
      </c>
      <c r="B4168" s="5">
        <f t="shared" si="1050"/>
        <v>7</v>
      </c>
      <c r="C4168" s="5">
        <f t="shared" si="1051"/>
        <v>2025</v>
      </c>
      <c r="D4168" s="105" t="s">
        <v>4023</v>
      </c>
      <c r="E4168" s="5" t="str">
        <f>VLOOKUP(F4168,'Set up'!$A$2:$C$70,2,FALSE)</f>
        <v>C00000019</v>
      </c>
      <c r="F4168" s="99" t="s">
        <v>400</v>
      </c>
      <c r="G4168" s="99" t="s">
        <v>2449</v>
      </c>
      <c r="H4168" s="105">
        <v>1</v>
      </c>
      <c r="I4168" s="5" t="str">
        <f>VLOOKUP(F4168,'Set up'!$A$2:$C$70,3,FALSE)</f>
        <v>Cash</v>
      </c>
      <c r="J4168" s="5">
        <f>VLOOKUP(F4168,'Set up'!$A$2:$D$70,4,FALSE)</f>
        <v>0</v>
      </c>
      <c r="K4168" s="4">
        <v>45854</v>
      </c>
      <c r="L4168" s="5">
        <v>7</v>
      </c>
      <c r="M4168" s="5">
        <v>2025</v>
      </c>
      <c r="N4168" s="135">
        <v>420</v>
      </c>
      <c r="P4168" s="12">
        <v>420</v>
      </c>
      <c r="Q4168" s="7">
        <v>6916563.2500000028</v>
      </c>
      <c r="R4168" s="44" t="str">
        <f>VLOOKUP(F4168,'Set up'!$A$2:$E$70,5,FALSE)</f>
        <v>Trsf</v>
      </c>
    </row>
    <row r="4169" spans="1:19" ht="16.25" customHeight="1" x14ac:dyDescent="0.35">
      <c r="A4169" s="105" t="s">
        <v>4022</v>
      </c>
      <c r="B4169" s="5">
        <f t="shared" si="1050"/>
        <v>7</v>
      </c>
      <c r="C4169" s="5">
        <f t="shared" si="1051"/>
        <v>2025</v>
      </c>
      <c r="D4169" s="105" t="s">
        <v>4023</v>
      </c>
      <c r="E4169" s="5" t="str">
        <f>VLOOKUP(F4169,'Set up'!$A$2:$C$70,2,FALSE)</f>
        <v>C00000019</v>
      </c>
      <c r="F4169" s="99" t="s">
        <v>400</v>
      </c>
      <c r="G4169" s="99" t="s">
        <v>3519</v>
      </c>
      <c r="H4169" s="105">
        <v>1</v>
      </c>
      <c r="I4169" s="5" t="str">
        <f>VLOOKUP(F4169,'Set up'!$A$2:$C$70,3,FALSE)</f>
        <v>Cash</v>
      </c>
      <c r="J4169" s="5">
        <f>VLOOKUP(F4169,'Set up'!$A$2:$D$70,4,FALSE)</f>
        <v>0</v>
      </c>
      <c r="K4169" s="4">
        <v>45854</v>
      </c>
      <c r="L4169" s="5">
        <v>7</v>
      </c>
      <c r="M4169" s="5">
        <v>2025</v>
      </c>
      <c r="N4169" s="135">
        <v>260</v>
      </c>
      <c r="P4169" s="12">
        <v>260</v>
      </c>
      <c r="Q4169" s="7">
        <v>6916823.2500000028</v>
      </c>
      <c r="R4169" s="44" t="str">
        <f>VLOOKUP(F4169,'Set up'!$A$2:$E$70,5,FALSE)</f>
        <v>Trsf</v>
      </c>
    </row>
    <row r="4170" spans="1:19" ht="16.25" customHeight="1" x14ac:dyDescent="0.35">
      <c r="A4170" s="105" t="s">
        <v>4022</v>
      </c>
      <c r="B4170" s="5">
        <f t="shared" si="1050"/>
        <v>7</v>
      </c>
      <c r="C4170" s="5">
        <f t="shared" si="1051"/>
        <v>2025</v>
      </c>
      <c r="D4170" s="105" t="s">
        <v>4023</v>
      </c>
      <c r="E4170" s="5" t="str">
        <f>VLOOKUP(F4170,'Set up'!$A$2:$C$70,2,FALSE)</f>
        <v>C00000019</v>
      </c>
      <c r="F4170" s="99" t="s">
        <v>400</v>
      </c>
      <c r="G4170" s="99" t="s">
        <v>2144</v>
      </c>
      <c r="H4170" s="105">
        <v>1</v>
      </c>
      <c r="I4170" s="5" t="str">
        <f>VLOOKUP(F4170,'Set up'!$A$2:$C$70,3,FALSE)</f>
        <v>Cash</v>
      </c>
      <c r="J4170" s="5">
        <f>VLOOKUP(F4170,'Set up'!$A$2:$D$70,4,FALSE)</f>
        <v>0</v>
      </c>
      <c r="K4170" s="4">
        <v>45854</v>
      </c>
      <c r="L4170" s="5">
        <v>7</v>
      </c>
      <c r="M4170" s="5">
        <v>2025</v>
      </c>
      <c r="N4170" s="135">
        <v>283.8</v>
      </c>
      <c r="P4170" s="12">
        <v>283.8</v>
      </c>
      <c r="Q4170" s="7">
        <v>6917107.0500000026</v>
      </c>
      <c r="R4170" s="44" t="str">
        <f>VLOOKUP(F4170,'Set up'!$A$2:$E$70,5,FALSE)</f>
        <v>Trsf</v>
      </c>
    </row>
    <row r="4171" spans="1:19" ht="16.25" customHeight="1" x14ac:dyDescent="0.35">
      <c r="A4171" s="105" t="s">
        <v>4024</v>
      </c>
      <c r="B4171" s="5">
        <f t="shared" si="1050"/>
        <v>7</v>
      </c>
      <c r="C4171" s="5">
        <f t="shared" si="1051"/>
        <v>2025</v>
      </c>
      <c r="D4171" s="105" t="s">
        <v>4025</v>
      </c>
      <c r="E4171" s="5" t="str">
        <f>VLOOKUP(F4171,'Set up'!$A$2:$C$70,2,FALSE)</f>
        <v>C00000044</v>
      </c>
      <c r="F4171" s="99" t="s">
        <v>2929</v>
      </c>
      <c r="G4171" s="99" t="s">
        <v>3122</v>
      </c>
      <c r="H4171" s="105">
        <v>1</v>
      </c>
      <c r="I4171" s="5" t="str">
        <f>VLOOKUP(F4171,'Set up'!$A$2:$C$70,3,FALSE)</f>
        <v>Cash</v>
      </c>
      <c r="J4171" s="5">
        <f>VLOOKUP(F4171,'Set up'!$A$2:$D$70,4,FALSE)</f>
        <v>0</v>
      </c>
      <c r="K4171" s="4">
        <v>45855</v>
      </c>
      <c r="L4171" s="5">
        <v>7</v>
      </c>
      <c r="M4171" s="5">
        <v>2025</v>
      </c>
      <c r="N4171" s="135">
        <v>1687.5</v>
      </c>
      <c r="O4171" s="6">
        <f t="shared" ref="O4171:O4176" si="1052">-N4171</f>
        <v>-1687.5</v>
      </c>
      <c r="P4171" s="12">
        <f t="shared" ref="P4171:P4176" si="1053">SUM(N4171+O4171)</f>
        <v>0</v>
      </c>
      <c r="Q4171" s="7">
        <v>6918794.5500000026</v>
      </c>
      <c r="R4171" s="44" t="str">
        <f>VLOOKUP(F4171,'Set up'!$A$2:$E$70,5,FALSE)</f>
        <v>Cash</v>
      </c>
      <c r="S4171" s="1" t="s">
        <v>4068</v>
      </c>
    </row>
    <row r="4172" spans="1:19" ht="16.25" customHeight="1" x14ac:dyDescent="0.35">
      <c r="A4172" s="105" t="s">
        <v>4024</v>
      </c>
      <c r="B4172" s="5">
        <f t="shared" si="1050"/>
        <v>7</v>
      </c>
      <c r="C4172" s="5">
        <f t="shared" si="1051"/>
        <v>2025</v>
      </c>
      <c r="D4172" s="105" t="s">
        <v>4025</v>
      </c>
      <c r="E4172" s="5" t="str">
        <f>VLOOKUP(F4172,'Set up'!$A$2:$C$70,2,FALSE)</f>
        <v>C00000044</v>
      </c>
      <c r="F4172" s="99" t="s">
        <v>2929</v>
      </c>
      <c r="G4172" s="99" t="s">
        <v>2570</v>
      </c>
      <c r="H4172" s="105">
        <v>3</v>
      </c>
      <c r="I4172" s="5" t="str">
        <f>VLOOKUP(F4172,'Set up'!$A$2:$C$70,3,FALSE)</f>
        <v>Cash</v>
      </c>
      <c r="J4172" s="5">
        <f>VLOOKUP(F4172,'Set up'!$A$2:$D$70,4,FALSE)</f>
        <v>0</v>
      </c>
      <c r="K4172" s="4">
        <v>45855</v>
      </c>
      <c r="L4172" s="5">
        <v>7</v>
      </c>
      <c r="M4172" s="5">
        <v>2025</v>
      </c>
      <c r="N4172" s="135">
        <v>648</v>
      </c>
      <c r="O4172" s="6">
        <f t="shared" si="1052"/>
        <v>-648</v>
      </c>
      <c r="P4172" s="12">
        <f t="shared" si="1053"/>
        <v>0</v>
      </c>
      <c r="Q4172" s="7">
        <v>6919442.5500000026</v>
      </c>
      <c r="R4172" s="44" t="str">
        <f>VLOOKUP(F4172,'Set up'!$A$2:$E$70,5,FALSE)</f>
        <v>Cash</v>
      </c>
      <c r="S4172" s="1" t="s">
        <v>4068</v>
      </c>
    </row>
    <row r="4173" spans="1:19" ht="16.25" customHeight="1" x14ac:dyDescent="0.35">
      <c r="A4173" s="105" t="s">
        <v>4024</v>
      </c>
      <c r="B4173" s="5">
        <f t="shared" si="1050"/>
        <v>7</v>
      </c>
      <c r="C4173" s="5">
        <f t="shared" si="1051"/>
        <v>2025</v>
      </c>
      <c r="D4173" s="105" t="s">
        <v>4025</v>
      </c>
      <c r="E4173" s="5" t="str">
        <f>VLOOKUP(F4173,'Set up'!$A$2:$C$70,2,FALSE)</f>
        <v>C00000044</v>
      </c>
      <c r="F4173" s="99" t="s">
        <v>2929</v>
      </c>
      <c r="G4173" s="99" t="s">
        <v>3255</v>
      </c>
      <c r="H4173" s="105">
        <v>5</v>
      </c>
      <c r="I4173" s="5" t="str">
        <f>VLOOKUP(F4173,'Set up'!$A$2:$C$70,3,FALSE)</f>
        <v>Cash</v>
      </c>
      <c r="J4173" s="5">
        <f>VLOOKUP(F4173,'Set up'!$A$2:$D$70,4,FALSE)</f>
        <v>0</v>
      </c>
      <c r="K4173" s="4">
        <v>45855</v>
      </c>
      <c r="L4173" s="5">
        <v>7</v>
      </c>
      <c r="M4173" s="5">
        <v>2025</v>
      </c>
      <c r="N4173" s="135">
        <v>875</v>
      </c>
      <c r="O4173" s="6">
        <f t="shared" si="1052"/>
        <v>-875</v>
      </c>
      <c r="P4173" s="12">
        <f t="shared" si="1053"/>
        <v>0</v>
      </c>
      <c r="Q4173" s="7">
        <v>6920317.5500000026</v>
      </c>
      <c r="R4173" s="44" t="str">
        <f>VLOOKUP(F4173,'Set up'!$A$2:$E$70,5,FALSE)</f>
        <v>Cash</v>
      </c>
      <c r="S4173" s="1" t="s">
        <v>4068</v>
      </c>
    </row>
    <row r="4174" spans="1:19" ht="16.25" customHeight="1" x14ac:dyDescent="0.35">
      <c r="A4174" s="105" t="s">
        <v>4024</v>
      </c>
      <c r="B4174" s="5">
        <f t="shared" si="1050"/>
        <v>7</v>
      </c>
      <c r="C4174" s="5">
        <f t="shared" si="1051"/>
        <v>2025</v>
      </c>
      <c r="D4174" s="105" t="s">
        <v>4025</v>
      </c>
      <c r="E4174" s="5" t="str">
        <f>VLOOKUP(F4174,'Set up'!$A$2:$C$70,2,FALSE)</f>
        <v>C00000044</v>
      </c>
      <c r="F4174" s="99" t="s">
        <v>2929</v>
      </c>
      <c r="G4174" s="99" t="s">
        <v>46</v>
      </c>
      <c r="H4174" s="105">
        <v>1</v>
      </c>
      <c r="I4174" s="5" t="str">
        <f>VLOOKUP(F4174,'Set up'!$A$2:$C$70,3,FALSE)</f>
        <v>Cash</v>
      </c>
      <c r="J4174" s="5">
        <f>VLOOKUP(F4174,'Set up'!$A$2:$D$70,4,FALSE)</f>
        <v>0</v>
      </c>
      <c r="K4174" s="4">
        <v>45855</v>
      </c>
      <c r="L4174" s="5">
        <v>7</v>
      </c>
      <c r="M4174" s="5">
        <v>2025</v>
      </c>
      <c r="N4174" s="135">
        <v>115</v>
      </c>
      <c r="O4174" s="6">
        <f t="shared" si="1052"/>
        <v>-115</v>
      </c>
      <c r="P4174" s="12">
        <f t="shared" si="1053"/>
        <v>0</v>
      </c>
      <c r="Q4174" s="7">
        <v>6920432.5500000026</v>
      </c>
      <c r="R4174" s="44" t="str">
        <f>VLOOKUP(F4174,'Set up'!$A$2:$E$70,5,FALSE)</f>
        <v>Cash</v>
      </c>
      <c r="S4174" s="1" t="s">
        <v>4068</v>
      </c>
    </row>
    <row r="4175" spans="1:19" ht="16.25" customHeight="1" x14ac:dyDescent="0.35">
      <c r="A4175" s="105" t="s">
        <v>4024</v>
      </c>
      <c r="B4175" s="5">
        <f t="shared" si="1050"/>
        <v>7</v>
      </c>
      <c r="C4175" s="5">
        <f t="shared" si="1051"/>
        <v>2025</v>
      </c>
      <c r="D4175" s="105" t="s">
        <v>4025</v>
      </c>
      <c r="E4175" s="5" t="str">
        <f>VLOOKUP(F4175,'Set up'!$A$2:$C$70,2,FALSE)</f>
        <v>C00000044</v>
      </c>
      <c r="F4175" s="99" t="s">
        <v>2929</v>
      </c>
      <c r="G4175" s="99" t="s">
        <v>2646</v>
      </c>
      <c r="H4175" s="105">
        <v>1</v>
      </c>
      <c r="I4175" s="5" t="str">
        <f>VLOOKUP(F4175,'Set up'!$A$2:$C$70,3,FALSE)</f>
        <v>Cash</v>
      </c>
      <c r="J4175" s="5">
        <f>VLOOKUP(F4175,'Set up'!$A$2:$D$70,4,FALSE)</f>
        <v>0</v>
      </c>
      <c r="K4175" s="4">
        <v>45855</v>
      </c>
      <c r="L4175" s="5">
        <v>7</v>
      </c>
      <c r="M4175" s="5">
        <v>2025</v>
      </c>
      <c r="N4175" s="135">
        <v>62.5</v>
      </c>
      <c r="O4175" s="6">
        <f t="shared" si="1052"/>
        <v>-62.5</v>
      </c>
      <c r="P4175" s="12">
        <f t="shared" si="1053"/>
        <v>0</v>
      </c>
      <c r="Q4175" s="7">
        <v>6920495.0500000026</v>
      </c>
      <c r="R4175" s="44" t="str">
        <f>VLOOKUP(F4175,'Set up'!$A$2:$E$70,5,FALSE)</f>
        <v>Cash</v>
      </c>
      <c r="S4175" s="1" t="s">
        <v>4068</v>
      </c>
    </row>
    <row r="4176" spans="1:19" ht="16.25" customHeight="1" x14ac:dyDescent="0.35">
      <c r="A4176" s="105" t="s">
        <v>4024</v>
      </c>
      <c r="B4176" s="5">
        <f t="shared" si="1050"/>
        <v>7</v>
      </c>
      <c r="C4176" s="5">
        <f t="shared" si="1051"/>
        <v>2025</v>
      </c>
      <c r="D4176" s="105" t="s">
        <v>4025</v>
      </c>
      <c r="E4176" s="5" t="str">
        <f>VLOOKUP(F4176,'Set up'!$A$2:$C$70,2,FALSE)</f>
        <v>C00000044</v>
      </c>
      <c r="F4176" s="99" t="s">
        <v>2929</v>
      </c>
      <c r="G4176" s="99" t="s">
        <v>1715</v>
      </c>
      <c r="H4176" s="105">
        <v>1</v>
      </c>
      <c r="I4176" s="5" t="str">
        <f>VLOOKUP(F4176,'Set up'!$A$2:$C$70,3,FALSE)</f>
        <v>Cash</v>
      </c>
      <c r="J4176" s="5">
        <f>VLOOKUP(F4176,'Set up'!$A$2:$D$70,4,FALSE)</f>
        <v>0</v>
      </c>
      <c r="K4176" s="4">
        <v>45855</v>
      </c>
      <c r="L4176" s="5">
        <v>7</v>
      </c>
      <c r="M4176" s="5">
        <v>2025</v>
      </c>
      <c r="N4176" s="135">
        <v>165</v>
      </c>
      <c r="O4176" s="6">
        <f t="shared" si="1052"/>
        <v>-165</v>
      </c>
      <c r="P4176" s="12">
        <f t="shared" si="1053"/>
        <v>0</v>
      </c>
      <c r="Q4176" s="7">
        <v>6920660.0500000026</v>
      </c>
      <c r="R4176" s="44" t="str">
        <f>VLOOKUP(F4176,'Set up'!$A$2:$E$70,5,FALSE)</f>
        <v>Cash</v>
      </c>
      <c r="S4176" s="1" t="s">
        <v>4068</v>
      </c>
    </row>
    <row r="4177" spans="1:18" ht="16.25" customHeight="1" x14ac:dyDescent="0.35">
      <c r="A4177" s="105" t="s">
        <v>4026</v>
      </c>
      <c r="B4177" s="5">
        <f t="shared" si="1050"/>
        <v>7</v>
      </c>
      <c r="C4177" s="5">
        <f t="shared" si="1051"/>
        <v>2025</v>
      </c>
      <c r="D4177" s="105" t="s">
        <v>4027</v>
      </c>
      <c r="E4177" s="5" t="str">
        <f>VLOOKUP(F4177,'Set up'!$A$2:$C$70,2,FALSE)</f>
        <v>C00000042</v>
      </c>
      <c r="F4177" s="99" t="s">
        <v>2012</v>
      </c>
      <c r="G4177" s="99" t="s">
        <v>2646</v>
      </c>
      <c r="H4177" s="105">
        <v>3</v>
      </c>
      <c r="I4177" s="5" t="str">
        <f>VLOOKUP(F4177,'Set up'!$A$2:$C$70,3,FALSE)</f>
        <v>Cash</v>
      </c>
      <c r="J4177" s="5">
        <f>VLOOKUP(F4177,'Set up'!$A$2:$D$70,4,FALSE)</f>
        <v>0</v>
      </c>
      <c r="K4177" s="4">
        <v>45856</v>
      </c>
      <c r="L4177" s="5">
        <v>7</v>
      </c>
      <c r="M4177" s="5">
        <v>2025</v>
      </c>
      <c r="N4177" s="135">
        <v>187.5</v>
      </c>
      <c r="P4177" s="12">
        <v>187.5</v>
      </c>
      <c r="Q4177" s="7">
        <v>6920847.5500000026</v>
      </c>
      <c r="R4177" s="44" t="str">
        <f>VLOOKUP(F4177,'Set up'!$A$2:$E$70,5,FALSE)</f>
        <v>Trsf</v>
      </c>
    </row>
    <row r="4178" spans="1:18" ht="16.25" customHeight="1" x14ac:dyDescent="0.35">
      <c r="A4178" s="105" t="s">
        <v>4026</v>
      </c>
      <c r="B4178" s="5">
        <f t="shared" si="1050"/>
        <v>7</v>
      </c>
      <c r="C4178" s="5">
        <f t="shared" si="1051"/>
        <v>2025</v>
      </c>
      <c r="D4178" s="105" t="s">
        <v>4028</v>
      </c>
      <c r="E4178" s="5" t="str">
        <f>VLOOKUP(F4178,'Set up'!$A$2:$C$70,2,FALSE)</f>
        <v>C00000042</v>
      </c>
      <c r="F4178" s="99" t="s">
        <v>2012</v>
      </c>
      <c r="G4178" s="99" t="s">
        <v>3645</v>
      </c>
      <c r="H4178" s="105">
        <v>6</v>
      </c>
      <c r="I4178" s="5" t="str">
        <f>VLOOKUP(F4178,'Set up'!$A$2:$C$70,3,FALSE)</f>
        <v>Cash</v>
      </c>
      <c r="J4178" s="5">
        <f>VLOOKUP(F4178,'Set up'!$A$2:$D$70,4,FALSE)</f>
        <v>0</v>
      </c>
      <c r="K4178" s="4">
        <v>45856</v>
      </c>
      <c r="L4178" s="5">
        <v>7</v>
      </c>
      <c r="M4178" s="5">
        <v>2025</v>
      </c>
      <c r="N4178" s="135">
        <v>9720</v>
      </c>
      <c r="P4178" s="12">
        <v>9720</v>
      </c>
      <c r="Q4178" s="7">
        <v>6930567.5500000026</v>
      </c>
      <c r="R4178" s="44" t="str">
        <f>VLOOKUP(F4178,'Set up'!$A$2:$E$70,5,FALSE)</f>
        <v>Trsf</v>
      </c>
    </row>
    <row r="4179" spans="1:18" ht="16.25" customHeight="1" x14ac:dyDescent="0.35">
      <c r="A4179" s="105" t="s">
        <v>4026</v>
      </c>
      <c r="B4179" s="5">
        <f t="shared" si="1050"/>
        <v>7</v>
      </c>
      <c r="C4179" s="5">
        <f t="shared" si="1051"/>
        <v>2025</v>
      </c>
      <c r="D4179" s="105" t="s">
        <v>4028</v>
      </c>
      <c r="E4179" s="5" t="str">
        <f>VLOOKUP(F4179,'Set up'!$A$2:$C$70,2,FALSE)</f>
        <v>C00000042</v>
      </c>
      <c r="F4179" s="99" t="s">
        <v>2012</v>
      </c>
      <c r="G4179" s="99" t="s">
        <v>3243</v>
      </c>
      <c r="H4179" s="105">
        <v>12</v>
      </c>
      <c r="I4179" s="5" t="str">
        <f>VLOOKUP(F4179,'Set up'!$A$2:$C$70,3,FALSE)</f>
        <v>Cash</v>
      </c>
      <c r="J4179" s="5">
        <f>VLOOKUP(F4179,'Set up'!$A$2:$D$70,4,FALSE)</f>
        <v>0</v>
      </c>
      <c r="K4179" s="4">
        <v>45856</v>
      </c>
      <c r="L4179" s="5">
        <v>7</v>
      </c>
      <c r="M4179" s="5">
        <v>2025</v>
      </c>
      <c r="N4179" s="135">
        <v>2124</v>
      </c>
      <c r="P4179" s="12">
        <v>2124</v>
      </c>
      <c r="Q4179" s="7">
        <v>6932691.5500000026</v>
      </c>
      <c r="R4179" s="44" t="str">
        <f>VLOOKUP(F4179,'Set up'!$A$2:$E$70,5,FALSE)</f>
        <v>Trsf</v>
      </c>
    </row>
    <row r="4180" spans="1:18" ht="16.25" customHeight="1" x14ac:dyDescent="0.35">
      <c r="A4180" s="105" t="s">
        <v>4026</v>
      </c>
      <c r="B4180" s="5">
        <f t="shared" si="1050"/>
        <v>7</v>
      </c>
      <c r="C4180" s="5">
        <f t="shared" si="1051"/>
        <v>2025</v>
      </c>
      <c r="D4180" s="105" t="s">
        <v>4028</v>
      </c>
      <c r="E4180" s="5" t="str">
        <f>VLOOKUP(F4180,'Set up'!$A$2:$C$70,2,FALSE)</f>
        <v>C00000042</v>
      </c>
      <c r="F4180" s="99" t="s">
        <v>2012</v>
      </c>
      <c r="G4180" s="99" t="s">
        <v>1922</v>
      </c>
      <c r="H4180" s="105">
        <v>7</v>
      </c>
      <c r="I4180" s="5" t="str">
        <f>VLOOKUP(F4180,'Set up'!$A$2:$C$70,3,FALSE)</f>
        <v>Cash</v>
      </c>
      <c r="J4180" s="5">
        <f>VLOOKUP(F4180,'Set up'!$A$2:$D$70,4,FALSE)</f>
        <v>0</v>
      </c>
      <c r="K4180" s="4">
        <v>45856</v>
      </c>
      <c r="L4180" s="5">
        <v>7</v>
      </c>
      <c r="M4180" s="5">
        <v>2025</v>
      </c>
      <c r="N4180" s="135">
        <v>1732.5</v>
      </c>
      <c r="P4180" s="12">
        <v>1732.5</v>
      </c>
      <c r="Q4180" s="7">
        <v>6934424.0500000026</v>
      </c>
      <c r="R4180" s="44" t="str">
        <f>VLOOKUP(F4180,'Set up'!$A$2:$E$70,5,FALSE)</f>
        <v>Trsf</v>
      </c>
    </row>
    <row r="4181" spans="1:18" ht="16.25" customHeight="1" x14ac:dyDescent="0.35">
      <c r="A4181" s="105" t="s">
        <v>4026</v>
      </c>
      <c r="B4181" s="5">
        <f t="shared" si="1050"/>
        <v>7</v>
      </c>
      <c r="C4181" s="5">
        <f t="shared" si="1051"/>
        <v>2025</v>
      </c>
      <c r="D4181" s="105" t="s">
        <v>4028</v>
      </c>
      <c r="E4181" s="5" t="str">
        <f>VLOOKUP(F4181,'Set up'!$A$2:$C$70,2,FALSE)</f>
        <v>C00000042</v>
      </c>
      <c r="F4181" s="99" t="s">
        <v>2012</v>
      </c>
      <c r="G4181" s="99" t="s">
        <v>46</v>
      </c>
      <c r="H4181" s="105">
        <v>8</v>
      </c>
      <c r="I4181" s="5" t="str">
        <f>VLOOKUP(F4181,'Set up'!$A$2:$C$70,3,FALSE)</f>
        <v>Cash</v>
      </c>
      <c r="J4181" s="5">
        <f>VLOOKUP(F4181,'Set up'!$A$2:$D$70,4,FALSE)</f>
        <v>0</v>
      </c>
      <c r="K4181" s="4">
        <v>45856</v>
      </c>
      <c r="L4181" s="5">
        <v>7</v>
      </c>
      <c r="M4181" s="5">
        <v>2025</v>
      </c>
      <c r="N4181" s="135">
        <v>920</v>
      </c>
      <c r="P4181" s="12">
        <v>920</v>
      </c>
      <c r="Q4181" s="7">
        <v>6935344.0500000026</v>
      </c>
      <c r="R4181" s="44" t="str">
        <f>VLOOKUP(F4181,'Set up'!$A$2:$E$70,5,FALSE)</f>
        <v>Trsf</v>
      </c>
    </row>
    <row r="4182" spans="1:18" ht="16.25" customHeight="1" x14ac:dyDescent="0.35">
      <c r="A4182" s="105" t="s">
        <v>4029</v>
      </c>
      <c r="B4182" s="5">
        <f t="shared" si="1050"/>
        <v>7</v>
      </c>
      <c r="C4182" s="5">
        <f t="shared" si="1051"/>
        <v>2025</v>
      </c>
      <c r="D4182" s="105" t="s">
        <v>4030</v>
      </c>
      <c r="E4182" s="5" t="str">
        <f>VLOOKUP(F4182,'Set up'!$A$2:$C$70,2,FALSE)</f>
        <v>C00000010</v>
      </c>
      <c r="F4182" s="99" t="s">
        <v>62</v>
      </c>
      <c r="G4182" s="99" t="s">
        <v>3645</v>
      </c>
      <c r="H4182" s="105">
        <v>5</v>
      </c>
      <c r="I4182" s="5">
        <f>VLOOKUP(F4182,'Set up'!$A$2:$C$70,3,FALSE)</f>
        <v>120</v>
      </c>
      <c r="J4182" s="5">
        <f>VLOOKUP(F4182,'Set up'!$A$2:$D$70,4,FALSE)</f>
        <v>120</v>
      </c>
      <c r="K4182" s="4">
        <v>45979</v>
      </c>
      <c r="L4182" s="5">
        <v>11</v>
      </c>
      <c r="M4182" s="5">
        <v>2025</v>
      </c>
      <c r="N4182" s="135">
        <v>7762.5</v>
      </c>
      <c r="P4182" s="12">
        <f t="shared" ref="P4182:P4187" si="1054">SUM(N4182+O4182)</f>
        <v>7762.5</v>
      </c>
      <c r="Q4182" s="7">
        <v>6943106.5500000026</v>
      </c>
      <c r="R4182" s="44" t="str">
        <f>VLOOKUP(F4182,'Set up'!$A$2:$E$70,5,FALSE)</f>
        <v>Trsf</v>
      </c>
    </row>
    <row r="4183" spans="1:18" ht="16.25" customHeight="1" x14ac:dyDescent="0.35">
      <c r="A4183" s="105" t="s">
        <v>4029</v>
      </c>
      <c r="B4183" s="5">
        <f t="shared" si="1050"/>
        <v>7</v>
      </c>
      <c r="C4183" s="5">
        <f t="shared" si="1051"/>
        <v>2025</v>
      </c>
      <c r="D4183" s="105" t="s">
        <v>4030</v>
      </c>
      <c r="E4183" s="5" t="str">
        <f>VLOOKUP(F4183,'Set up'!$A$2:$C$70,2,FALSE)</f>
        <v>C00000010</v>
      </c>
      <c r="F4183" s="99" t="s">
        <v>62</v>
      </c>
      <c r="G4183" s="99" t="s">
        <v>2129</v>
      </c>
      <c r="H4183" s="105">
        <v>15</v>
      </c>
      <c r="I4183" s="5">
        <f>VLOOKUP(F4183,'Set up'!$A$2:$C$70,3,FALSE)</f>
        <v>120</v>
      </c>
      <c r="J4183" s="5">
        <f>VLOOKUP(F4183,'Set up'!$A$2:$D$70,4,FALSE)</f>
        <v>120</v>
      </c>
      <c r="K4183" s="4">
        <v>45979</v>
      </c>
      <c r="L4183" s="5">
        <v>11</v>
      </c>
      <c r="M4183" s="5">
        <v>2025</v>
      </c>
      <c r="N4183" s="135">
        <v>3219</v>
      </c>
      <c r="P4183" s="12">
        <f t="shared" si="1054"/>
        <v>3219</v>
      </c>
      <c r="Q4183" s="7">
        <v>6946325.5500000026</v>
      </c>
      <c r="R4183" s="44" t="str">
        <f>VLOOKUP(F4183,'Set up'!$A$2:$E$70,5,FALSE)</f>
        <v>Trsf</v>
      </c>
    </row>
    <row r="4184" spans="1:18" ht="16.25" customHeight="1" x14ac:dyDescent="0.35">
      <c r="A4184" s="105" t="s">
        <v>4029</v>
      </c>
      <c r="B4184" s="5">
        <f t="shared" si="1050"/>
        <v>7</v>
      </c>
      <c r="C4184" s="5">
        <f t="shared" si="1051"/>
        <v>2025</v>
      </c>
      <c r="D4184" s="105" t="s">
        <v>4030</v>
      </c>
      <c r="E4184" s="5" t="str">
        <f>VLOOKUP(F4184,'Set up'!$A$2:$C$70,2,FALSE)</f>
        <v>C00000010</v>
      </c>
      <c r="F4184" s="99" t="s">
        <v>62</v>
      </c>
      <c r="G4184" s="99" t="s">
        <v>946</v>
      </c>
      <c r="H4184" s="105">
        <v>4</v>
      </c>
      <c r="I4184" s="5">
        <f>VLOOKUP(F4184,'Set up'!$A$2:$C$70,3,FALSE)</f>
        <v>120</v>
      </c>
      <c r="J4184" s="5">
        <f>VLOOKUP(F4184,'Set up'!$A$2:$D$70,4,FALSE)</f>
        <v>120</v>
      </c>
      <c r="K4184" s="4">
        <v>45979</v>
      </c>
      <c r="L4184" s="5">
        <v>11</v>
      </c>
      <c r="M4184" s="5">
        <v>2025</v>
      </c>
      <c r="N4184" s="135">
        <v>230.4</v>
      </c>
      <c r="P4184" s="12">
        <f t="shared" si="1054"/>
        <v>230.4</v>
      </c>
      <c r="Q4184" s="7">
        <v>6946555.950000003</v>
      </c>
      <c r="R4184" s="44" t="str">
        <f>VLOOKUP(F4184,'Set up'!$A$2:$E$70,5,FALSE)</f>
        <v>Trsf</v>
      </c>
    </row>
    <row r="4185" spans="1:18" ht="16.25" customHeight="1" x14ac:dyDescent="0.35">
      <c r="A4185" s="105" t="s">
        <v>4029</v>
      </c>
      <c r="B4185" s="5">
        <f t="shared" si="1050"/>
        <v>7</v>
      </c>
      <c r="C4185" s="5">
        <f t="shared" si="1051"/>
        <v>2025</v>
      </c>
      <c r="D4185" s="105" t="s">
        <v>4030</v>
      </c>
      <c r="E4185" s="5" t="str">
        <f>VLOOKUP(F4185,'Set up'!$A$2:$C$70,2,FALSE)</f>
        <v>C00000010</v>
      </c>
      <c r="F4185" s="99" t="s">
        <v>62</v>
      </c>
      <c r="G4185" s="99" t="s">
        <v>46</v>
      </c>
      <c r="H4185" s="105">
        <v>4</v>
      </c>
      <c r="I4185" s="5">
        <f>VLOOKUP(F4185,'Set up'!$A$2:$C$70,3,FALSE)</f>
        <v>120</v>
      </c>
      <c r="J4185" s="5">
        <f>VLOOKUP(F4185,'Set up'!$A$2:$D$70,4,FALSE)</f>
        <v>120</v>
      </c>
      <c r="K4185" s="4">
        <v>45979</v>
      </c>
      <c r="L4185" s="5">
        <v>11</v>
      </c>
      <c r="M4185" s="5">
        <v>2025</v>
      </c>
      <c r="N4185" s="135">
        <v>440</v>
      </c>
      <c r="P4185" s="12">
        <f t="shared" si="1054"/>
        <v>440</v>
      </c>
      <c r="Q4185" s="7">
        <v>6946995.950000003</v>
      </c>
      <c r="R4185" s="44" t="str">
        <f>VLOOKUP(F4185,'Set up'!$A$2:$E$70,5,FALSE)</f>
        <v>Trsf</v>
      </c>
    </row>
    <row r="4186" spans="1:18" ht="16.25" customHeight="1" x14ac:dyDescent="0.35">
      <c r="A4186" s="105" t="s">
        <v>4029</v>
      </c>
      <c r="B4186" s="5">
        <f t="shared" si="1050"/>
        <v>7</v>
      </c>
      <c r="C4186" s="5">
        <f t="shared" si="1051"/>
        <v>2025</v>
      </c>
      <c r="D4186" s="105" t="s">
        <v>4030</v>
      </c>
      <c r="E4186" s="5" t="str">
        <f>VLOOKUP(F4186,'Set up'!$A$2:$C$70,2,FALSE)</f>
        <v>C00000010</v>
      </c>
      <c r="F4186" s="99" t="s">
        <v>62</v>
      </c>
      <c r="G4186" s="99" t="s">
        <v>614</v>
      </c>
      <c r="H4186" s="105">
        <v>1</v>
      </c>
      <c r="I4186" s="5">
        <f>VLOOKUP(F4186,'Set up'!$A$2:$C$70,3,FALSE)</f>
        <v>120</v>
      </c>
      <c r="J4186" s="5">
        <f>VLOOKUP(F4186,'Set up'!$A$2:$D$70,4,FALSE)</f>
        <v>120</v>
      </c>
      <c r="K4186" s="4">
        <v>45979</v>
      </c>
      <c r="L4186" s="5">
        <v>11</v>
      </c>
      <c r="M4186" s="5">
        <v>2025</v>
      </c>
      <c r="N4186" s="135">
        <v>395</v>
      </c>
      <c r="P4186" s="12">
        <f t="shared" si="1054"/>
        <v>395</v>
      </c>
      <c r="Q4186" s="7">
        <v>6947390.950000003</v>
      </c>
      <c r="R4186" s="44" t="str">
        <f>VLOOKUP(F4186,'Set up'!$A$2:$E$70,5,FALSE)</f>
        <v>Trsf</v>
      </c>
    </row>
    <row r="4187" spans="1:18" ht="16.25" customHeight="1" x14ac:dyDescent="0.35">
      <c r="A4187" s="105" t="s">
        <v>4029</v>
      </c>
      <c r="B4187" s="5">
        <f t="shared" si="1050"/>
        <v>7</v>
      </c>
      <c r="C4187" s="5">
        <f t="shared" si="1051"/>
        <v>2025</v>
      </c>
      <c r="D4187" s="105" t="s">
        <v>4031</v>
      </c>
      <c r="E4187" s="5" t="str">
        <f>VLOOKUP(F4187,'Set up'!$A$2:$C$70,2,FALSE)</f>
        <v>C00000010</v>
      </c>
      <c r="F4187" s="99" t="s">
        <v>62</v>
      </c>
      <c r="G4187" s="99" t="s">
        <v>2449</v>
      </c>
      <c r="H4187" s="105">
        <v>2</v>
      </c>
      <c r="I4187" s="5">
        <f>VLOOKUP(F4187,'Set up'!$A$2:$C$70,3,FALSE)</f>
        <v>120</v>
      </c>
      <c r="J4187" s="5">
        <f>VLOOKUP(F4187,'Set up'!$A$2:$D$70,4,FALSE)</f>
        <v>120</v>
      </c>
      <c r="K4187" s="4">
        <v>45979</v>
      </c>
      <c r="L4187" s="5">
        <v>11</v>
      </c>
      <c r="M4187" s="5">
        <v>2025</v>
      </c>
      <c r="N4187" s="135">
        <v>840</v>
      </c>
      <c r="P4187" s="12">
        <f t="shared" si="1054"/>
        <v>840</v>
      </c>
      <c r="Q4187" s="7">
        <v>6948230.950000003</v>
      </c>
      <c r="R4187" s="44" t="str">
        <f>VLOOKUP(F4187,'Set up'!$A$2:$E$70,5,FALSE)</f>
        <v>Trsf</v>
      </c>
    </row>
    <row r="4188" spans="1:18" ht="16.25" customHeight="1" x14ac:dyDescent="0.35">
      <c r="A4188" s="105" t="s">
        <v>4032</v>
      </c>
      <c r="B4188" s="5">
        <f t="shared" si="1050"/>
        <v>7</v>
      </c>
      <c r="C4188" s="5">
        <f t="shared" si="1051"/>
        <v>2025</v>
      </c>
      <c r="D4188" s="105" t="s">
        <v>4033</v>
      </c>
      <c r="E4188" s="5" t="str">
        <f>VLOOKUP(F4188,'Set up'!$A$2:$C$70,2,FALSE)</f>
        <v>C00000042</v>
      </c>
      <c r="F4188" s="99" t="s">
        <v>2012</v>
      </c>
      <c r="G4188" s="99" t="s">
        <v>2646</v>
      </c>
      <c r="H4188" s="105">
        <v>4</v>
      </c>
      <c r="I4188" s="5" t="str">
        <f>VLOOKUP(F4188,'Set up'!$A$2:$C$70,3,FALSE)</f>
        <v>Cash</v>
      </c>
      <c r="J4188" s="5">
        <f>VLOOKUP(F4188,'Set up'!$A$2:$D$70,4,FALSE)</f>
        <v>0</v>
      </c>
      <c r="K4188" s="4">
        <v>45860</v>
      </c>
      <c r="L4188" s="5">
        <v>7</v>
      </c>
      <c r="M4188" s="5">
        <v>2025</v>
      </c>
      <c r="N4188" s="135">
        <v>250</v>
      </c>
      <c r="P4188" s="12">
        <v>250</v>
      </c>
      <c r="Q4188" s="7">
        <v>6948480.950000003</v>
      </c>
      <c r="R4188" s="44" t="str">
        <f>VLOOKUP(F4188,'Set up'!$A$2:$E$70,5,FALSE)</f>
        <v>Trsf</v>
      </c>
    </row>
    <row r="4189" spans="1:18" ht="16.25" customHeight="1" x14ac:dyDescent="0.35">
      <c r="A4189" s="105" t="s">
        <v>4032</v>
      </c>
      <c r="B4189" s="5">
        <f t="shared" si="1050"/>
        <v>7</v>
      </c>
      <c r="C4189" s="5">
        <f t="shared" si="1051"/>
        <v>2025</v>
      </c>
      <c r="D4189" s="105" t="s">
        <v>4034</v>
      </c>
      <c r="E4189" s="5" t="str">
        <f>VLOOKUP(F4189,'Set up'!$A$2:$C$70,2,FALSE)</f>
        <v>C00000042</v>
      </c>
      <c r="F4189" s="99" t="s">
        <v>2012</v>
      </c>
      <c r="G4189" s="99" t="s">
        <v>3217</v>
      </c>
      <c r="H4189" s="105">
        <v>8</v>
      </c>
      <c r="I4189" s="5" t="str">
        <f>VLOOKUP(F4189,'Set up'!$A$2:$C$70,3,FALSE)</f>
        <v>Cash</v>
      </c>
      <c r="J4189" s="5">
        <f>VLOOKUP(F4189,'Set up'!$A$2:$D$70,4,FALSE)</f>
        <v>0</v>
      </c>
      <c r="K4189" s="4">
        <v>45860</v>
      </c>
      <c r="L4189" s="5">
        <v>7</v>
      </c>
      <c r="M4189" s="5">
        <v>2025</v>
      </c>
      <c r="N4189" s="135">
        <v>12960</v>
      </c>
      <c r="P4189" s="12">
        <v>12960</v>
      </c>
      <c r="Q4189" s="7">
        <v>6961440.950000003</v>
      </c>
      <c r="R4189" s="44" t="str">
        <f>VLOOKUP(F4189,'Set up'!$A$2:$E$70,5,FALSE)</f>
        <v>Trsf</v>
      </c>
    </row>
    <row r="4190" spans="1:18" ht="16.25" customHeight="1" x14ac:dyDescent="0.35">
      <c r="A4190" s="105" t="s">
        <v>4032</v>
      </c>
      <c r="B4190" s="5">
        <f t="shared" si="1050"/>
        <v>7</v>
      </c>
      <c r="C4190" s="5">
        <f t="shared" si="1051"/>
        <v>2025</v>
      </c>
      <c r="D4190" s="105" t="s">
        <v>4034</v>
      </c>
      <c r="E4190" s="5" t="str">
        <f>VLOOKUP(F4190,'Set up'!$A$2:$C$70,2,FALSE)</f>
        <v>C00000042</v>
      </c>
      <c r="F4190" s="99" t="s">
        <v>2012</v>
      </c>
      <c r="G4190" s="99" t="s">
        <v>3243</v>
      </c>
      <c r="H4190" s="105">
        <v>24</v>
      </c>
      <c r="I4190" s="5" t="str">
        <f>VLOOKUP(F4190,'Set up'!$A$2:$C$70,3,FALSE)</f>
        <v>Cash</v>
      </c>
      <c r="J4190" s="5">
        <f>VLOOKUP(F4190,'Set up'!$A$2:$D$70,4,FALSE)</f>
        <v>0</v>
      </c>
      <c r="K4190" s="4">
        <v>45860</v>
      </c>
      <c r="L4190" s="5">
        <v>7</v>
      </c>
      <c r="M4190" s="5">
        <v>2025</v>
      </c>
      <c r="N4190" s="135">
        <v>4248</v>
      </c>
      <c r="P4190" s="12">
        <v>4248</v>
      </c>
      <c r="Q4190" s="7">
        <v>6965688.950000003</v>
      </c>
      <c r="R4190" s="44" t="str">
        <f>VLOOKUP(F4190,'Set up'!$A$2:$E$70,5,FALSE)</f>
        <v>Trsf</v>
      </c>
    </row>
    <row r="4191" spans="1:18" ht="16.25" customHeight="1" x14ac:dyDescent="0.35">
      <c r="A4191" s="105" t="s">
        <v>4032</v>
      </c>
      <c r="B4191" s="5">
        <f t="shared" si="1050"/>
        <v>7</v>
      </c>
      <c r="C4191" s="5">
        <f t="shared" si="1051"/>
        <v>2025</v>
      </c>
      <c r="D4191" s="105" t="s">
        <v>4034</v>
      </c>
      <c r="E4191" s="5" t="str">
        <f>VLOOKUP(F4191,'Set up'!$A$2:$C$70,2,FALSE)</f>
        <v>C00000042</v>
      </c>
      <c r="F4191" s="99" t="s">
        <v>2012</v>
      </c>
      <c r="G4191" s="99" t="s">
        <v>1922</v>
      </c>
      <c r="H4191" s="105">
        <v>12</v>
      </c>
      <c r="I4191" s="5" t="str">
        <f>VLOOKUP(F4191,'Set up'!$A$2:$C$70,3,FALSE)</f>
        <v>Cash</v>
      </c>
      <c r="J4191" s="5">
        <f>VLOOKUP(F4191,'Set up'!$A$2:$D$70,4,FALSE)</f>
        <v>0</v>
      </c>
      <c r="K4191" s="4">
        <v>45860</v>
      </c>
      <c r="L4191" s="5">
        <v>7</v>
      </c>
      <c r="M4191" s="5">
        <v>2025</v>
      </c>
      <c r="N4191" s="135">
        <v>2970</v>
      </c>
      <c r="P4191" s="12">
        <v>2970</v>
      </c>
      <c r="Q4191" s="7">
        <v>6968658.950000003</v>
      </c>
      <c r="R4191" s="44" t="str">
        <f>VLOOKUP(F4191,'Set up'!$A$2:$E$70,5,FALSE)</f>
        <v>Trsf</v>
      </c>
    </row>
    <row r="4192" spans="1:18" ht="16.25" customHeight="1" x14ac:dyDescent="0.35">
      <c r="A4192" s="105" t="s">
        <v>4032</v>
      </c>
      <c r="B4192" s="5">
        <f t="shared" si="1050"/>
        <v>7</v>
      </c>
      <c r="C4192" s="5">
        <f t="shared" si="1051"/>
        <v>2025</v>
      </c>
      <c r="D4192" s="105" t="s">
        <v>4034</v>
      </c>
      <c r="E4192" s="5" t="str">
        <f>VLOOKUP(F4192,'Set up'!$A$2:$C$70,2,FALSE)</f>
        <v>C00000042</v>
      </c>
      <c r="F4192" s="99" t="s">
        <v>2012</v>
      </c>
      <c r="G4192" s="99" t="s">
        <v>46</v>
      </c>
      <c r="H4192" s="105">
        <v>4</v>
      </c>
      <c r="I4192" s="5" t="str">
        <f>VLOOKUP(F4192,'Set up'!$A$2:$C$70,3,FALSE)</f>
        <v>Cash</v>
      </c>
      <c r="J4192" s="5">
        <f>VLOOKUP(F4192,'Set up'!$A$2:$D$70,4,FALSE)</f>
        <v>0</v>
      </c>
      <c r="K4192" s="4">
        <v>45860</v>
      </c>
      <c r="L4192" s="5">
        <v>7</v>
      </c>
      <c r="M4192" s="5">
        <v>2025</v>
      </c>
      <c r="N4192" s="135">
        <v>460</v>
      </c>
      <c r="P4192" s="12">
        <v>460</v>
      </c>
      <c r="Q4192" s="7">
        <v>6969118.950000003</v>
      </c>
      <c r="R4192" s="44" t="str">
        <f>VLOOKUP(F4192,'Set up'!$A$2:$E$70,5,FALSE)</f>
        <v>Trsf</v>
      </c>
    </row>
    <row r="4193" spans="1:19" ht="16.25" customHeight="1" x14ac:dyDescent="0.35">
      <c r="A4193" s="105" t="s">
        <v>4032</v>
      </c>
      <c r="B4193" s="5">
        <f t="shared" si="1050"/>
        <v>7</v>
      </c>
      <c r="C4193" s="5">
        <f t="shared" si="1051"/>
        <v>2025</v>
      </c>
      <c r="D4193" s="105" t="s">
        <v>4034</v>
      </c>
      <c r="E4193" s="5" t="str">
        <f>VLOOKUP(F4193,'Set up'!$A$2:$C$70,2,FALSE)</f>
        <v>C00000042</v>
      </c>
      <c r="F4193" s="99" t="s">
        <v>2012</v>
      </c>
      <c r="G4193" s="99" t="s">
        <v>1073</v>
      </c>
      <c r="H4193" s="105">
        <v>1</v>
      </c>
      <c r="I4193" s="5" t="str">
        <f>VLOOKUP(F4193,'Set up'!$A$2:$C$70,3,FALSE)</f>
        <v>Cash</v>
      </c>
      <c r="J4193" s="5">
        <f>VLOOKUP(F4193,'Set up'!$A$2:$D$70,4,FALSE)</f>
        <v>0</v>
      </c>
      <c r="K4193" s="4">
        <v>45860</v>
      </c>
      <c r="L4193" s="5">
        <v>7</v>
      </c>
      <c r="M4193" s="5">
        <v>2025</v>
      </c>
      <c r="N4193" s="135">
        <v>1000</v>
      </c>
      <c r="P4193" s="12">
        <v>1000</v>
      </c>
      <c r="Q4193" s="7">
        <v>6970118.950000003</v>
      </c>
      <c r="R4193" s="44" t="str">
        <f>VLOOKUP(F4193,'Set up'!$A$2:$E$70,5,FALSE)</f>
        <v>Trsf</v>
      </c>
    </row>
    <row r="4194" spans="1:19" ht="16.25" customHeight="1" x14ac:dyDescent="0.35">
      <c r="A4194" s="105" t="s">
        <v>4035</v>
      </c>
      <c r="B4194" s="5">
        <f t="shared" si="1050"/>
        <v>7</v>
      </c>
      <c r="C4194" s="5">
        <f t="shared" si="1051"/>
        <v>2025</v>
      </c>
      <c r="D4194" s="105" t="s">
        <v>4036</v>
      </c>
      <c r="E4194" s="5" t="str">
        <f>VLOOKUP(F4194,'Set up'!$A$2:$C$70,2,FALSE)</f>
        <v>C00000061</v>
      </c>
      <c r="F4194" s="99" t="s">
        <v>3532</v>
      </c>
      <c r="G4194" s="99" t="s">
        <v>3639</v>
      </c>
      <c r="H4194" s="105">
        <v>1</v>
      </c>
      <c r="I4194" s="5" t="str">
        <f>VLOOKUP(F4194,'Set up'!$A$2:$C$70,3,FALSE)</f>
        <v>Cash</v>
      </c>
      <c r="J4194" s="5">
        <f>VLOOKUP(F4194,'Set up'!$A$2:$D$70,4,FALSE)</f>
        <v>0</v>
      </c>
      <c r="K4194" s="4">
        <v>45864</v>
      </c>
      <c r="L4194" s="5">
        <v>7</v>
      </c>
      <c r="M4194" s="5">
        <v>2025</v>
      </c>
      <c r="N4194" s="135">
        <v>408.7</v>
      </c>
      <c r="O4194" s="6">
        <f t="shared" ref="O4194:O4195" si="1055">-N4194</f>
        <v>-408.7</v>
      </c>
      <c r="P4194" s="12">
        <f t="shared" ref="P4194:P4195" si="1056">SUM(N4194+O4194)</f>
        <v>0</v>
      </c>
      <c r="Q4194" s="7">
        <v>6970527.6500000032</v>
      </c>
      <c r="R4194" s="44" t="str">
        <f>VLOOKUP(F4194,'Set up'!$A$2:$E$70,5,FALSE)</f>
        <v>Cash</v>
      </c>
      <c r="S4194" s="1" t="s">
        <v>4071</v>
      </c>
    </row>
    <row r="4195" spans="1:19" ht="16.25" customHeight="1" x14ac:dyDescent="0.35">
      <c r="A4195" s="105" t="s">
        <v>4035</v>
      </c>
      <c r="B4195" s="5">
        <f t="shared" si="1050"/>
        <v>7</v>
      </c>
      <c r="C4195" s="5">
        <f t="shared" si="1051"/>
        <v>2025</v>
      </c>
      <c r="D4195" s="105" t="s">
        <v>4036</v>
      </c>
      <c r="E4195" s="5" t="str">
        <f>VLOOKUP(F4195,'Set up'!$A$2:$C$70,2,FALSE)</f>
        <v>C00000061</v>
      </c>
      <c r="F4195" s="99" t="s">
        <v>3532</v>
      </c>
      <c r="G4195" s="99" t="s">
        <v>2635</v>
      </c>
      <c r="H4195" s="105">
        <v>1</v>
      </c>
      <c r="I4195" s="5" t="str">
        <f>VLOOKUP(F4195,'Set up'!$A$2:$C$70,3,FALSE)</f>
        <v>Cash</v>
      </c>
      <c r="J4195" s="5">
        <f>VLOOKUP(F4195,'Set up'!$A$2:$D$70,4,FALSE)</f>
        <v>0</v>
      </c>
      <c r="K4195" s="4">
        <v>45864</v>
      </c>
      <c r="L4195" s="5">
        <v>7</v>
      </c>
      <c r="M4195" s="5">
        <v>2025</v>
      </c>
      <c r="N4195" s="135">
        <v>57.5</v>
      </c>
      <c r="O4195" s="6">
        <f t="shared" si="1055"/>
        <v>-57.5</v>
      </c>
      <c r="P4195" s="12">
        <f t="shared" si="1056"/>
        <v>0</v>
      </c>
      <c r="Q4195" s="7">
        <v>6970585.1500000032</v>
      </c>
      <c r="R4195" s="44" t="str">
        <f>VLOOKUP(F4195,'Set up'!$A$2:$E$70,5,FALSE)</f>
        <v>Cash</v>
      </c>
      <c r="S4195" s="1" t="s">
        <v>4071</v>
      </c>
    </row>
    <row r="4196" spans="1:19" ht="16.25" customHeight="1" x14ac:dyDescent="0.35">
      <c r="A4196" s="105" t="s">
        <v>4037</v>
      </c>
      <c r="B4196" s="5">
        <f t="shared" si="1050"/>
        <v>7</v>
      </c>
      <c r="C4196" s="5">
        <f t="shared" si="1051"/>
        <v>2025</v>
      </c>
      <c r="D4196" s="105" t="s">
        <v>4038</v>
      </c>
      <c r="E4196" s="5" t="str">
        <f>VLOOKUP(F4196,'Set up'!$A$2:$C$70,2,FALSE)</f>
        <v>C00000044</v>
      </c>
      <c r="F4196" s="99" t="s">
        <v>2929</v>
      </c>
      <c r="G4196" s="99" t="s">
        <v>3122</v>
      </c>
      <c r="H4196" s="105">
        <v>1</v>
      </c>
      <c r="I4196" s="5" t="str">
        <f>VLOOKUP(F4196,'Set up'!$A$2:$C$70,3,FALSE)</f>
        <v>Cash</v>
      </c>
      <c r="J4196" s="5">
        <f>VLOOKUP(F4196,'Set up'!$A$2:$D$70,4,FALSE)</f>
        <v>0</v>
      </c>
      <c r="K4196" s="4">
        <v>45866</v>
      </c>
      <c r="L4196" s="5">
        <v>7</v>
      </c>
      <c r="M4196" s="5">
        <v>2025</v>
      </c>
      <c r="N4196" s="135">
        <v>1687.5</v>
      </c>
      <c r="O4196" s="6">
        <f>-N4196</f>
        <v>-1687.5</v>
      </c>
      <c r="P4196" s="12">
        <f t="shared" ref="P4196:P4197" si="1057">SUM(N4196+O4196)</f>
        <v>0</v>
      </c>
      <c r="Q4196" s="7">
        <v>6972272.6500000032</v>
      </c>
      <c r="R4196" s="44" t="str">
        <f>VLOOKUP(F4196,'Set up'!$A$2:$E$70,5,FALSE)</f>
        <v>Cash</v>
      </c>
      <c r="S4196" s="1" t="s">
        <v>4069</v>
      </c>
    </row>
    <row r="4197" spans="1:19" ht="16.25" customHeight="1" x14ac:dyDescent="0.35">
      <c r="A4197" s="105" t="s">
        <v>4037</v>
      </c>
      <c r="B4197" s="5">
        <f t="shared" si="1050"/>
        <v>7</v>
      </c>
      <c r="C4197" s="5">
        <f t="shared" si="1051"/>
        <v>2025</v>
      </c>
      <c r="D4197" s="105" t="s">
        <v>4038</v>
      </c>
      <c r="E4197" s="5" t="str">
        <f>VLOOKUP(F4197,'Set up'!$A$2:$C$70,2,FALSE)</f>
        <v>C00000044</v>
      </c>
      <c r="F4197" s="99" t="s">
        <v>2929</v>
      </c>
      <c r="G4197" s="99" t="s">
        <v>2570</v>
      </c>
      <c r="H4197" s="105">
        <v>2</v>
      </c>
      <c r="I4197" s="5" t="str">
        <f>VLOOKUP(F4197,'Set up'!$A$2:$C$70,3,FALSE)</f>
        <v>Cash</v>
      </c>
      <c r="J4197" s="5">
        <f>VLOOKUP(F4197,'Set up'!$A$2:$D$70,4,FALSE)</f>
        <v>0</v>
      </c>
      <c r="K4197" s="4">
        <v>45866</v>
      </c>
      <c r="L4197" s="5">
        <v>7</v>
      </c>
      <c r="M4197" s="5">
        <v>2025</v>
      </c>
      <c r="N4197" s="135">
        <v>432</v>
      </c>
      <c r="O4197" s="6">
        <f>-N4197</f>
        <v>-432</v>
      </c>
      <c r="P4197" s="12">
        <f t="shared" si="1057"/>
        <v>0</v>
      </c>
      <c r="Q4197" s="7">
        <v>6972704.6500000032</v>
      </c>
      <c r="R4197" s="44" t="str">
        <f>VLOOKUP(F4197,'Set up'!$A$2:$E$70,5,FALSE)</f>
        <v>Cash</v>
      </c>
      <c r="S4197" s="1" t="s">
        <v>4069</v>
      </c>
    </row>
    <row r="4198" spans="1:19" ht="16.25" customHeight="1" x14ac:dyDescent="0.35">
      <c r="A4198" s="105" t="s">
        <v>4037</v>
      </c>
      <c r="B4198" s="5">
        <f t="shared" si="1050"/>
        <v>7</v>
      </c>
      <c r="C4198" s="5">
        <f t="shared" si="1051"/>
        <v>2025</v>
      </c>
      <c r="D4198" s="105" t="s">
        <v>4039</v>
      </c>
      <c r="E4198" s="5" t="str">
        <f>VLOOKUP(F4198,'Set up'!$A$2:$C$70,2,FALSE)</f>
        <v>C00000042</v>
      </c>
      <c r="F4198" s="99" t="s">
        <v>2012</v>
      </c>
      <c r="G4198" s="99" t="s">
        <v>2646</v>
      </c>
      <c r="H4198" s="105">
        <v>2</v>
      </c>
      <c r="I4198" s="5" t="str">
        <f>VLOOKUP(F4198,'Set up'!$A$2:$C$70,3,FALSE)</f>
        <v>Cash</v>
      </c>
      <c r="J4198" s="5">
        <f>VLOOKUP(F4198,'Set up'!$A$2:$D$70,4,FALSE)</f>
        <v>0</v>
      </c>
      <c r="K4198" s="4">
        <v>45866</v>
      </c>
      <c r="L4198" s="5">
        <v>7</v>
      </c>
      <c r="M4198" s="5">
        <v>2025</v>
      </c>
      <c r="N4198" s="135">
        <v>125</v>
      </c>
      <c r="P4198" s="12">
        <v>125</v>
      </c>
      <c r="Q4198" s="7">
        <v>6972829.6500000032</v>
      </c>
      <c r="R4198" s="44" t="str">
        <f>VLOOKUP(F4198,'Set up'!$A$2:$E$70,5,FALSE)</f>
        <v>Trsf</v>
      </c>
    </row>
    <row r="4199" spans="1:19" ht="16.25" customHeight="1" x14ac:dyDescent="0.35">
      <c r="A4199" s="105" t="s">
        <v>4037</v>
      </c>
      <c r="B4199" s="5">
        <f t="shared" si="1050"/>
        <v>7</v>
      </c>
      <c r="C4199" s="5">
        <f t="shared" si="1051"/>
        <v>2025</v>
      </c>
      <c r="D4199" s="105" t="s">
        <v>4040</v>
      </c>
      <c r="E4199" s="5" t="str">
        <f>VLOOKUP(F4199,'Set up'!$A$2:$C$70,2,FALSE)</f>
        <v>C00000042</v>
      </c>
      <c r="F4199" s="99" t="s">
        <v>2012</v>
      </c>
      <c r="G4199" s="99" t="s">
        <v>3217</v>
      </c>
      <c r="H4199" s="105">
        <v>3</v>
      </c>
      <c r="I4199" s="5" t="str">
        <f>VLOOKUP(F4199,'Set up'!$A$2:$C$70,3,FALSE)</f>
        <v>Cash</v>
      </c>
      <c r="J4199" s="5">
        <f>VLOOKUP(F4199,'Set up'!$A$2:$D$70,4,FALSE)</f>
        <v>0</v>
      </c>
      <c r="K4199" s="4">
        <v>45866</v>
      </c>
      <c r="L4199" s="5">
        <v>7</v>
      </c>
      <c r="M4199" s="5">
        <v>2025</v>
      </c>
      <c r="N4199" s="135">
        <v>4860</v>
      </c>
      <c r="P4199" s="12">
        <v>4860</v>
      </c>
      <c r="Q4199" s="7">
        <v>6977689.6500000032</v>
      </c>
      <c r="R4199" s="44" t="str">
        <f>VLOOKUP(F4199,'Set up'!$A$2:$E$70,5,FALSE)</f>
        <v>Trsf</v>
      </c>
    </row>
    <row r="4200" spans="1:19" ht="16.25" customHeight="1" x14ac:dyDescent="0.35">
      <c r="A4200" s="105" t="s">
        <v>4037</v>
      </c>
      <c r="B4200" s="5">
        <f t="shared" si="1050"/>
        <v>7</v>
      </c>
      <c r="C4200" s="5">
        <f t="shared" si="1051"/>
        <v>2025</v>
      </c>
      <c r="D4200" s="105" t="s">
        <v>4040</v>
      </c>
      <c r="E4200" s="5" t="str">
        <f>VLOOKUP(F4200,'Set up'!$A$2:$C$70,2,FALSE)</f>
        <v>C00000042</v>
      </c>
      <c r="F4200" s="99" t="s">
        <v>2012</v>
      </c>
      <c r="G4200" s="99" t="s">
        <v>1922</v>
      </c>
      <c r="H4200" s="105">
        <v>4</v>
      </c>
      <c r="I4200" s="5" t="str">
        <f>VLOOKUP(F4200,'Set up'!$A$2:$C$70,3,FALSE)</f>
        <v>Cash</v>
      </c>
      <c r="J4200" s="5">
        <f>VLOOKUP(F4200,'Set up'!$A$2:$D$70,4,FALSE)</f>
        <v>0</v>
      </c>
      <c r="K4200" s="4">
        <v>45866</v>
      </c>
      <c r="L4200" s="5">
        <v>7</v>
      </c>
      <c r="M4200" s="5">
        <v>2025</v>
      </c>
      <c r="N4200" s="135">
        <v>990</v>
      </c>
      <c r="P4200" s="12">
        <v>990</v>
      </c>
      <c r="Q4200" s="7">
        <v>6978679.6500000032</v>
      </c>
      <c r="R4200" s="44" t="str">
        <f>VLOOKUP(F4200,'Set up'!$A$2:$E$70,5,FALSE)</f>
        <v>Trsf</v>
      </c>
    </row>
    <row r="4201" spans="1:19" ht="16.25" customHeight="1" x14ac:dyDescent="0.35">
      <c r="A4201" s="105" t="s">
        <v>4037</v>
      </c>
      <c r="B4201" s="5">
        <f t="shared" si="1050"/>
        <v>7</v>
      </c>
      <c r="C4201" s="5">
        <f t="shared" si="1051"/>
        <v>2025</v>
      </c>
      <c r="D4201" s="105" t="s">
        <v>4040</v>
      </c>
      <c r="E4201" s="5" t="str">
        <f>VLOOKUP(F4201,'Set up'!$A$2:$C$70,2,FALSE)</f>
        <v>C00000042</v>
      </c>
      <c r="F4201" s="99" t="s">
        <v>2012</v>
      </c>
      <c r="G4201" s="99" t="s">
        <v>46</v>
      </c>
      <c r="H4201" s="105">
        <v>4</v>
      </c>
      <c r="I4201" s="5" t="str">
        <f>VLOOKUP(F4201,'Set up'!$A$2:$C$70,3,FALSE)</f>
        <v>Cash</v>
      </c>
      <c r="J4201" s="5">
        <f>VLOOKUP(F4201,'Set up'!$A$2:$D$70,4,FALSE)</f>
        <v>0</v>
      </c>
      <c r="K4201" s="4">
        <v>45866</v>
      </c>
      <c r="L4201" s="5">
        <v>7</v>
      </c>
      <c r="M4201" s="5">
        <v>2025</v>
      </c>
      <c r="N4201" s="135">
        <v>460</v>
      </c>
      <c r="P4201" s="12">
        <v>460</v>
      </c>
      <c r="Q4201" s="7">
        <v>6979139.6500000032</v>
      </c>
      <c r="R4201" s="44" t="str">
        <f>VLOOKUP(F4201,'Set up'!$A$2:$E$70,5,FALSE)</f>
        <v>Trsf</v>
      </c>
    </row>
    <row r="4202" spans="1:19" ht="16.25" customHeight="1" x14ac:dyDescent="0.35">
      <c r="A4202" s="105" t="s">
        <v>4037</v>
      </c>
      <c r="B4202" s="5">
        <f t="shared" si="1050"/>
        <v>7</v>
      </c>
      <c r="C4202" s="5">
        <f t="shared" si="1051"/>
        <v>2025</v>
      </c>
      <c r="D4202" s="105" t="s">
        <v>4040</v>
      </c>
      <c r="E4202" s="5" t="str">
        <f>VLOOKUP(F4202,'Set up'!$A$2:$C$70,2,FALSE)</f>
        <v>C00000042</v>
      </c>
      <c r="F4202" s="99" t="s">
        <v>2012</v>
      </c>
      <c r="G4202" s="99" t="s">
        <v>1073</v>
      </c>
      <c r="H4202" s="105">
        <v>1</v>
      </c>
      <c r="I4202" s="5" t="str">
        <f>VLOOKUP(F4202,'Set up'!$A$2:$C$70,3,FALSE)</f>
        <v>Cash</v>
      </c>
      <c r="J4202" s="5">
        <f>VLOOKUP(F4202,'Set up'!$A$2:$D$70,4,FALSE)</f>
        <v>0</v>
      </c>
      <c r="K4202" s="4">
        <v>45866</v>
      </c>
      <c r="L4202" s="5">
        <v>7</v>
      </c>
      <c r="M4202" s="5">
        <v>2025</v>
      </c>
      <c r="N4202" s="135">
        <v>1000</v>
      </c>
      <c r="P4202" s="12">
        <v>1000</v>
      </c>
      <c r="Q4202" s="7">
        <v>6980139.6500000032</v>
      </c>
      <c r="R4202" s="44" t="str">
        <f>VLOOKUP(F4202,'Set up'!$A$2:$E$70,5,FALSE)</f>
        <v>Trsf</v>
      </c>
    </row>
    <row r="4203" spans="1:19" ht="16.25" customHeight="1" x14ac:dyDescent="0.35">
      <c r="A4203" s="105" t="s">
        <v>4041</v>
      </c>
      <c r="B4203" s="5">
        <f t="shared" si="1050"/>
        <v>7</v>
      </c>
      <c r="C4203" s="5">
        <f t="shared" si="1051"/>
        <v>2025</v>
      </c>
      <c r="D4203" s="105" t="s">
        <v>4042</v>
      </c>
      <c r="E4203" s="5" t="str">
        <f>VLOOKUP(F4203,'Set up'!$A$2:$C$70,2,FALSE)</f>
        <v>C00000019</v>
      </c>
      <c r="F4203" s="99" t="s">
        <v>400</v>
      </c>
      <c r="G4203" s="99" t="s">
        <v>3122</v>
      </c>
      <c r="H4203" s="105">
        <v>1</v>
      </c>
      <c r="I4203" s="5" t="str">
        <f>VLOOKUP(F4203,'Set up'!$A$2:$C$70,3,FALSE)</f>
        <v>Cash</v>
      </c>
      <c r="J4203" s="5">
        <f>VLOOKUP(F4203,'Set up'!$A$2:$D$70,4,FALSE)</f>
        <v>0</v>
      </c>
      <c r="K4203" s="4">
        <v>45867</v>
      </c>
      <c r="L4203" s="5">
        <v>7</v>
      </c>
      <c r="M4203" s="5">
        <v>2025</v>
      </c>
      <c r="N4203" s="135">
        <v>1710</v>
      </c>
      <c r="P4203" s="12">
        <v>1710</v>
      </c>
      <c r="Q4203" s="7">
        <v>6981849.6500000032</v>
      </c>
      <c r="R4203" s="44" t="str">
        <f>VLOOKUP(F4203,'Set up'!$A$2:$E$70,5,FALSE)</f>
        <v>Trsf</v>
      </c>
    </row>
    <row r="4204" spans="1:19" ht="16.25" customHeight="1" x14ac:dyDescent="0.35">
      <c r="A4204" s="105" t="s">
        <v>4041</v>
      </c>
      <c r="B4204" s="5">
        <f t="shared" si="1050"/>
        <v>7</v>
      </c>
      <c r="C4204" s="5">
        <f t="shared" si="1051"/>
        <v>2025</v>
      </c>
      <c r="D4204" s="105" t="s">
        <v>4042</v>
      </c>
      <c r="E4204" s="5" t="str">
        <f>VLOOKUP(F4204,'Set up'!$A$2:$C$70,2,FALSE)</f>
        <v>C00000019</v>
      </c>
      <c r="F4204" s="99" t="s">
        <v>400</v>
      </c>
      <c r="G4204" s="99" t="s">
        <v>2635</v>
      </c>
      <c r="H4204" s="105">
        <v>3</v>
      </c>
      <c r="I4204" s="5" t="str">
        <f>VLOOKUP(F4204,'Set up'!$A$2:$C$70,3,FALSE)</f>
        <v>Cash</v>
      </c>
      <c r="J4204" s="5">
        <f>VLOOKUP(F4204,'Set up'!$A$2:$D$70,4,FALSE)</f>
        <v>0</v>
      </c>
      <c r="K4204" s="4">
        <v>45867</v>
      </c>
      <c r="L4204" s="5">
        <v>7</v>
      </c>
      <c r="M4204" s="5">
        <v>2025</v>
      </c>
      <c r="N4204" s="135">
        <v>187.5</v>
      </c>
      <c r="P4204" s="12">
        <v>187.5</v>
      </c>
      <c r="Q4204" s="7">
        <v>6982037.1500000032</v>
      </c>
      <c r="R4204" s="44" t="str">
        <f>VLOOKUP(F4204,'Set up'!$A$2:$E$70,5,FALSE)</f>
        <v>Trsf</v>
      </c>
    </row>
    <row r="4205" spans="1:19" ht="16.25" customHeight="1" x14ac:dyDescent="0.35">
      <c r="A4205" s="105" t="s">
        <v>4041</v>
      </c>
      <c r="B4205" s="5">
        <f t="shared" si="1050"/>
        <v>7</v>
      </c>
      <c r="C4205" s="5">
        <f t="shared" si="1051"/>
        <v>2025</v>
      </c>
      <c r="D4205" s="105" t="s">
        <v>4042</v>
      </c>
      <c r="E4205" s="5" t="str">
        <f>VLOOKUP(F4205,'Set up'!$A$2:$C$70,2,FALSE)</f>
        <v>C00000019</v>
      </c>
      <c r="F4205" s="99" t="s">
        <v>400</v>
      </c>
      <c r="G4205" s="99" t="s">
        <v>46</v>
      </c>
      <c r="H4205" s="105">
        <v>1</v>
      </c>
      <c r="I4205" s="5" t="str">
        <f>VLOOKUP(F4205,'Set up'!$A$2:$C$70,3,FALSE)</f>
        <v>Cash</v>
      </c>
      <c r="J4205" s="5">
        <f>VLOOKUP(F4205,'Set up'!$A$2:$D$70,4,FALSE)</f>
        <v>0</v>
      </c>
      <c r="K4205" s="4">
        <v>45867</v>
      </c>
      <c r="L4205" s="5">
        <v>7</v>
      </c>
      <c r="M4205" s="5">
        <v>2025</v>
      </c>
      <c r="N4205" s="135">
        <v>110</v>
      </c>
      <c r="P4205" s="12">
        <v>110</v>
      </c>
      <c r="Q4205" s="7">
        <v>6982147.1500000032</v>
      </c>
      <c r="R4205" s="44" t="str">
        <f>VLOOKUP(F4205,'Set up'!$A$2:$E$70,5,FALSE)</f>
        <v>Trsf</v>
      </c>
    </row>
    <row r="4206" spans="1:19" ht="16.25" customHeight="1" x14ac:dyDescent="0.35">
      <c r="A4206" s="105" t="s">
        <v>4041</v>
      </c>
      <c r="B4206" s="5">
        <f t="shared" si="1050"/>
        <v>7</v>
      </c>
      <c r="C4206" s="5">
        <f t="shared" si="1051"/>
        <v>2025</v>
      </c>
      <c r="D4206" s="105" t="s">
        <v>4042</v>
      </c>
      <c r="E4206" s="5" t="str">
        <f>VLOOKUP(F4206,'Set up'!$A$2:$C$70,2,FALSE)</f>
        <v>C00000019</v>
      </c>
      <c r="F4206" s="99" t="s">
        <v>400</v>
      </c>
      <c r="G4206" s="99" t="s">
        <v>1469</v>
      </c>
      <c r="H4206" s="105">
        <v>1</v>
      </c>
      <c r="I4206" s="5" t="str">
        <f>VLOOKUP(F4206,'Set up'!$A$2:$C$70,3,FALSE)</f>
        <v>Cash</v>
      </c>
      <c r="J4206" s="5">
        <f>VLOOKUP(F4206,'Set up'!$A$2:$D$70,4,FALSE)</f>
        <v>0</v>
      </c>
      <c r="K4206" s="4">
        <v>45867</v>
      </c>
      <c r="L4206" s="5">
        <v>7</v>
      </c>
      <c r="M4206" s="5">
        <v>2025</v>
      </c>
      <c r="N4206" s="135">
        <v>390</v>
      </c>
      <c r="P4206" s="12">
        <v>390</v>
      </c>
      <c r="Q4206" s="7">
        <v>6982537.1500000032</v>
      </c>
      <c r="R4206" s="44" t="str">
        <f>VLOOKUP(F4206,'Set up'!$A$2:$E$70,5,FALSE)</f>
        <v>Trsf</v>
      </c>
    </row>
    <row r="4207" spans="1:19" ht="16.25" customHeight="1" x14ac:dyDescent="0.35">
      <c r="A4207" s="105" t="s">
        <v>4041</v>
      </c>
      <c r="B4207" s="5">
        <f t="shared" si="1050"/>
        <v>7</v>
      </c>
      <c r="C4207" s="5">
        <f t="shared" si="1051"/>
        <v>2025</v>
      </c>
      <c r="D4207" s="105" t="s">
        <v>4043</v>
      </c>
      <c r="E4207" s="5" t="str">
        <f>VLOOKUP(F4207,'Set up'!$A$2:$C$70,2,FALSE)</f>
        <v>C00000061</v>
      </c>
      <c r="F4207" s="99" t="s">
        <v>3532</v>
      </c>
      <c r="G4207" s="99" t="s">
        <v>3122</v>
      </c>
      <c r="H4207" s="105">
        <v>1</v>
      </c>
      <c r="I4207" s="5" t="str">
        <f>VLOOKUP(F4207,'Set up'!$A$2:$C$70,3,FALSE)</f>
        <v>Cash</v>
      </c>
      <c r="J4207" s="5">
        <f>VLOOKUP(F4207,'Set up'!$A$2:$D$70,4,FALSE)</f>
        <v>0</v>
      </c>
      <c r="K4207" s="4">
        <v>45867</v>
      </c>
      <c r="L4207" s="5">
        <v>7</v>
      </c>
      <c r="M4207" s="5">
        <v>2025</v>
      </c>
      <c r="N4207" s="135">
        <v>1642.5</v>
      </c>
      <c r="O4207" s="6">
        <f t="shared" ref="O4207:O4208" si="1058">-N4207</f>
        <v>-1642.5</v>
      </c>
      <c r="P4207" s="12">
        <f t="shared" ref="P4207:P4208" si="1059">SUM(N4207+O4207)</f>
        <v>0</v>
      </c>
      <c r="Q4207" s="7">
        <v>6984179.6500000032</v>
      </c>
      <c r="R4207" s="44" t="str">
        <f>VLOOKUP(F4207,'Set up'!$A$2:$E$70,5,FALSE)</f>
        <v>Cash</v>
      </c>
      <c r="S4207" s="1" t="s">
        <v>4072</v>
      </c>
    </row>
    <row r="4208" spans="1:19" ht="16.25" customHeight="1" x14ac:dyDescent="0.35">
      <c r="A4208" s="105" t="s">
        <v>4041</v>
      </c>
      <c r="B4208" s="5">
        <f t="shared" si="1050"/>
        <v>7</v>
      </c>
      <c r="C4208" s="5">
        <f t="shared" si="1051"/>
        <v>2025</v>
      </c>
      <c r="D4208" s="105" t="s">
        <v>4043</v>
      </c>
      <c r="E4208" s="5" t="str">
        <f>VLOOKUP(F4208,'Set up'!$A$2:$C$70,2,FALSE)</f>
        <v>C00000061</v>
      </c>
      <c r="F4208" s="99" t="s">
        <v>3532</v>
      </c>
      <c r="G4208" s="99" t="s">
        <v>2635</v>
      </c>
      <c r="H4208" s="105">
        <v>1</v>
      </c>
      <c r="I4208" s="5" t="str">
        <f>VLOOKUP(F4208,'Set up'!$A$2:$C$70,3,FALSE)</f>
        <v>Cash</v>
      </c>
      <c r="J4208" s="5">
        <f>VLOOKUP(F4208,'Set up'!$A$2:$D$70,4,FALSE)</f>
        <v>0</v>
      </c>
      <c r="K4208" s="4">
        <v>45867</v>
      </c>
      <c r="L4208" s="5">
        <v>7</v>
      </c>
      <c r="M4208" s="5">
        <v>2025</v>
      </c>
      <c r="N4208" s="135">
        <v>57.5</v>
      </c>
      <c r="O4208" s="6">
        <f t="shared" si="1058"/>
        <v>-57.5</v>
      </c>
      <c r="P4208" s="12">
        <f t="shared" si="1059"/>
        <v>0</v>
      </c>
      <c r="Q4208" s="7">
        <v>6984237.1500000032</v>
      </c>
      <c r="R4208" s="44" t="str">
        <f>VLOOKUP(F4208,'Set up'!$A$2:$E$70,5,FALSE)</f>
        <v>Cash</v>
      </c>
      <c r="S4208" s="1" t="s">
        <v>4072</v>
      </c>
    </row>
    <row r="4209" spans="1:19" ht="16.25" customHeight="1" x14ac:dyDescent="0.35">
      <c r="A4209" s="105" t="s">
        <v>4044</v>
      </c>
      <c r="B4209" s="5">
        <f t="shared" si="1050"/>
        <v>7</v>
      </c>
      <c r="C4209" s="5">
        <f t="shared" si="1051"/>
        <v>2025</v>
      </c>
      <c r="D4209" s="105" t="s">
        <v>4045</v>
      </c>
      <c r="E4209" s="5" t="str">
        <f>VLOOKUP(F4209,'Set up'!$A$2:$C$70,2,FALSE)</f>
        <v>C00000027</v>
      </c>
      <c r="F4209" s="99" t="s">
        <v>859</v>
      </c>
      <c r="G4209" s="99" t="s">
        <v>3122</v>
      </c>
      <c r="H4209" s="105">
        <v>2</v>
      </c>
      <c r="I4209" s="5" t="str">
        <f>VLOOKUP(F4209,'Set up'!$A$2:$C$70,3,FALSE)</f>
        <v>Cash</v>
      </c>
      <c r="J4209" s="5">
        <f>VLOOKUP(F4209,'Set up'!$A$2:$D$70,4,FALSE)</f>
        <v>0</v>
      </c>
      <c r="K4209" s="4">
        <v>45868</v>
      </c>
      <c r="L4209" s="5">
        <v>7</v>
      </c>
      <c r="M4209" s="5">
        <v>2025</v>
      </c>
      <c r="N4209" s="135">
        <v>3420</v>
      </c>
      <c r="P4209" s="12">
        <v>3420</v>
      </c>
      <c r="Q4209" s="7">
        <v>6987657.1500000032</v>
      </c>
      <c r="R4209" s="44" t="str">
        <f>VLOOKUP(F4209,'Set up'!$A$2:$E$70,5,FALSE)</f>
        <v>Trsf</v>
      </c>
    </row>
    <row r="4210" spans="1:19" ht="16.25" customHeight="1" x14ac:dyDescent="0.35">
      <c r="A4210" s="105" t="s">
        <v>4044</v>
      </c>
      <c r="B4210" s="5">
        <f t="shared" si="1050"/>
        <v>7</v>
      </c>
      <c r="C4210" s="5">
        <f t="shared" si="1051"/>
        <v>2025</v>
      </c>
      <c r="D4210" s="105" t="s">
        <v>4045</v>
      </c>
      <c r="E4210" s="5" t="str">
        <f>VLOOKUP(F4210,'Set up'!$A$2:$C$70,2,FALSE)</f>
        <v>C00000027</v>
      </c>
      <c r="F4210" s="99" t="s">
        <v>859</v>
      </c>
      <c r="G4210" s="99" t="s">
        <v>4046</v>
      </c>
      <c r="H4210" s="105">
        <v>4</v>
      </c>
      <c r="I4210" s="5" t="str">
        <f>VLOOKUP(F4210,'Set up'!$A$2:$C$70,3,FALSE)</f>
        <v>Cash</v>
      </c>
      <c r="J4210" s="5">
        <f>VLOOKUP(F4210,'Set up'!$A$2:$D$70,4,FALSE)</f>
        <v>0</v>
      </c>
      <c r="K4210" s="4">
        <v>45868</v>
      </c>
      <c r="L4210" s="5">
        <v>7</v>
      </c>
      <c r="M4210" s="5">
        <v>2025</v>
      </c>
      <c r="N4210" s="135">
        <v>876</v>
      </c>
      <c r="P4210" s="12">
        <v>876</v>
      </c>
      <c r="Q4210" s="7">
        <v>6988533.1500000032</v>
      </c>
      <c r="R4210" s="44" t="str">
        <f>VLOOKUP(F4210,'Set up'!$A$2:$E$70,5,FALSE)</f>
        <v>Trsf</v>
      </c>
    </row>
    <row r="4211" spans="1:19" ht="16.25" customHeight="1" x14ac:dyDescent="0.35">
      <c r="A4211" s="105" t="s">
        <v>4044</v>
      </c>
      <c r="B4211" s="5">
        <f t="shared" si="1050"/>
        <v>7</v>
      </c>
      <c r="C4211" s="5">
        <f t="shared" si="1051"/>
        <v>2025</v>
      </c>
      <c r="D4211" s="105" t="s">
        <v>4045</v>
      </c>
      <c r="E4211" s="5" t="str">
        <f>VLOOKUP(F4211,'Set up'!$A$2:$C$70,2,FALSE)</f>
        <v>C00000027</v>
      </c>
      <c r="F4211" s="99" t="s">
        <v>859</v>
      </c>
      <c r="G4211" s="99" t="s">
        <v>4047</v>
      </c>
      <c r="H4211" s="105">
        <v>1</v>
      </c>
      <c r="I4211" s="5" t="str">
        <f>VLOOKUP(F4211,'Set up'!$A$2:$C$70,3,FALSE)</f>
        <v>Cash</v>
      </c>
      <c r="J4211" s="5">
        <f>VLOOKUP(F4211,'Set up'!$A$2:$D$70,4,FALSE)</f>
        <v>0</v>
      </c>
      <c r="K4211" s="4">
        <v>45868</v>
      </c>
      <c r="L4211" s="5">
        <v>7</v>
      </c>
      <c r="M4211" s="5">
        <v>2025</v>
      </c>
      <c r="N4211" s="135">
        <v>394.2</v>
      </c>
      <c r="P4211" s="12">
        <v>394.2</v>
      </c>
      <c r="Q4211" s="7">
        <v>6988927.3500000034</v>
      </c>
      <c r="R4211" s="44" t="str">
        <f>VLOOKUP(F4211,'Set up'!$A$2:$E$70,5,FALSE)</f>
        <v>Trsf</v>
      </c>
    </row>
    <row r="4212" spans="1:19" ht="16.25" customHeight="1" x14ac:dyDescent="0.35">
      <c r="A4212" s="105" t="s">
        <v>4044</v>
      </c>
      <c r="B4212" s="5">
        <f t="shared" si="1050"/>
        <v>7</v>
      </c>
      <c r="C4212" s="5">
        <f t="shared" si="1051"/>
        <v>2025</v>
      </c>
      <c r="D4212" s="105" t="s">
        <v>4045</v>
      </c>
      <c r="E4212" s="5" t="str">
        <f>VLOOKUP(F4212,'Set up'!$A$2:$C$70,2,FALSE)</f>
        <v>C00000027</v>
      </c>
      <c r="F4212" s="99" t="s">
        <v>859</v>
      </c>
      <c r="G4212" s="99" t="s">
        <v>655</v>
      </c>
      <c r="H4212" s="105">
        <v>1</v>
      </c>
      <c r="I4212" s="5" t="str">
        <f>VLOOKUP(F4212,'Set up'!$A$2:$C$70,3,FALSE)</f>
        <v>Cash</v>
      </c>
      <c r="J4212" s="5">
        <f>VLOOKUP(F4212,'Set up'!$A$2:$D$70,4,FALSE)</f>
        <v>0</v>
      </c>
      <c r="K4212" s="4">
        <v>45868</v>
      </c>
      <c r="L4212" s="5">
        <v>7</v>
      </c>
      <c r="M4212" s="5">
        <v>2025</v>
      </c>
      <c r="N4212" s="135">
        <v>280</v>
      </c>
      <c r="P4212" s="12">
        <v>280</v>
      </c>
      <c r="Q4212" s="7">
        <v>6989207.3500000034</v>
      </c>
      <c r="R4212" s="44" t="str">
        <f>VLOOKUP(F4212,'Set up'!$A$2:$E$70,5,FALSE)</f>
        <v>Trsf</v>
      </c>
    </row>
    <row r="4213" spans="1:19" ht="16.25" customHeight="1" x14ac:dyDescent="0.35">
      <c r="A4213" s="105" t="s">
        <v>4044</v>
      </c>
      <c r="B4213" s="5">
        <f t="shared" si="1050"/>
        <v>7</v>
      </c>
      <c r="C4213" s="5">
        <f t="shared" si="1051"/>
        <v>2025</v>
      </c>
      <c r="D4213" s="105" t="s">
        <v>4045</v>
      </c>
      <c r="E4213" s="5" t="str">
        <f>VLOOKUP(F4213,'Set up'!$A$2:$C$70,2,FALSE)</f>
        <v>C00000027</v>
      </c>
      <c r="F4213" s="99" t="s">
        <v>859</v>
      </c>
      <c r="G4213" s="99" t="s">
        <v>2144</v>
      </c>
      <c r="H4213" s="105">
        <v>2</v>
      </c>
      <c r="I4213" s="5" t="str">
        <f>VLOOKUP(F4213,'Set up'!$A$2:$C$70,3,FALSE)</f>
        <v>Cash</v>
      </c>
      <c r="J4213" s="5">
        <f>VLOOKUP(F4213,'Set up'!$A$2:$D$70,4,FALSE)</f>
        <v>0</v>
      </c>
      <c r="K4213" s="4">
        <v>45868</v>
      </c>
      <c r="L4213" s="5">
        <v>7</v>
      </c>
      <c r="M4213" s="5">
        <v>2025</v>
      </c>
      <c r="N4213" s="135">
        <v>563.20000000000005</v>
      </c>
      <c r="P4213" s="12">
        <v>563.20000000000005</v>
      </c>
      <c r="Q4213" s="7">
        <v>6989770.5500000035</v>
      </c>
      <c r="R4213" s="44" t="str">
        <f>VLOOKUP(F4213,'Set up'!$A$2:$E$70,5,FALSE)</f>
        <v>Trsf</v>
      </c>
    </row>
    <row r="4214" spans="1:19" ht="16.25" customHeight="1" x14ac:dyDescent="0.35">
      <c r="A4214" s="105" t="s">
        <v>4044</v>
      </c>
      <c r="B4214" s="5">
        <f t="shared" si="1050"/>
        <v>7</v>
      </c>
      <c r="C4214" s="5">
        <f t="shared" si="1051"/>
        <v>2025</v>
      </c>
      <c r="D4214" s="105" t="s">
        <v>4045</v>
      </c>
      <c r="E4214" s="5" t="str">
        <f>VLOOKUP(F4214,'Set up'!$A$2:$C$70,2,FALSE)</f>
        <v>C00000027</v>
      </c>
      <c r="F4214" s="99" t="s">
        <v>859</v>
      </c>
      <c r="G4214" s="99" t="s">
        <v>1744</v>
      </c>
      <c r="H4214" s="105">
        <v>1</v>
      </c>
      <c r="I4214" s="5" t="str">
        <f>VLOOKUP(F4214,'Set up'!$A$2:$C$70,3,FALSE)</f>
        <v>Cash</v>
      </c>
      <c r="J4214" s="5">
        <f>VLOOKUP(F4214,'Set up'!$A$2:$D$70,4,FALSE)</f>
        <v>0</v>
      </c>
      <c r="K4214" s="4">
        <v>45868</v>
      </c>
      <c r="L4214" s="5">
        <v>7</v>
      </c>
      <c r="M4214" s="5">
        <v>2025</v>
      </c>
      <c r="N4214" s="135">
        <v>1108.4000000000001</v>
      </c>
      <c r="P4214" s="12">
        <v>1108.4000000000001</v>
      </c>
      <c r="Q4214" s="7">
        <v>6990878.9500000039</v>
      </c>
      <c r="R4214" s="44" t="str">
        <f>VLOOKUP(F4214,'Set up'!$A$2:$E$70,5,FALSE)</f>
        <v>Trsf</v>
      </c>
    </row>
    <row r="4215" spans="1:19" ht="16.25" customHeight="1" x14ac:dyDescent="0.35">
      <c r="A4215" s="105" t="s">
        <v>4044</v>
      </c>
      <c r="B4215" s="5">
        <f t="shared" si="1050"/>
        <v>7</v>
      </c>
      <c r="C4215" s="5">
        <f t="shared" si="1051"/>
        <v>2025</v>
      </c>
      <c r="D4215" s="105" t="s">
        <v>4045</v>
      </c>
      <c r="E4215" s="5" t="str">
        <f>VLOOKUP(F4215,'Set up'!$A$2:$C$70,2,FALSE)</f>
        <v>C00000027</v>
      </c>
      <c r="F4215" s="99" t="s">
        <v>859</v>
      </c>
      <c r="G4215" s="99" t="s">
        <v>949</v>
      </c>
      <c r="H4215" s="105">
        <v>6</v>
      </c>
      <c r="I4215" s="5" t="str">
        <f>VLOOKUP(F4215,'Set up'!$A$2:$C$70,3,FALSE)</f>
        <v>Cash</v>
      </c>
      <c r="J4215" s="5">
        <f>VLOOKUP(F4215,'Set up'!$A$2:$D$70,4,FALSE)</f>
        <v>0</v>
      </c>
      <c r="K4215" s="4">
        <v>45868</v>
      </c>
      <c r="L4215" s="5">
        <v>7</v>
      </c>
      <c r="M4215" s="5">
        <v>2025</v>
      </c>
      <c r="N4215" s="135">
        <v>360</v>
      </c>
      <c r="P4215" s="12">
        <v>360</v>
      </c>
      <c r="Q4215" s="7">
        <v>6991238.9500000039</v>
      </c>
      <c r="R4215" s="44" t="str">
        <f>VLOOKUP(F4215,'Set up'!$A$2:$E$70,5,FALSE)</f>
        <v>Trsf</v>
      </c>
    </row>
    <row r="4216" spans="1:19" ht="16.25" customHeight="1" x14ac:dyDescent="0.35">
      <c r="A4216" s="105" t="s">
        <v>4044</v>
      </c>
      <c r="B4216" s="5">
        <f t="shared" si="1050"/>
        <v>7</v>
      </c>
      <c r="C4216" s="5">
        <f t="shared" si="1051"/>
        <v>2025</v>
      </c>
      <c r="D4216" s="105" t="s">
        <v>4045</v>
      </c>
      <c r="E4216" s="5" t="str">
        <f>VLOOKUP(F4216,'Set up'!$A$2:$C$70,2,FALSE)</f>
        <v>C00000027</v>
      </c>
      <c r="F4216" s="99" t="s">
        <v>859</v>
      </c>
      <c r="G4216" s="99" t="s">
        <v>1399</v>
      </c>
      <c r="H4216" s="105">
        <v>2</v>
      </c>
      <c r="I4216" s="5" t="str">
        <f>VLOOKUP(F4216,'Set up'!$A$2:$C$70,3,FALSE)</f>
        <v>Cash</v>
      </c>
      <c r="J4216" s="5">
        <f>VLOOKUP(F4216,'Set up'!$A$2:$D$70,4,FALSE)</f>
        <v>0</v>
      </c>
      <c r="K4216" s="4">
        <v>45868</v>
      </c>
      <c r="L4216" s="5">
        <v>7</v>
      </c>
      <c r="M4216" s="5">
        <v>2025</v>
      </c>
      <c r="N4216" s="135">
        <v>320</v>
      </c>
      <c r="P4216" s="12">
        <v>320</v>
      </c>
      <c r="Q4216" s="7">
        <v>6991558.9500000039</v>
      </c>
      <c r="R4216" s="44" t="str">
        <f>VLOOKUP(F4216,'Set up'!$A$2:$E$70,5,FALSE)</f>
        <v>Trsf</v>
      </c>
    </row>
    <row r="4217" spans="1:19" ht="16.25" customHeight="1" x14ac:dyDescent="0.35">
      <c r="A4217" s="105" t="s">
        <v>4048</v>
      </c>
      <c r="B4217" s="5">
        <f t="shared" si="1050"/>
        <v>7</v>
      </c>
      <c r="C4217" s="5">
        <f t="shared" si="1051"/>
        <v>2025</v>
      </c>
      <c r="D4217" s="105" t="s">
        <v>4049</v>
      </c>
      <c r="E4217" s="5" t="str">
        <f>VLOOKUP(F4217,'Set up'!$A$2:$C$70,2,FALSE)</f>
        <v>C00000013</v>
      </c>
      <c r="F4217" s="99" t="s">
        <v>3549</v>
      </c>
      <c r="G4217" s="99" t="s">
        <v>3122</v>
      </c>
      <c r="H4217" s="105">
        <v>1</v>
      </c>
      <c r="I4217" s="5" t="str">
        <f>VLOOKUP(F4217,'Set up'!$A$2:$C$70,3,FALSE)</f>
        <v>Cash</v>
      </c>
      <c r="J4217" s="5">
        <f>VLOOKUP(F4217,'Set up'!$A$2:$D$70,4,FALSE)</f>
        <v>0</v>
      </c>
      <c r="K4217" s="4">
        <v>45869</v>
      </c>
      <c r="L4217" s="5">
        <v>7</v>
      </c>
      <c r="M4217" s="5">
        <v>2025</v>
      </c>
      <c r="N4217" s="135">
        <v>1710</v>
      </c>
      <c r="O4217" s="6">
        <f t="shared" ref="O4217:O4226" si="1060">-N4217</f>
        <v>-1710</v>
      </c>
      <c r="P4217" s="12">
        <f t="shared" ref="P4217:P4226" si="1061">SUM(N4217+O4217)</f>
        <v>0</v>
      </c>
      <c r="Q4217" s="7">
        <v>6993268.9500000039</v>
      </c>
      <c r="R4217" s="44" t="str">
        <f>VLOOKUP(F4217,'Set up'!$A$2:$E$70,5,FALSE)</f>
        <v>Chq</v>
      </c>
      <c r="S4217" s="1" t="s">
        <v>4075</v>
      </c>
    </row>
    <row r="4218" spans="1:19" ht="16.25" customHeight="1" x14ac:dyDescent="0.35">
      <c r="A4218" s="105" t="s">
        <v>4048</v>
      </c>
      <c r="B4218" s="5">
        <f t="shared" si="1050"/>
        <v>7</v>
      </c>
      <c r="C4218" s="5">
        <f t="shared" si="1051"/>
        <v>2025</v>
      </c>
      <c r="D4218" s="105" t="s">
        <v>4049</v>
      </c>
      <c r="E4218" s="5" t="str">
        <f>VLOOKUP(F4218,'Set up'!$A$2:$C$70,2,FALSE)</f>
        <v>C00000013</v>
      </c>
      <c r="F4218" s="99" t="s">
        <v>3549</v>
      </c>
      <c r="G4218" s="99" t="s">
        <v>4050</v>
      </c>
      <c r="H4218" s="105">
        <v>1</v>
      </c>
      <c r="I4218" s="5" t="str">
        <f>VLOOKUP(F4218,'Set up'!$A$2:$C$70,3,FALSE)</f>
        <v>Cash</v>
      </c>
      <c r="J4218" s="5">
        <f>VLOOKUP(F4218,'Set up'!$A$2:$D$70,4,FALSE)</f>
        <v>0</v>
      </c>
      <c r="K4218" s="4">
        <v>45869</v>
      </c>
      <c r="L4218" s="5">
        <v>7</v>
      </c>
      <c r="M4218" s="5">
        <v>2025</v>
      </c>
      <c r="N4218" s="135">
        <v>438</v>
      </c>
      <c r="O4218" s="6">
        <f t="shared" si="1060"/>
        <v>-438</v>
      </c>
      <c r="P4218" s="12">
        <f t="shared" si="1061"/>
        <v>0</v>
      </c>
      <c r="Q4218" s="7">
        <v>6993706.9500000039</v>
      </c>
      <c r="R4218" s="44" t="str">
        <f>VLOOKUP(F4218,'Set up'!$A$2:$E$70,5,FALSE)</f>
        <v>Chq</v>
      </c>
      <c r="S4218" s="1" t="s">
        <v>4075</v>
      </c>
    </row>
    <row r="4219" spans="1:19" ht="16.25" customHeight="1" x14ac:dyDescent="0.35">
      <c r="A4219" s="105" t="s">
        <v>4048</v>
      </c>
      <c r="B4219" s="5">
        <f t="shared" si="1050"/>
        <v>7</v>
      </c>
      <c r="C4219" s="5">
        <f t="shared" si="1051"/>
        <v>2025</v>
      </c>
      <c r="D4219" s="105" t="s">
        <v>4049</v>
      </c>
      <c r="E4219" s="5" t="str">
        <f>VLOOKUP(F4219,'Set up'!$A$2:$C$70,2,FALSE)</f>
        <v>C00000013</v>
      </c>
      <c r="F4219" s="99" t="s">
        <v>3549</v>
      </c>
      <c r="G4219" s="99" t="s">
        <v>2144</v>
      </c>
      <c r="H4219" s="105">
        <v>2</v>
      </c>
      <c r="I4219" s="5" t="str">
        <f>VLOOKUP(F4219,'Set up'!$A$2:$C$70,3,FALSE)</f>
        <v>Cash</v>
      </c>
      <c r="J4219" s="5">
        <f>VLOOKUP(F4219,'Set up'!$A$2:$D$70,4,FALSE)</f>
        <v>0</v>
      </c>
      <c r="K4219" s="4">
        <v>45869</v>
      </c>
      <c r="L4219" s="5">
        <v>7</v>
      </c>
      <c r="M4219" s="5">
        <v>2025</v>
      </c>
      <c r="N4219" s="135">
        <v>567.6</v>
      </c>
      <c r="O4219" s="6">
        <f t="shared" si="1060"/>
        <v>-567.6</v>
      </c>
      <c r="P4219" s="12">
        <f t="shared" si="1061"/>
        <v>0</v>
      </c>
      <c r="Q4219" s="7">
        <v>6994274.5500000035</v>
      </c>
      <c r="R4219" s="44" t="str">
        <f>VLOOKUP(F4219,'Set up'!$A$2:$E$70,5,FALSE)</f>
        <v>Chq</v>
      </c>
      <c r="S4219" s="1" t="s">
        <v>4075</v>
      </c>
    </row>
    <row r="4220" spans="1:19" ht="16.25" customHeight="1" x14ac:dyDescent="0.35">
      <c r="A4220" s="105" t="s">
        <v>4048</v>
      </c>
      <c r="B4220" s="5">
        <f t="shared" si="1050"/>
        <v>7</v>
      </c>
      <c r="C4220" s="5">
        <f t="shared" si="1051"/>
        <v>2025</v>
      </c>
      <c r="D4220" s="105" t="s">
        <v>4049</v>
      </c>
      <c r="E4220" s="5" t="str">
        <f>VLOOKUP(F4220,'Set up'!$A$2:$C$70,2,FALSE)</f>
        <v>C00000013</v>
      </c>
      <c r="F4220" s="99" t="s">
        <v>3549</v>
      </c>
      <c r="G4220" s="99" t="s">
        <v>4051</v>
      </c>
      <c r="H4220" s="105">
        <v>1</v>
      </c>
      <c r="I4220" s="5" t="str">
        <f>VLOOKUP(F4220,'Set up'!$A$2:$C$70,3,FALSE)</f>
        <v>Cash</v>
      </c>
      <c r="J4220" s="5">
        <f>VLOOKUP(F4220,'Set up'!$A$2:$D$70,4,FALSE)</f>
        <v>0</v>
      </c>
      <c r="K4220" s="4">
        <v>45869</v>
      </c>
      <c r="L4220" s="5">
        <v>7</v>
      </c>
      <c r="M4220" s="5">
        <v>2025</v>
      </c>
      <c r="N4220" s="135">
        <v>115</v>
      </c>
      <c r="O4220" s="6">
        <f t="shared" si="1060"/>
        <v>-115</v>
      </c>
      <c r="P4220" s="12">
        <f t="shared" si="1061"/>
        <v>0</v>
      </c>
      <c r="Q4220" s="7">
        <v>6994389.5500000035</v>
      </c>
      <c r="R4220" s="44" t="str">
        <f>VLOOKUP(F4220,'Set up'!$A$2:$E$70,5,FALSE)</f>
        <v>Chq</v>
      </c>
      <c r="S4220" s="1" t="s">
        <v>4075</v>
      </c>
    </row>
    <row r="4221" spans="1:19" ht="16.25" customHeight="1" x14ac:dyDescent="0.35">
      <c r="A4221" s="105" t="s">
        <v>4048</v>
      </c>
      <c r="B4221" s="5">
        <f t="shared" si="1050"/>
        <v>7</v>
      </c>
      <c r="C4221" s="5">
        <f t="shared" si="1051"/>
        <v>2025</v>
      </c>
      <c r="D4221" s="105" t="s">
        <v>4049</v>
      </c>
      <c r="E4221" s="5" t="str">
        <f>VLOOKUP(F4221,'Set up'!$A$2:$C$70,2,FALSE)</f>
        <v>C00000013</v>
      </c>
      <c r="F4221" s="99" t="s">
        <v>3549</v>
      </c>
      <c r="G4221" s="99" t="s">
        <v>4052</v>
      </c>
      <c r="H4221" s="105">
        <v>5</v>
      </c>
      <c r="I4221" s="5" t="str">
        <f>VLOOKUP(F4221,'Set up'!$A$2:$C$70,3,FALSE)</f>
        <v>Cash</v>
      </c>
      <c r="J4221" s="5">
        <f>VLOOKUP(F4221,'Set up'!$A$2:$D$70,4,FALSE)</f>
        <v>0</v>
      </c>
      <c r="K4221" s="4">
        <v>45869</v>
      </c>
      <c r="L4221" s="5">
        <v>7</v>
      </c>
      <c r="M4221" s="5">
        <v>2025</v>
      </c>
      <c r="N4221" s="135">
        <v>27.5</v>
      </c>
      <c r="O4221" s="6">
        <f t="shared" si="1060"/>
        <v>-27.5</v>
      </c>
      <c r="P4221" s="12">
        <f t="shared" si="1061"/>
        <v>0</v>
      </c>
      <c r="Q4221" s="7">
        <v>6994417.0500000035</v>
      </c>
      <c r="R4221" s="44" t="str">
        <f>VLOOKUP(F4221,'Set up'!$A$2:$E$70,5,FALSE)</f>
        <v>Chq</v>
      </c>
      <c r="S4221" s="1" t="s">
        <v>4075</v>
      </c>
    </row>
    <row r="4222" spans="1:19" ht="16.25" customHeight="1" x14ac:dyDescent="0.35">
      <c r="A4222" s="105" t="s">
        <v>4048</v>
      </c>
      <c r="B4222" s="5">
        <f t="shared" si="1050"/>
        <v>7</v>
      </c>
      <c r="C4222" s="5">
        <f t="shared" si="1051"/>
        <v>2025</v>
      </c>
      <c r="D4222" s="105" t="s">
        <v>4049</v>
      </c>
      <c r="E4222" s="5" t="str">
        <f>VLOOKUP(F4222,'Set up'!$A$2:$C$70,2,FALSE)</f>
        <v>C00000013</v>
      </c>
      <c r="F4222" s="99" t="s">
        <v>3549</v>
      </c>
      <c r="G4222" s="99" t="s">
        <v>4053</v>
      </c>
      <c r="H4222" s="105">
        <v>5</v>
      </c>
      <c r="I4222" s="5" t="str">
        <f>VLOOKUP(F4222,'Set up'!$A$2:$C$70,3,FALSE)</f>
        <v>Cash</v>
      </c>
      <c r="J4222" s="5">
        <f>VLOOKUP(F4222,'Set up'!$A$2:$D$70,4,FALSE)</f>
        <v>0</v>
      </c>
      <c r="K4222" s="4">
        <v>45869</v>
      </c>
      <c r="L4222" s="5">
        <v>7</v>
      </c>
      <c r="M4222" s="5">
        <v>2025</v>
      </c>
      <c r="N4222" s="135">
        <v>25</v>
      </c>
      <c r="O4222" s="6">
        <f t="shared" si="1060"/>
        <v>-25</v>
      </c>
      <c r="P4222" s="12">
        <f t="shared" si="1061"/>
        <v>0</v>
      </c>
      <c r="Q4222" s="7">
        <v>6994442.0500000035</v>
      </c>
      <c r="R4222" s="44" t="str">
        <f>VLOOKUP(F4222,'Set up'!$A$2:$E$70,5,FALSE)</f>
        <v>Chq</v>
      </c>
      <c r="S4222" s="1" t="s">
        <v>4075</v>
      </c>
    </row>
    <row r="4223" spans="1:19" ht="16.25" customHeight="1" x14ac:dyDescent="0.35">
      <c r="A4223" s="105" t="s">
        <v>4048</v>
      </c>
      <c r="B4223" s="5">
        <f t="shared" si="1050"/>
        <v>7</v>
      </c>
      <c r="C4223" s="5">
        <f t="shared" si="1051"/>
        <v>2025</v>
      </c>
      <c r="D4223" s="105" t="s">
        <v>4049</v>
      </c>
      <c r="E4223" s="5" t="str">
        <f>VLOOKUP(F4223,'Set up'!$A$2:$C$70,2,FALSE)</f>
        <v>C00000013</v>
      </c>
      <c r="F4223" s="99" t="s">
        <v>3549</v>
      </c>
      <c r="G4223" s="99" t="s">
        <v>4054</v>
      </c>
      <c r="H4223" s="105">
        <v>1</v>
      </c>
      <c r="I4223" s="5" t="str">
        <f>VLOOKUP(F4223,'Set up'!$A$2:$C$70,3,FALSE)</f>
        <v>Cash</v>
      </c>
      <c r="J4223" s="5">
        <f>VLOOKUP(F4223,'Set up'!$A$2:$D$70,4,FALSE)</f>
        <v>0</v>
      </c>
      <c r="K4223" s="4">
        <v>45869</v>
      </c>
      <c r="L4223" s="5">
        <v>7</v>
      </c>
      <c r="M4223" s="5">
        <v>2025</v>
      </c>
      <c r="N4223" s="135">
        <v>36</v>
      </c>
      <c r="O4223" s="6">
        <f t="shared" si="1060"/>
        <v>-36</v>
      </c>
      <c r="P4223" s="12">
        <f t="shared" si="1061"/>
        <v>0</v>
      </c>
      <c r="Q4223" s="7">
        <v>6994478.0500000035</v>
      </c>
      <c r="R4223" s="44" t="str">
        <f>VLOOKUP(F4223,'Set up'!$A$2:$E$70,5,FALSE)</f>
        <v>Chq</v>
      </c>
      <c r="S4223" s="1" t="s">
        <v>4075</v>
      </c>
    </row>
    <row r="4224" spans="1:19" ht="16.25" customHeight="1" x14ac:dyDescent="0.35">
      <c r="A4224" s="105" t="s">
        <v>4048</v>
      </c>
      <c r="B4224" s="5">
        <f t="shared" si="1050"/>
        <v>7</v>
      </c>
      <c r="C4224" s="5">
        <f t="shared" si="1051"/>
        <v>2025</v>
      </c>
      <c r="D4224" s="105" t="s">
        <v>4049</v>
      </c>
      <c r="E4224" s="5" t="str">
        <f>VLOOKUP(F4224,'Set up'!$A$2:$C$70,2,FALSE)</f>
        <v>C00000013</v>
      </c>
      <c r="F4224" s="99" t="s">
        <v>3549</v>
      </c>
      <c r="G4224" s="99" t="s">
        <v>1425</v>
      </c>
      <c r="H4224" s="105">
        <v>3</v>
      </c>
      <c r="I4224" s="5" t="str">
        <f>VLOOKUP(F4224,'Set up'!$A$2:$C$70,3,FALSE)</f>
        <v>Cash</v>
      </c>
      <c r="J4224" s="5">
        <f>VLOOKUP(F4224,'Set up'!$A$2:$D$70,4,FALSE)</f>
        <v>0</v>
      </c>
      <c r="K4224" s="4">
        <v>45869</v>
      </c>
      <c r="L4224" s="5">
        <v>7</v>
      </c>
      <c r="M4224" s="5">
        <v>2025</v>
      </c>
      <c r="N4224" s="135">
        <v>174</v>
      </c>
      <c r="O4224" s="6">
        <f t="shared" si="1060"/>
        <v>-174</v>
      </c>
      <c r="P4224" s="12">
        <f t="shared" si="1061"/>
        <v>0</v>
      </c>
      <c r="Q4224" s="7">
        <v>6994652.0500000035</v>
      </c>
      <c r="R4224" s="44" t="str">
        <f>VLOOKUP(F4224,'Set up'!$A$2:$E$70,5,FALSE)</f>
        <v>Chq</v>
      </c>
      <c r="S4224" s="1" t="s">
        <v>4075</v>
      </c>
    </row>
    <row r="4225" spans="1:19" ht="16.25" customHeight="1" x14ac:dyDescent="0.35">
      <c r="A4225" s="105" t="s">
        <v>4048</v>
      </c>
      <c r="B4225" s="5">
        <f t="shared" si="1050"/>
        <v>7</v>
      </c>
      <c r="C4225" s="5">
        <f t="shared" si="1051"/>
        <v>2025</v>
      </c>
      <c r="D4225" s="105" t="s">
        <v>4049</v>
      </c>
      <c r="E4225" s="5" t="str">
        <f>VLOOKUP(F4225,'Set up'!$A$2:$C$70,2,FALSE)</f>
        <v>C00000013</v>
      </c>
      <c r="F4225" s="99" t="s">
        <v>3549</v>
      </c>
      <c r="G4225" s="99" t="s">
        <v>4055</v>
      </c>
      <c r="H4225" s="105">
        <v>2</v>
      </c>
      <c r="I4225" s="5" t="str">
        <f>VLOOKUP(F4225,'Set up'!$A$2:$C$70,3,FALSE)</f>
        <v>Cash</v>
      </c>
      <c r="J4225" s="5">
        <f>VLOOKUP(F4225,'Set up'!$A$2:$D$70,4,FALSE)</f>
        <v>0</v>
      </c>
      <c r="K4225" s="4">
        <v>45869</v>
      </c>
      <c r="L4225" s="5">
        <v>7</v>
      </c>
      <c r="M4225" s="5">
        <v>2025</v>
      </c>
      <c r="N4225" s="135">
        <v>26</v>
      </c>
      <c r="O4225" s="6">
        <f t="shared" si="1060"/>
        <v>-26</v>
      </c>
      <c r="P4225" s="12">
        <f t="shared" si="1061"/>
        <v>0</v>
      </c>
      <c r="Q4225" s="7">
        <v>6994678.0500000035</v>
      </c>
      <c r="R4225" s="44" t="str">
        <f>VLOOKUP(F4225,'Set up'!$A$2:$E$70,5,FALSE)</f>
        <v>Chq</v>
      </c>
      <c r="S4225" s="1" t="s">
        <v>4075</v>
      </c>
    </row>
    <row r="4226" spans="1:19" ht="16.25" customHeight="1" x14ac:dyDescent="0.35">
      <c r="A4226" s="105" t="s">
        <v>4048</v>
      </c>
      <c r="B4226" s="5">
        <f t="shared" si="1050"/>
        <v>7</v>
      </c>
      <c r="C4226" s="5">
        <f t="shared" si="1051"/>
        <v>2025</v>
      </c>
      <c r="D4226" s="105" t="s">
        <v>4049</v>
      </c>
      <c r="E4226" s="5" t="str">
        <f>VLOOKUP(F4226,'Set up'!$A$2:$C$70,2,FALSE)</f>
        <v>C00000013</v>
      </c>
      <c r="F4226" s="99" t="s">
        <v>3549</v>
      </c>
      <c r="G4226" s="99" t="s">
        <v>4056</v>
      </c>
      <c r="H4226" s="105">
        <v>4</v>
      </c>
      <c r="I4226" s="5" t="str">
        <f>VLOOKUP(F4226,'Set up'!$A$2:$C$70,3,FALSE)</f>
        <v>Cash</v>
      </c>
      <c r="J4226" s="5">
        <f>VLOOKUP(F4226,'Set up'!$A$2:$D$70,4,FALSE)</f>
        <v>0</v>
      </c>
      <c r="K4226" s="4">
        <v>45869</v>
      </c>
      <c r="L4226" s="5">
        <v>7</v>
      </c>
      <c r="M4226" s="5">
        <v>2025</v>
      </c>
      <c r="N4226" s="135">
        <v>10</v>
      </c>
      <c r="O4226" s="6">
        <f t="shared" si="1060"/>
        <v>-10</v>
      </c>
      <c r="P4226" s="12">
        <f t="shared" si="1061"/>
        <v>0</v>
      </c>
      <c r="Q4226" s="7">
        <v>6994688.0500000035</v>
      </c>
      <c r="R4226" s="44" t="str">
        <f>VLOOKUP(F4226,'Set up'!$A$2:$E$70,5,FALSE)</f>
        <v>Chq</v>
      </c>
      <c r="S4226" s="1" t="s">
        <v>4075</v>
      </c>
    </row>
    <row r="4227" spans="1:19" ht="16.25" customHeight="1" x14ac:dyDescent="0.35">
      <c r="A4227" s="105" t="s">
        <v>4048</v>
      </c>
      <c r="B4227" s="5">
        <f t="shared" ref="B4227:B4229" si="1062">MONTH(A4227)</f>
        <v>7</v>
      </c>
      <c r="C4227" s="5">
        <f t="shared" ref="C4227:C4229" si="1063">YEAR(A4227)</f>
        <v>2025</v>
      </c>
      <c r="D4227" s="105" t="s">
        <v>4057</v>
      </c>
      <c r="E4227" s="5" t="str">
        <f>VLOOKUP(F4227,'Set up'!$A$2:$C$70,2,FALSE)</f>
        <v>C00000061</v>
      </c>
      <c r="F4227" s="99" t="s">
        <v>3532</v>
      </c>
      <c r="G4227" s="99" t="s">
        <v>3639</v>
      </c>
      <c r="H4227" s="105">
        <v>1</v>
      </c>
      <c r="I4227" s="5" t="str">
        <f>VLOOKUP(F4227,'Set up'!$A$2:$C$70,3,FALSE)</f>
        <v>Cash</v>
      </c>
      <c r="J4227" s="5">
        <f>VLOOKUP(F4227,'Set up'!$A$2:$D$70,4,FALSE)</f>
        <v>0</v>
      </c>
      <c r="K4227" s="4">
        <v>45869</v>
      </c>
      <c r="L4227" s="5">
        <v>7</v>
      </c>
      <c r="M4227" s="5">
        <v>2025</v>
      </c>
      <c r="N4227" s="135">
        <v>408.7</v>
      </c>
      <c r="O4227" s="6">
        <f t="shared" ref="O4227:O4229" si="1064">-N4227</f>
        <v>-408.7</v>
      </c>
      <c r="P4227" s="12">
        <f t="shared" ref="P4227:P4229" si="1065">SUM(N4227+O4227)</f>
        <v>0</v>
      </c>
      <c r="Q4227" s="7">
        <v>6995096.7500000037</v>
      </c>
      <c r="R4227" s="44" t="str">
        <f>VLOOKUP(F4227,'Set up'!$A$2:$E$70,5,FALSE)</f>
        <v>Cash</v>
      </c>
      <c r="S4227" s="1" t="s">
        <v>4073</v>
      </c>
    </row>
    <row r="4228" spans="1:19" ht="16.25" customHeight="1" x14ac:dyDescent="0.35">
      <c r="A4228" s="105" t="s">
        <v>4048</v>
      </c>
      <c r="B4228" s="5">
        <f t="shared" si="1062"/>
        <v>7</v>
      </c>
      <c r="C4228" s="5">
        <f t="shared" si="1063"/>
        <v>2025</v>
      </c>
      <c r="D4228" s="105" t="s">
        <v>4057</v>
      </c>
      <c r="E4228" s="5" t="str">
        <f>VLOOKUP(F4228,'Set up'!$A$2:$C$70,2,FALSE)</f>
        <v>C00000061</v>
      </c>
      <c r="F4228" s="99" t="s">
        <v>3532</v>
      </c>
      <c r="G4228" s="99" t="s">
        <v>46</v>
      </c>
      <c r="H4228" s="105">
        <v>1</v>
      </c>
      <c r="I4228" s="5" t="str">
        <f>VLOOKUP(F4228,'Set up'!$A$2:$C$70,3,FALSE)</f>
        <v>Cash</v>
      </c>
      <c r="J4228" s="5">
        <f>VLOOKUP(F4228,'Set up'!$A$2:$D$70,4,FALSE)</f>
        <v>0</v>
      </c>
      <c r="K4228" s="4">
        <v>45869</v>
      </c>
      <c r="L4228" s="5">
        <v>7</v>
      </c>
      <c r="M4228" s="5">
        <v>2025</v>
      </c>
      <c r="N4228" s="135">
        <v>115</v>
      </c>
      <c r="O4228" s="6">
        <f t="shared" si="1064"/>
        <v>-115</v>
      </c>
      <c r="P4228" s="12">
        <f t="shared" si="1065"/>
        <v>0</v>
      </c>
      <c r="Q4228" s="7">
        <v>6995211.7500000037</v>
      </c>
      <c r="R4228" s="44" t="str">
        <f>VLOOKUP(F4228,'Set up'!$A$2:$E$70,5,FALSE)</f>
        <v>Cash</v>
      </c>
      <c r="S4228" s="1" t="s">
        <v>4073</v>
      </c>
    </row>
    <row r="4229" spans="1:19" ht="16.25" customHeight="1" x14ac:dyDescent="0.35">
      <c r="A4229" s="105" t="s">
        <v>4048</v>
      </c>
      <c r="B4229" s="5">
        <f t="shared" si="1062"/>
        <v>7</v>
      </c>
      <c r="C4229" s="5">
        <f t="shared" si="1063"/>
        <v>2025</v>
      </c>
      <c r="D4229" s="105" t="s">
        <v>4057</v>
      </c>
      <c r="E4229" s="5" t="str">
        <f>VLOOKUP(F4229,'Set up'!$A$2:$C$70,2,FALSE)</f>
        <v>C00000061</v>
      </c>
      <c r="F4229" s="99" t="s">
        <v>3532</v>
      </c>
      <c r="G4229" s="99" t="s">
        <v>2635</v>
      </c>
      <c r="H4229" s="105">
        <v>3</v>
      </c>
      <c r="I4229" s="5" t="str">
        <f>VLOOKUP(F4229,'Set up'!$A$2:$C$70,3,FALSE)</f>
        <v>Cash</v>
      </c>
      <c r="J4229" s="5">
        <f>VLOOKUP(F4229,'Set up'!$A$2:$D$70,4,FALSE)</f>
        <v>0</v>
      </c>
      <c r="K4229" s="4">
        <v>45869</v>
      </c>
      <c r="L4229" s="5">
        <v>7</v>
      </c>
      <c r="M4229" s="5">
        <v>2025</v>
      </c>
      <c r="N4229" s="135">
        <v>172.5</v>
      </c>
      <c r="O4229" s="6">
        <f t="shared" si="1064"/>
        <v>-172.5</v>
      </c>
      <c r="P4229" s="12">
        <f t="shared" si="1065"/>
        <v>0</v>
      </c>
      <c r="Q4229" s="7">
        <v>6995384.2500000037</v>
      </c>
      <c r="R4229" s="44" t="str">
        <f>VLOOKUP(F4229,'Set up'!$A$2:$E$70,5,FALSE)</f>
        <v>Cash</v>
      </c>
      <c r="S4229" s="1" t="s">
        <v>4073</v>
      </c>
    </row>
    <row r="4230" spans="1:19" ht="16.25" customHeight="1" x14ac:dyDescent="0.35">
      <c r="A4230" s="4"/>
      <c r="F4230" s="132"/>
      <c r="G4230" s="133"/>
      <c r="K4230" s="4"/>
      <c r="N4230" s="12"/>
      <c r="O4230" s="12"/>
      <c r="P4230" s="12"/>
      <c r="Q4230" s="7"/>
      <c r="R4230" s="44"/>
    </row>
    <row r="4231" spans="1:19" ht="15" customHeight="1" x14ac:dyDescent="0.35">
      <c r="A4231" s="4"/>
      <c r="G4231" s="99"/>
      <c r="K4231" s="4"/>
      <c r="Q4231" s="7"/>
      <c r="R4231" s="44"/>
    </row>
    <row r="4232" spans="1:19" x14ac:dyDescent="0.35">
      <c r="K4232" s="4"/>
      <c r="Q4232" s="51"/>
    </row>
    <row r="4233" spans="1:19" x14ac:dyDescent="0.35">
      <c r="K4233" s="11" t="s">
        <v>194</v>
      </c>
      <c r="N4233" s="30">
        <f>SUM(N2:N4232)</f>
        <v>6995384.2500000037</v>
      </c>
      <c r="O4233" s="32">
        <f>SUM(O2:O4232)</f>
        <v>-6212715.1500000041</v>
      </c>
      <c r="P4233" s="34">
        <f>SUM(P2:P4232)</f>
        <v>782669.10000000009</v>
      </c>
      <c r="Q4233" s="52">
        <f>SUM(N4233+O4233)</f>
        <v>782669.09999999963</v>
      </c>
    </row>
    <row r="4234" spans="1:19" x14ac:dyDescent="0.35">
      <c r="N4234" s="31" t="s">
        <v>197</v>
      </c>
      <c r="O4234" s="33" t="s">
        <v>195</v>
      </c>
      <c r="P4234" s="35" t="s">
        <v>196</v>
      </c>
      <c r="Q4234" s="53"/>
    </row>
    <row r="4235" spans="1:19" x14ac:dyDescent="0.35">
      <c r="N4235" s="28"/>
      <c r="O4235" s="28"/>
      <c r="P4235" s="28"/>
      <c r="Q4235" s="28"/>
    </row>
    <row r="4236" spans="1:19" x14ac:dyDescent="0.35">
      <c r="Q4236" s="51"/>
    </row>
    <row r="4237" spans="1:19" x14ac:dyDescent="0.35">
      <c r="O4237" s="32">
        <f>SUM(O4233)</f>
        <v>-6212715.1500000041</v>
      </c>
      <c r="P4237" s="27" t="s">
        <v>193</v>
      </c>
      <c r="Q4237" s="54" t="s">
        <v>195</v>
      </c>
    </row>
    <row r="4238" spans="1:19" x14ac:dyDescent="0.35">
      <c r="O4238" s="6">
        <v>0.5</v>
      </c>
      <c r="P4238" s="27" t="s">
        <v>193</v>
      </c>
      <c r="Q4238" s="50" t="s">
        <v>284</v>
      </c>
    </row>
    <row r="4239" spans="1:19" x14ac:dyDescent="0.35">
      <c r="P4239" s="27"/>
      <c r="Q4239" s="50"/>
    </row>
    <row r="4240" spans="1:19" ht="16" thickBot="1" x14ac:dyDescent="0.4">
      <c r="O4240" s="29">
        <f>SUM(O4237:O4239)</f>
        <v>-6212714.6500000041</v>
      </c>
      <c r="P4240" s="27" t="s">
        <v>193</v>
      </c>
      <c r="Q4240" s="49" t="s">
        <v>3968</v>
      </c>
    </row>
    <row r="4241" spans="17:17" ht="16" thickTop="1" x14ac:dyDescent="0.35">
      <c r="Q4241" s="51"/>
    </row>
    <row r="4242" spans="17:17" x14ac:dyDescent="0.35">
      <c r="Q4242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67"/>
  <sheetViews>
    <sheetView topLeftCell="A52" workbookViewId="0">
      <selection activeCell="A68" sqref="A68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5" x14ac:dyDescent="0.35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5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5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5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5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5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5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5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5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5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5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5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5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5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5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5" x14ac:dyDescent="0.35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5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5" x14ac:dyDescent="0.35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5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5" x14ac:dyDescent="0.35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5" x14ac:dyDescent="0.35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  <row r="65" spans="1:5" ht="15.5" x14ac:dyDescent="0.35">
      <c r="A65" s="1" t="s">
        <v>3867</v>
      </c>
      <c r="B65" s="125" t="s">
        <v>3893</v>
      </c>
      <c r="C65" s="125" t="s">
        <v>5</v>
      </c>
      <c r="D65" s="125">
        <v>0</v>
      </c>
      <c r="E65" s="125" t="s">
        <v>5</v>
      </c>
    </row>
    <row r="66" spans="1:5" ht="15.5" x14ac:dyDescent="0.35">
      <c r="A66" s="1" t="s">
        <v>3837</v>
      </c>
      <c r="B66" s="125" t="s">
        <v>3894</v>
      </c>
      <c r="C66" s="125" t="s">
        <v>5</v>
      </c>
      <c r="D66" s="125">
        <v>0</v>
      </c>
      <c r="E66" s="125" t="s">
        <v>5</v>
      </c>
    </row>
    <row r="67" spans="1:5" ht="15.5" x14ac:dyDescent="0.35">
      <c r="A67" s="1" t="s">
        <v>4059</v>
      </c>
      <c r="B67" s="125" t="s">
        <v>4058</v>
      </c>
      <c r="C67" s="125" t="s">
        <v>5</v>
      </c>
      <c r="D67" s="125">
        <v>0</v>
      </c>
      <c r="E67" s="125" t="s">
        <v>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48"/>
  <sheetViews>
    <sheetView topLeftCell="A132" zoomScaleNormal="100" workbookViewId="0">
      <selection activeCell="I149" sqref="I14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35</v>
      </c>
      <c r="C94" s="18">
        <v>2439.6</v>
      </c>
      <c r="D94" s="18"/>
      <c r="E94" s="18"/>
      <c r="F94" s="18"/>
      <c r="G94" s="18"/>
      <c r="H94" s="18"/>
      <c r="I94" s="18">
        <v>2439.6</v>
      </c>
    </row>
    <row r="95" spans="1:9" x14ac:dyDescent="0.35">
      <c r="B95" t="s">
        <v>58</v>
      </c>
      <c r="C95" s="18"/>
      <c r="D95" s="18"/>
      <c r="E95" s="18">
        <v>38345.300000000003</v>
      </c>
      <c r="F95" s="18"/>
      <c r="G95" s="18"/>
      <c r="H95" s="18"/>
      <c r="I95" s="18">
        <v>38345.300000000003</v>
      </c>
    </row>
    <row r="96" spans="1:9" x14ac:dyDescent="0.35">
      <c r="B96" t="s">
        <v>20</v>
      </c>
      <c r="C96" s="18"/>
      <c r="D96" s="18">
        <v>18380</v>
      </c>
      <c r="E96" s="18"/>
      <c r="F96" s="18"/>
      <c r="G96" s="18"/>
      <c r="H96" s="18"/>
      <c r="I96" s="18">
        <v>18380</v>
      </c>
    </row>
    <row r="97" spans="2:9" x14ac:dyDescent="0.35">
      <c r="B97" t="s">
        <v>43</v>
      </c>
      <c r="C97" s="18">
        <v>27746.5</v>
      </c>
      <c r="D97" s="18"/>
      <c r="E97" s="18"/>
      <c r="F97" s="18"/>
      <c r="G97" s="18"/>
      <c r="H97" s="18"/>
      <c r="I97" s="18">
        <v>27746.5</v>
      </c>
    </row>
    <row r="98" spans="2:9" x14ac:dyDescent="0.35">
      <c r="B98" t="s">
        <v>62</v>
      </c>
      <c r="C98" s="18"/>
      <c r="D98" s="18"/>
      <c r="E98" s="18"/>
      <c r="F98" s="18">
        <v>300024.30000000005</v>
      </c>
      <c r="G98" s="18"/>
      <c r="H98" s="18"/>
      <c r="I98" s="18">
        <v>300024.30000000005</v>
      </c>
    </row>
    <row r="99" spans="2:9" x14ac:dyDescent="0.35">
      <c r="B99" t="s">
        <v>262</v>
      </c>
      <c r="C99" s="18">
        <v>16315.999999999998</v>
      </c>
      <c r="D99" s="18"/>
      <c r="E99" s="18"/>
      <c r="F99" s="18"/>
      <c r="G99" s="18"/>
      <c r="H99" s="18"/>
      <c r="I99" s="18">
        <v>16315.999999999998</v>
      </c>
    </row>
    <row r="100" spans="2:9" x14ac:dyDescent="0.35">
      <c r="B100" t="s">
        <v>400</v>
      </c>
      <c r="C100" s="18">
        <v>81301.100000000006</v>
      </c>
      <c r="D100" s="18"/>
      <c r="E100" s="18"/>
      <c r="F100" s="18"/>
      <c r="G100" s="18"/>
      <c r="H100" s="18"/>
      <c r="I100" s="18">
        <v>81301.100000000006</v>
      </c>
    </row>
    <row r="101" spans="2:9" x14ac:dyDescent="0.35">
      <c r="B101" t="s">
        <v>491</v>
      </c>
      <c r="C101" s="18">
        <v>26160.6</v>
      </c>
      <c r="D101" s="18"/>
      <c r="E101" s="18"/>
      <c r="F101" s="18"/>
      <c r="G101" s="18"/>
      <c r="H101" s="18"/>
      <c r="I101" s="18">
        <v>26160.6</v>
      </c>
    </row>
    <row r="102" spans="2:9" x14ac:dyDescent="0.35">
      <c r="B102" t="s">
        <v>784</v>
      </c>
      <c r="C102" s="18">
        <v>12534.400000000001</v>
      </c>
      <c r="D102" s="18"/>
      <c r="E102" s="18"/>
      <c r="F102" s="18"/>
      <c r="G102" s="18"/>
      <c r="H102" s="18"/>
      <c r="I102" s="18">
        <v>12534.400000000001</v>
      </c>
    </row>
    <row r="103" spans="2:9" x14ac:dyDescent="0.35">
      <c r="B103" t="s">
        <v>859</v>
      </c>
      <c r="C103" s="18">
        <v>36704</v>
      </c>
      <c r="D103" s="18"/>
      <c r="E103" s="18"/>
      <c r="F103" s="18"/>
      <c r="G103" s="18"/>
      <c r="H103" s="18"/>
      <c r="I103" s="18">
        <v>36704</v>
      </c>
    </row>
    <row r="104" spans="2:9" x14ac:dyDescent="0.35">
      <c r="B104" t="s">
        <v>1309</v>
      </c>
      <c r="C104" s="18"/>
      <c r="D104" s="18"/>
      <c r="E104" s="18"/>
      <c r="F104" s="18"/>
      <c r="G104" s="18"/>
      <c r="H104" s="18">
        <v>56632.4</v>
      </c>
      <c r="I104" s="18">
        <v>56632.4</v>
      </c>
    </row>
    <row r="105" spans="2:9" x14ac:dyDescent="0.35">
      <c r="B105" t="s">
        <v>1704</v>
      </c>
      <c r="C105" s="18">
        <v>2799</v>
      </c>
      <c r="D105" s="18"/>
      <c r="E105" s="18"/>
      <c r="F105" s="18"/>
      <c r="G105" s="18"/>
      <c r="H105" s="18"/>
      <c r="I105" s="18">
        <v>2799</v>
      </c>
    </row>
    <row r="106" spans="2:9" x14ac:dyDescent="0.35">
      <c r="B106" t="s">
        <v>2012</v>
      </c>
      <c r="C106" s="18">
        <v>962872.9</v>
      </c>
      <c r="D106" s="18"/>
      <c r="E106" s="18"/>
      <c r="F106" s="18"/>
      <c r="G106" s="18"/>
      <c r="H106" s="18"/>
      <c r="I106" s="18">
        <v>962872.9</v>
      </c>
    </row>
    <row r="107" spans="2:9" x14ac:dyDescent="0.35">
      <c r="B107" t="s">
        <v>2134</v>
      </c>
      <c r="C107" s="18">
        <v>7721.6</v>
      </c>
      <c r="D107" s="18"/>
      <c r="E107" s="18"/>
      <c r="F107" s="18"/>
      <c r="G107" s="18"/>
      <c r="H107" s="18"/>
      <c r="I107" s="18">
        <v>7721.6</v>
      </c>
    </row>
    <row r="108" spans="2:9" x14ac:dyDescent="0.35">
      <c r="B108" t="s">
        <v>2928</v>
      </c>
      <c r="C108" s="18">
        <v>1185</v>
      </c>
      <c r="D108" s="18"/>
      <c r="E108" s="18"/>
      <c r="F108" s="18"/>
      <c r="G108" s="18"/>
      <c r="H108" s="18"/>
      <c r="I108" s="18">
        <v>1185</v>
      </c>
    </row>
    <row r="109" spans="2:9" x14ac:dyDescent="0.35">
      <c r="B109" t="s">
        <v>2929</v>
      </c>
      <c r="C109" s="18">
        <v>48366.8</v>
      </c>
      <c r="D109" s="18"/>
      <c r="E109" s="18"/>
      <c r="F109" s="18"/>
      <c r="G109" s="18"/>
      <c r="H109" s="18"/>
      <c r="I109" s="18">
        <v>48366.8</v>
      </c>
    </row>
    <row r="110" spans="2:9" x14ac:dyDescent="0.35">
      <c r="B110" t="s">
        <v>2271</v>
      </c>
      <c r="C110" s="18">
        <v>2826</v>
      </c>
      <c r="D110" s="18"/>
      <c r="E110" s="18"/>
      <c r="F110" s="18"/>
      <c r="G110" s="18"/>
      <c r="H110" s="18"/>
      <c r="I110" s="18">
        <v>2826</v>
      </c>
    </row>
    <row r="111" spans="2:9" x14ac:dyDescent="0.35">
      <c r="B111" t="s">
        <v>2284</v>
      </c>
      <c r="C111" s="18">
        <v>9182.7999999999993</v>
      </c>
      <c r="D111" s="18"/>
      <c r="E111" s="18"/>
      <c r="F111" s="18"/>
      <c r="G111" s="18"/>
      <c r="H111" s="18"/>
      <c r="I111" s="18">
        <v>9182.7999999999993</v>
      </c>
    </row>
    <row r="112" spans="2:9" x14ac:dyDescent="0.35">
      <c r="B112" t="s">
        <v>2362</v>
      </c>
      <c r="C112" s="18">
        <v>623</v>
      </c>
      <c r="D112" s="18"/>
      <c r="E112" s="18"/>
      <c r="F112" s="18"/>
      <c r="G112" s="18"/>
      <c r="H112" s="18"/>
      <c r="I112" s="18">
        <v>623</v>
      </c>
    </row>
    <row r="113" spans="1:9" x14ac:dyDescent="0.35">
      <c r="B113" t="s">
        <v>2440</v>
      </c>
      <c r="C113" s="18">
        <v>200</v>
      </c>
      <c r="D113" s="18"/>
      <c r="E113" s="18"/>
      <c r="F113" s="18"/>
      <c r="G113" s="18"/>
      <c r="H113" s="18"/>
      <c r="I113" s="18">
        <v>200</v>
      </c>
    </row>
    <row r="114" spans="1:9" x14ac:dyDescent="0.35">
      <c r="B114" t="s">
        <v>2728</v>
      </c>
      <c r="C114" s="18">
        <v>36203.5</v>
      </c>
      <c r="D114" s="18"/>
      <c r="E114" s="18"/>
      <c r="F114" s="18"/>
      <c r="G114" s="18"/>
      <c r="H114" s="18"/>
      <c r="I114" s="18">
        <v>36203.5</v>
      </c>
    </row>
    <row r="115" spans="1:9" x14ac:dyDescent="0.35">
      <c r="B115" t="s">
        <v>2656</v>
      </c>
      <c r="C115" s="18">
        <v>50640</v>
      </c>
      <c r="D115" s="18"/>
      <c r="E115" s="18"/>
      <c r="F115" s="18"/>
      <c r="G115" s="18"/>
      <c r="H115" s="18"/>
      <c r="I115" s="18">
        <v>50640</v>
      </c>
    </row>
    <row r="116" spans="1:9" x14ac:dyDescent="0.35">
      <c r="B116" t="s">
        <v>3100</v>
      </c>
      <c r="C116" s="18"/>
      <c r="D116" s="18"/>
      <c r="E116" s="18"/>
      <c r="F116" s="18"/>
      <c r="G116" s="18">
        <v>0</v>
      </c>
      <c r="H116" s="18"/>
      <c r="I116" s="18">
        <v>0</v>
      </c>
    </row>
    <row r="117" spans="1:9" x14ac:dyDescent="0.35">
      <c r="B117" t="s">
        <v>2734</v>
      </c>
      <c r="C117" s="18">
        <v>1131.5</v>
      </c>
      <c r="D117" s="18"/>
      <c r="E117" s="18"/>
      <c r="F117" s="18"/>
      <c r="G117" s="18"/>
      <c r="H117" s="18"/>
      <c r="I117" s="18">
        <v>1131.5</v>
      </c>
    </row>
    <row r="118" spans="1:9" x14ac:dyDescent="0.35">
      <c r="B118" t="s">
        <v>2740</v>
      </c>
      <c r="C118" s="18">
        <v>625</v>
      </c>
      <c r="D118" s="18"/>
      <c r="E118" s="18"/>
      <c r="F118" s="18"/>
      <c r="G118" s="18"/>
      <c r="H118" s="18"/>
      <c r="I118" s="18">
        <v>625</v>
      </c>
    </row>
    <row r="119" spans="1:9" x14ac:dyDescent="0.35">
      <c r="B119" t="s">
        <v>3061</v>
      </c>
      <c r="C119" s="18">
        <v>755</v>
      </c>
      <c r="D119" s="18"/>
      <c r="E119" s="18"/>
      <c r="F119" s="18"/>
      <c r="G119" s="18"/>
      <c r="H119" s="18"/>
      <c r="I119" s="18">
        <v>755</v>
      </c>
    </row>
    <row r="120" spans="1:9" x14ac:dyDescent="0.35">
      <c r="B120" t="s">
        <v>2939</v>
      </c>
      <c r="C120" s="18">
        <v>1410</v>
      </c>
      <c r="D120" s="18"/>
      <c r="E120" s="18"/>
      <c r="F120" s="18"/>
      <c r="G120" s="18"/>
      <c r="H120" s="18"/>
      <c r="I120" s="18">
        <v>1410</v>
      </c>
    </row>
    <row r="121" spans="1:9" x14ac:dyDescent="0.35">
      <c r="B121" t="s">
        <v>3063</v>
      </c>
      <c r="C121" s="18">
        <v>231</v>
      </c>
      <c r="D121" s="18"/>
      <c r="E121" s="18"/>
      <c r="F121" s="18"/>
      <c r="G121" s="18"/>
      <c r="H121" s="18"/>
      <c r="I121" s="18">
        <v>231</v>
      </c>
    </row>
    <row r="122" spans="1:9" x14ac:dyDescent="0.35">
      <c r="B122" t="s">
        <v>3225</v>
      </c>
      <c r="C122" s="18">
        <v>820</v>
      </c>
      <c r="D122" s="18"/>
      <c r="E122" s="18"/>
      <c r="F122" s="18"/>
      <c r="G122" s="18"/>
      <c r="H122" s="18"/>
      <c r="I122" s="18">
        <v>820</v>
      </c>
    </row>
    <row r="123" spans="1:9" x14ac:dyDescent="0.35">
      <c r="B123" t="s">
        <v>3230</v>
      </c>
      <c r="C123" s="18">
        <v>1238</v>
      </c>
      <c r="D123" s="18"/>
      <c r="E123" s="18"/>
      <c r="F123" s="18"/>
      <c r="G123" s="18"/>
      <c r="H123" s="18"/>
      <c r="I123" s="18">
        <v>1238</v>
      </c>
    </row>
    <row r="124" spans="1:9" x14ac:dyDescent="0.35">
      <c r="B124" t="s">
        <v>3268</v>
      </c>
      <c r="C124" s="18">
        <v>3435</v>
      </c>
      <c r="D124" s="18"/>
      <c r="E124" s="18"/>
      <c r="F124" s="18"/>
      <c r="G124" s="18"/>
      <c r="H124" s="18"/>
      <c r="I124" s="18">
        <v>3435</v>
      </c>
    </row>
    <row r="125" spans="1:9" x14ac:dyDescent="0.35">
      <c r="A125" s="36" t="s">
        <v>2932</v>
      </c>
      <c r="B125" s="36"/>
      <c r="C125" s="37">
        <v>1335468.3000000003</v>
      </c>
      <c r="D125" s="37">
        <v>18380</v>
      </c>
      <c r="E125" s="37">
        <v>38345.300000000003</v>
      </c>
      <c r="F125" s="37">
        <v>300024.30000000005</v>
      </c>
      <c r="G125" s="37">
        <v>0</v>
      </c>
      <c r="H125" s="37">
        <v>56632.4</v>
      </c>
      <c r="I125" s="37">
        <v>1748850.3000000003</v>
      </c>
    </row>
    <row r="126" spans="1:9" x14ac:dyDescent="0.35">
      <c r="A126">
        <v>2025</v>
      </c>
      <c r="B126" t="s">
        <v>20</v>
      </c>
      <c r="C126" s="18"/>
      <c r="D126" s="18">
        <v>10863.5</v>
      </c>
      <c r="E126" s="18"/>
      <c r="F126" s="18"/>
      <c r="G126" s="18"/>
      <c r="H126" s="18"/>
      <c r="I126" s="18">
        <v>10863.5</v>
      </c>
    </row>
    <row r="127" spans="1:9" x14ac:dyDescent="0.35">
      <c r="B127" t="s">
        <v>43</v>
      </c>
      <c r="C127" s="18">
        <v>4623</v>
      </c>
      <c r="D127" s="18"/>
      <c r="E127" s="18"/>
      <c r="F127" s="18"/>
      <c r="G127" s="18"/>
      <c r="H127" s="18"/>
      <c r="I127" s="18">
        <v>4623</v>
      </c>
    </row>
    <row r="128" spans="1:9" x14ac:dyDescent="0.35">
      <c r="B128" t="s">
        <v>62</v>
      </c>
      <c r="C128" s="18"/>
      <c r="D128" s="18"/>
      <c r="E128" s="18"/>
      <c r="F128" s="18">
        <v>73451.399999999994</v>
      </c>
      <c r="G128" s="18"/>
      <c r="H128" s="18"/>
      <c r="I128" s="18">
        <v>73451.399999999994</v>
      </c>
    </row>
    <row r="129" spans="2:9" x14ac:dyDescent="0.35">
      <c r="B129" t="s">
        <v>400</v>
      </c>
      <c r="C129" s="18">
        <v>41235.199999999997</v>
      </c>
      <c r="D129" s="18"/>
      <c r="E129" s="18"/>
      <c r="F129" s="18"/>
      <c r="G129" s="18"/>
      <c r="H129" s="18"/>
      <c r="I129" s="18">
        <v>41235.199999999997</v>
      </c>
    </row>
    <row r="130" spans="2:9" x14ac:dyDescent="0.35">
      <c r="B130" t="s">
        <v>784</v>
      </c>
      <c r="C130" s="18">
        <v>0</v>
      </c>
      <c r="D130" s="18"/>
      <c r="E130" s="18"/>
      <c r="F130" s="18"/>
      <c r="G130" s="18"/>
      <c r="H130" s="18"/>
      <c r="I130" s="18">
        <v>0</v>
      </c>
    </row>
    <row r="131" spans="2:9" x14ac:dyDescent="0.35">
      <c r="B131" t="s">
        <v>859</v>
      </c>
      <c r="C131" s="18">
        <v>12228.900000000001</v>
      </c>
      <c r="D131" s="18"/>
      <c r="E131" s="18"/>
      <c r="F131" s="18"/>
      <c r="G131" s="18"/>
      <c r="H131" s="18"/>
      <c r="I131" s="18">
        <v>12228.900000000001</v>
      </c>
    </row>
    <row r="132" spans="2:9" x14ac:dyDescent="0.35">
      <c r="B132" t="s">
        <v>1453</v>
      </c>
      <c r="C132" s="18">
        <v>16896.5</v>
      </c>
      <c r="D132" s="18"/>
      <c r="E132" s="18"/>
      <c r="F132" s="18"/>
      <c r="G132" s="18"/>
      <c r="H132" s="18"/>
      <c r="I132" s="18">
        <v>16896.5</v>
      </c>
    </row>
    <row r="133" spans="2:9" x14ac:dyDescent="0.35">
      <c r="B133" t="s">
        <v>1309</v>
      </c>
      <c r="C133" s="18"/>
      <c r="D133" s="18"/>
      <c r="E133" s="18"/>
      <c r="F133" s="18"/>
      <c r="G133" s="18"/>
      <c r="H133" s="18">
        <v>9408.5</v>
      </c>
      <c r="I133" s="18">
        <v>9408.5</v>
      </c>
    </row>
    <row r="134" spans="2:9" x14ac:dyDescent="0.35">
      <c r="B134" t="s">
        <v>1620</v>
      </c>
      <c r="C134" s="18">
        <v>250</v>
      </c>
      <c r="D134" s="18"/>
      <c r="E134" s="18"/>
      <c r="F134" s="18"/>
      <c r="G134" s="18"/>
      <c r="H134" s="18"/>
      <c r="I134" s="18">
        <v>250</v>
      </c>
    </row>
    <row r="135" spans="2:9" x14ac:dyDescent="0.35">
      <c r="B135" t="s">
        <v>1704</v>
      </c>
      <c r="C135" s="18">
        <v>2358.5</v>
      </c>
      <c r="D135" s="18"/>
      <c r="E135" s="18"/>
      <c r="F135" s="18"/>
      <c r="G135" s="18"/>
      <c r="H135" s="18"/>
      <c r="I135" s="18">
        <v>2358.5</v>
      </c>
    </row>
    <row r="136" spans="2:9" x14ac:dyDescent="0.35">
      <c r="B136" t="s">
        <v>2012</v>
      </c>
      <c r="C136" s="18">
        <v>678881.89999999991</v>
      </c>
      <c r="D136" s="18"/>
      <c r="E136" s="18"/>
      <c r="F136" s="18"/>
      <c r="G136" s="18"/>
      <c r="H136" s="18"/>
      <c r="I136" s="18">
        <v>678881.89999999991</v>
      </c>
    </row>
    <row r="137" spans="2:9" x14ac:dyDescent="0.35">
      <c r="B137" t="s">
        <v>2929</v>
      </c>
      <c r="C137" s="18">
        <v>20535</v>
      </c>
      <c r="D137" s="18"/>
      <c r="E137" s="18"/>
      <c r="F137" s="18"/>
      <c r="G137" s="18"/>
      <c r="H137" s="18"/>
      <c r="I137" s="18">
        <v>20535</v>
      </c>
    </row>
    <row r="138" spans="2:9" x14ac:dyDescent="0.35">
      <c r="B138" t="s">
        <v>2271</v>
      </c>
      <c r="C138" s="18">
        <v>2433.4</v>
      </c>
      <c r="D138" s="18"/>
      <c r="E138" s="18"/>
      <c r="F138" s="18"/>
      <c r="G138" s="18"/>
      <c r="H138" s="18"/>
      <c r="I138" s="18">
        <v>2433.4</v>
      </c>
    </row>
    <row r="139" spans="2:9" x14ac:dyDescent="0.35">
      <c r="B139" t="s">
        <v>2656</v>
      </c>
      <c r="C139" s="18">
        <v>20285</v>
      </c>
      <c r="D139" s="18"/>
      <c r="E139" s="18"/>
      <c r="F139" s="18"/>
      <c r="G139" s="18"/>
      <c r="H139" s="18"/>
      <c r="I139" s="18">
        <v>20285</v>
      </c>
    </row>
    <row r="140" spans="2:9" x14ac:dyDescent="0.35">
      <c r="B140" t="s">
        <v>2939</v>
      </c>
      <c r="C140" s="18">
        <v>525</v>
      </c>
      <c r="D140" s="18"/>
      <c r="E140" s="18"/>
      <c r="F140" s="18"/>
      <c r="G140" s="18"/>
      <c r="H140" s="18"/>
      <c r="I140" s="18">
        <v>525</v>
      </c>
    </row>
    <row r="141" spans="2:9" x14ac:dyDescent="0.35">
      <c r="B141" t="s">
        <v>3230</v>
      </c>
      <c r="C141" s="18">
        <v>650</v>
      </c>
      <c r="D141" s="18"/>
      <c r="E141" s="18"/>
      <c r="F141" s="18"/>
      <c r="G141" s="18"/>
      <c r="H141" s="18"/>
      <c r="I141" s="18">
        <v>650</v>
      </c>
    </row>
    <row r="142" spans="2:9" x14ac:dyDescent="0.35">
      <c r="B142" t="s">
        <v>3330</v>
      </c>
      <c r="C142" s="18">
        <v>3082.5</v>
      </c>
      <c r="D142" s="18"/>
      <c r="E142" s="18"/>
      <c r="F142" s="18"/>
      <c r="G142" s="18"/>
      <c r="H142" s="18"/>
      <c r="I142" s="18">
        <v>3082.5</v>
      </c>
    </row>
    <row r="143" spans="2:9" x14ac:dyDescent="0.35">
      <c r="B143" t="s">
        <v>3532</v>
      </c>
      <c r="C143" s="18">
        <v>35697</v>
      </c>
      <c r="D143" s="18"/>
      <c r="E143" s="18"/>
      <c r="F143" s="18"/>
      <c r="G143" s="18"/>
      <c r="H143" s="18"/>
      <c r="I143" s="18">
        <v>35697</v>
      </c>
    </row>
    <row r="144" spans="2:9" x14ac:dyDescent="0.35">
      <c r="B144" t="s">
        <v>3549</v>
      </c>
      <c r="C144" s="18">
        <v>61327.600000000006</v>
      </c>
      <c r="D144" s="18"/>
      <c r="E144" s="18"/>
      <c r="F144" s="18"/>
      <c r="G144" s="18"/>
      <c r="H144" s="18"/>
      <c r="I144" s="18">
        <v>61327.600000000006</v>
      </c>
    </row>
    <row r="145" spans="1:9" x14ac:dyDescent="0.35">
      <c r="B145" t="s">
        <v>3837</v>
      </c>
      <c r="C145" s="18">
        <v>3811.4</v>
      </c>
      <c r="D145" s="18"/>
      <c r="E145" s="18"/>
      <c r="F145" s="18"/>
      <c r="G145" s="18"/>
      <c r="H145" s="18"/>
      <c r="I145" s="18">
        <v>3811.4</v>
      </c>
    </row>
    <row r="146" spans="1:9" x14ac:dyDescent="0.35">
      <c r="B146" t="s">
        <v>3867</v>
      </c>
      <c r="C146" s="18">
        <v>4660</v>
      </c>
      <c r="D146" s="18"/>
      <c r="E146" s="18"/>
      <c r="F146" s="18"/>
      <c r="G146" s="18"/>
      <c r="H146" s="18"/>
      <c r="I146" s="18">
        <v>4660</v>
      </c>
    </row>
    <row r="147" spans="1:9" x14ac:dyDescent="0.35">
      <c r="A147" s="36" t="s">
        <v>3965</v>
      </c>
      <c r="B147" s="36"/>
      <c r="C147" s="37">
        <v>909480.89999999991</v>
      </c>
      <c r="D147" s="37">
        <v>10863.5</v>
      </c>
      <c r="E147" s="37"/>
      <c r="F147" s="37">
        <v>73451.399999999994</v>
      </c>
      <c r="G147" s="37"/>
      <c r="H147" s="37">
        <v>9408.5</v>
      </c>
      <c r="I147" s="37">
        <v>1003204.2999999999</v>
      </c>
    </row>
    <row r="148" spans="1:9" x14ac:dyDescent="0.35">
      <c r="A148" t="s">
        <v>131</v>
      </c>
      <c r="C148" s="18">
        <v>5127962.9500000011</v>
      </c>
      <c r="D148" s="18">
        <v>153933.70000000001</v>
      </c>
      <c r="E148" s="18">
        <v>144621.60000000003</v>
      </c>
      <c r="F148" s="18">
        <v>1221835.7000000002</v>
      </c>
      <c r="G148" s="18">
        <v>4109.2</v>
      </c>
      <c r="H148" s="18">
        <v>181106.59999999998</v>
      </c>
      <c r="I148" s="18">
        <v>6833569.7500000019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2869</v>
      </c>
      <c r="B30">
        <v>1</v>
      </c>
    </row>
    <row r="31" spans="1:2" x14ac:dyDescent="0.35">
      <c r="A31" t="s">
        <v>2951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5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5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5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5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5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5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2025-07-22T09:08:09Z</cp:lastPrinted>
  <dcterms:created xsi:type="dcterms:W3CDTF">2020-07-09T14:04:13Z</dcterms:created>
  <dcterms:modified xsi:type="dcterms:W3CDTF">2025-08-04T04:53:26Z</dcterms:modified>
</cp:coreProperties>
</file>